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DIW 10 13 2023\"/>
    </mc:Choice>
  </mc:AlternateContent>
  <xr:revisionPtr revIDLastSave="0" documentId="13_ncr:1_{9DAA9A61-258D-4595-82A7-B959990CFFFA}" xr6:coauthVersionLast="47" xr6:coauthVersionMax="47" xr10:uidLastSave="{00000000-0000-0000-0000-000000000000}"/>
  <bookViews>
    <workbookView xWindow="57480" yWindow="-120" windowWidth="29040" windowHeight="15840" tabRatio="81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UAL" sheetId="75" state="hidden" r:id="rId5"/>
    <sheet name="Tax Reval Rate" sheetId="72" state="hidden" r:id="rId6"/>
    <sheet name="Import" sheetId="28" state="hidden" r:id="rId7"/>
    <sheet name="Performance Indicator FBA%" sheetId="93" r:id="rId8"/>
    <sheet name="RSS" sheetId="99" r:id="rId9"/>
    <sheet name="Electric trans" sheetId="89"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5"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9">#REF!</definedName>
    <definedName name="Print_Selection_Internal" localSheetId="3">#REF!</definedName>
    <definedName name="Print_Selection_Internal" localSheetId="7">#REF!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9">#REF!</definedName>
    <definedName name="TD_IMPORT_RANGE" localSheetId="0">#REF!</definedName>
    <definedName name="TD_IMPORT_RANGE" localSheetId="3">#REF!</definedName>
    <definedName name="TD_IMPORT_RANGE" localSheetId="7">#REF!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59" i="28" l="1"/>
  <c r="A259" i="28"/>
  <c r="G13" i="88"/>
  <c r="D28" i="91"/>
  <c r="D29" i="91"/>
  <c r="D27" i="91"/>
  <c r="H77" i="1"/>
  <c r="E259" i="28"/>
  <c r="L259" i="28" s="1"/>
  <c r="E30" i="88" s="1"/>
  <c r="M30" i="88"/>
  <c r="N30" i="88" s="1"/>
  <c r="D31" i="91" s="1"/>
  <c r="L30" i="88"/>
  <c r="D18" i="91"/>
  <c r="D13" i="91"/>
  <c r="G30" i="88" l="1"/>
  <c r="E219" i="28"/>
  <c r="E218" i="28"/>
  <c r="E231" i="28"/>
  <c r="CE276" i="82"/>
  <c r="CF276" i="82"/>
  <c r="CG276" i="82"/>
  <c r="CH276" i="82"/>
  <c r="CI276" i="82"/>
  <c r="CJ276" i="82"/>
  <c r="CK276" i="82"/>
  <c r="CL276" i="82"/>
  <c r="CM276" i="82"/>
  <c r="CN276" i="82"/>
  <c r="CO276" i="82"/>
  <c r="CP276" i="82"/>
  <c r="CQ276" i="82"/>
  <c r="CR276" i="82"/>
  <c r="CS276" i="82"/>
  <c r="CE277" i="82"/>
  <c r="CF277" i="82"/>
  <c r="CG277" i="82"/>
  <c r="CH277" i="82"/>
  <c r="CI277" i="82"/>
  <c r="CJ277" i="82"/>
  <c r="CK277" i="82"/>
  <c r="CL277" i="82"/>
  <c r="CM277" i="82"/>
  <c r="CN277" i="82"/>
  <c r="CO277" i="82"/>
  <c r="CP277" i="82"/>
  <c r="CQ277" i="82"/>
  <c r="CR277" i="82"/>
  <c r="CS277" i="82"/>
  <c r="BW313" i="84"/>
  <c r="BX313" i="84"/>
  <c r="BY313" i="84"/>
  <c r="BZ313" i="84"/>
  <c r="CA313" i="84"/>
  <c r="CB313" i="84"/>
  <c r="CC313" i="84"/>
  <c r="CD313" i="84"/>
  <c r="CE313" i="84"/>
  <c r="CF313" i="84"/>
  <c r="CG313" i="84"/>
  <c r="CH313" i="84"/>
  <c r="CI313" i="84"/>
  <c r="CJ313" i="84"/>
  <c r="CK313" i="84"/>
  <c r="CL313" i="84"/>
  <c r="CM313" i="84"/>
  <c r="CN313" i="84"/>
  <c r="CO313" i="84"/>
  <c r="CP313" i="84"/>
  <c r="CQ313" i="84"/>
  <c r="CR313" i="84"/>
  <c r="CS313" i="84"/>
  <c r="BW309" i="84"/>
  <c r="BX309" i="84"/>
  <c r="BY309" i="84"/>
  <c r="BZ309" i="84"/>
  <c r="CA309" i="84"/>
  <c r="CB309" i="84"/>
  <c r="CC309" i="84"/>
  <c r="CD309" i="84"/>
  <c r="CE309" i="84"/>
  <c r="CF309" i="84"/>
  <c r="CG309" i="84"/>
  <c r="CH309" i="84"/>
  <c r="CI309" i="84"/>
  <c r="CJ309" i="84"/>
  <c r="CK309" i="84"/>
  <c r="CL309" i="84"/>
  <c r="CM309" i="84"/>
  <c r="CN309" i="84"/>
  <c r="CO309" i="84"/>
  <c r="CP309" i="84"/>
  <c r="CQ309" i="84"/>
  <c r="CR309" i="84"/>
  <c r="CS309" i="84"/>
  <c r="BW310" i="84"/>
  <c r="BX310" i="84"/>
  <c r="BY310" i="84"/>
  <c r="BZ310" i="84"/>
  <c r="CA310" i="84"/>
  <c r="CB310" i="84"/>
  <c r="CC310" i="84"/>
  <c r="CD310" i="84"/>
  <c r="CE310" i="84"/>
  <c r="CF310" i="84"/>
  <c r="CG310" i="84"/>
  <c r="CH310" i="84"/>
  <c r="CI310" i="84"/>
  <c r="CJ310" i="84"/>
  <c r="CK310" i="84"/>
  <c r="CL310" i="84"/>
  <c r="CM310" i="84"/>
  <c r="CN310" i="84"/>
  <c r="CO310" i="84"/>
  <c r="CP310" i="84"/>
  <c r="CQ310" i="84"/>
  <c r="CR310" i="84"/>
  <c r="CS310" i="84"/>
  <c r="CE280" i="82"/>
  <c r="CF280" i="82"/>
  <c r="CG280" i="82"/>
  <c r="CH280" i="82"/>
  <c r="CI280" i="82"/>
  <c r="CJ280" i="82"/>
  <c r="CK280" i="82"/>
  <c r="CL280" i="82"/>
  <c r="CM280" i="82"/>
  <c r="CN280" i="82"/>
  <c r="CO280" i="82"/>
  <c r="CP280" i="82"/>
  <c r="CQ280" i="82"/>
  <c r="CR280" i="82"/>
  <c r="CS280" i="82"/>
  <c r="CB280" i="82" l="1"/>
  <c r="CC280" i="82"/>
  <c r="CD280" i="82"/>
  <c r="CB276" i="82"/>
  <c r="CC276" i="82"/>
  <c r="CD276" i="82"/>
  <c r="CB277" i="82"/>
  <c r="CC277" i="82"/>
  <c r="CD277" i="82"/>
  <c r="D276" i="82" l="1"/>
  <c r="E276" i="82"/>
  <c r="F276" i="82"/>
  <c r="G276" i="82"/>
  <c r="H276" i="82"/>
  <c r="I276" i="82"/>
  <c r="J276" i="82"/>
  <c r="K276" i="82"/>
  <c r="L276" i="82"/>
  <c r="M276" i="82"/>
  <c r="N276" i="82"/>
  <c r="O276" i="82"/>
  <c r="P276" i="82"/>
  <c r="Q276" i="82"/>
  <c r="R276" i="82"/>
  <c r="S276" i="82"/>
  <c r="T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V276" i="82"/>
  <c r="AW276" i="82"/>
  <c r="AX276" i="82"/>
  <c r="AY276" i="82"/>
  <c r="AZ276" i="82"/>
  <c r="BA276" i="82"/>
  <c r="BB276" i="82"/>
  <c r="BC276" i="82"/>
  <c r="BD276" i="82"/>
  <c r="BE276" i="82"/>
  <c r="BF276" i="82"/>
  <c r="BG276" i="82"/>
  <c r="BH276" i="82"/>
  <c r="BI276" i="82"/>
  <c r="BJ276" i="82"/>
  <c r="BK276" i="82"/>
  <c r="BL276" i="82"/>
  <c r="BM276" i="82"/>
  <c r="BN276" i="82"/>
  <c r="BO276" i="82"/>
  <c r="BP276" i="82"/>
  <c r="BQ276" i="82"/>
  <c r="BR276" i="82"/>
  <c r="BS276" i="82"/>
  <c r="BT276" i="82"/>
  <c r="BU276" i="82"/>
  <c r="BV276" i="82"/>
  <c r="BW276" i="82"/>
  <c r="BX276" i="82"/>
  <c r="BY276" i="82"/>
  <c r="BZ276" i="82"/>
  <c r="D277" i="82"/>
  <c r="E277" i="82"/>
  <c r="F277" i="82"/>
  <c r="G277" i="82"/>
  <c r="H277" i="82"/>
  <c r="I277" i="82"/>
  <c r="J277" i="82"/>
  <c r="K277" i="82"/>
  <c r="L277" i="82"/>
  <c r="M277" i="82"/>
  <c r="N277" i="82"/>
  <c r="O277" i="82"/>
  <c r="P277" i="82"/>
  <c r="Q277" i="82"/>
  <c r="R277" i="82"/>
  <c r="S277" i="82"/>
  <c r="T277" i="82"/>
  <c r="U277" i="82"/>
  <c r="V277" i="82"/>
  <c r="W277" i="82"/>
  <c r="X277" i="82"/>
  <c r="Y277" i="82"/>
  <c r="Z277" i="82"/>
  <c r="AA277" i="82"/>
  <c r="AB277" i="82"/>
  <c r="AC277" i="82"/>
  <c r="AD277" i="82"/>
  <c r="AE277" i="82"/>
  <c r="AF277" i="82"/>
  <c r="AG277" i="82"/>
  <c r="AH277" i="82"/>
  <c r="AI277" i="82"/>
  <c r="AJ277" i="82"/>
  <c r="AK277" i="82"/>
  <c r="AL277" i="82"/>
  <c r="AM277" i="82"/>
  <c r="AN277" i="82"/>
  <c r="AO277" i="82"/>
  <c r="AP277" i="82"/>
  <c r="AQ277" i="82"/>
  <c r="AR277" i="82"/>
  <c r="AS277" i="82"/>
  <c r="AT277" i="82"/>
  <c r="AU277" i="82"/>
  <c r="AV277" i="82"/>
  <c r="AW277" i="82"/>
  <c r="AX277" i="82"/>
  <c r="AY277" i="82"/>
  <c r="AZ277" i="82"/>
  <c r="BA277" i="82"/>
  <c r="BB277" i="82"/>
  <c r="BC277" i="82"/>
  <c r="BD277" i="82"/>
  <c r="BE277" i="82"/>
  <c r="BF277" i="82"/>
  <c r="BG277" i="82"/>
  <c r="BH277" i="82"/>
  <c r="BI277" i="82"/>
  <c r="BJ277" i="82"/>
  <c r="BK277" i="82"/>
  <c r="BL277" i="82"/>
  <c r="BM277" i="82"/>
  <c r="BN277" i="82"/>
  <c r="BO277" i="82"/>
  <c r="BP277" i="82"/>
  <c r="BQ277" i="82"/>
  <c r="BR277" i="82"/>
  <c r="BS277" i="82"/>
  <c r="BT277" i="82"/>
  <c r="BU277" i="82"/>
  <c r="BV277" i="82"/>
  <c r="BW277" i="82"/>
  <c r="BX277" i="82"/>
  <c r="BY277" i="82"/>
  <c r="BZ277" i="82"/>
  <c r="D280" i="82"/>
  <c r="E280" i="82"/>
  <c r="F280" i="82"/>
  <c r="G280" i="82"/>
  <c r="H280" i="82"/>
  <c r="I280" i="82"/>
  <c r="J280" i="82"/>
  <c r="K280" i="82"/>
  <c r="L280" i="82"/>
  <c r="M280" i="82"/>
  <c r="N280" i="82"/>
  <c r="O280" i="82"/>
  <c r="P280" i="82"/>
  <c r="Q280" i="82"/>
  <c r="R280" i="82"/>
  <c r="S280" i="82"/>
  <c r="T280" i="82"/>
  <c r="U280" i="82"/>
  <c r="V280" i="82"/>
  <c r="W280" i="82"/>
  <c r="X280" i="82"/>
  <c r="Y280" i="82"/>
  <c r="Z280" i="82"/>
  <c r="AA280" i="82"/>
  <c r="AB280" i="82"/>
  <c r="AC280" i="82"/>
  <c r="AD280" i="82"/>
  <c r="AE280" i="82"/>
  <c r="AF280" i="82"/>
  <c r="AG280" i="82"/>
  <c r="AH280" i="82"/>
  <c r="AI280" i="82"/>
  <c r="AJ280" i="82"/>
  <c r="AK280" i="82"/>
  <c r="AL280" i="82"/>
  <c r="AM280" i="82"/>
  <c r="AN280" i="82"/>
  <c r="AO280" i="82"/>
  <c r="AP280" i="82"/>
  <c r="AQ280" i="82"/>
  <c r="AR280" i="82"/>
  <c r="AS280" i="82"/>
  <c r="AT280" i="82"/>
  <c r="AU280" i="82"/>
  <c r="AV280" i="82"/>
  <c r="AW280" i="82"/>
  <c r="AX280" i="82"/>
  <c r="AY280" i="82"/>
  <c r="AZ280" i="82"/>
  <c r="BA280" i="82"/>
  <c r="BB280" i="82"/>
  <c r="BC280" i="82"/>
  <c r="BD280" i="82"/>
  <c r="BE280" i="82"/>
  <c r="BF280" i="82"/>
  <c r="BG280" i="82"/>
  <c r="BH280" i="82"/>
  <c r="BI280" i="82"/>
  <c r="BJ280" i="82"/>
  <c r="BK280" i="82"/>
  <c r="BL280" i="82"/>
  <c r="BM280" i="82"/>
  <c r="BN280" i="82"/>
  <c r="BO280" i="82"/>
  <c r="BP280" i="82"/>
  <c r="BQ280" i="82"/>
  <c r="BR280" i="82"/>
  <c r="BS280" i="82"/>
  <c r="BT280" i="82"/>
  <c r="BU280" i="82"/>
  <c r="BV280" i="82"/>
  <c r="BW280" i="82"/>
  <c r="BX280" i="82"/>
  <c r="BY280" i="82"/>
  <c r="BZ280" i="82"/>
  <c r="L281"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S285" i="82"/>
  <c r="BT285" i="82"/>
  <c r="BU285" i="82"/>
  <c r="BV285" i="82"/>
  <c r="BW285" i="82"/>
  <c r="BX285" i="82"/>
  <c r="BY285" i="82"/>
  <c r="BZ285"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S286" i="82"/>
  <c r="BT286" i="82"/>
  <c r="BU286" i="82"/>
  <c r="BV286" i="82"/>
  <c r="BW286" i="82"/>
  <c r="BX286" i="82"/>
  <c r="BY286" i="82"/>
  <c r="BZ286"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S287" i="82"/>
  <c r="BT287" i="82"/>
  <c r="BU287" i="82"/>
  <c r="BV287" i="82"/>
  <c r="BW287" i="82"/>
  <c r="BX287" i="82"/>
  <c r="BY287" i="82"/>
  <c r="BZ287"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S288" i="82"/>
  <c r="BT288" i="82"/>
  <c r="BU288" i="82"/>
  <c r="BV288" i="82"/>
  <c r="BW288" i="82"/>
  <c r="BX288" i="82"/>
  <c r="BY288" i="82"/>
  <c r="BZ288"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S289" i="82"/>
  <c r="BT289" i="82"/>
  <c r="BU289" i="82"/>
  <c r="BV289" i="82"/>
  <c r="BW289" i="82"/>
  <c r="BX289" i="82"/>
  <c r="BY289" i="82"/>
  <c r="BZ289"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S290" i="82"/>
  <c r="BT290" i="82"/>
  <c r="BU290" i="82"/>
  <c r="BV290" i="82"/>
  <c r="BW290" i="82"/>
  <c r="BX290" i="82"/>
  <c r="BY290" i="82"/>
  <c r="BZ290"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S291" i="82"/>
  <c r="BT291" i="82"/>
  <c r="BU291" i="82"/>
  <c r="BV291" i="82"/>
  <c r="BW291" i="82"/>
  <c r="BX291" i="82"/>
  <c r="BY291" i="82"/>
  <c r="BZ291"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S292" i="82"/>
  <c r="BT292" i="82"/>
  <c r="BU292" i="82"/>
  <c r="BV292" i="82"/>
  <c r="BW292" i="82"/>
  <c r="BX292" i="82"/>
  <c r="BY292" i="82"/>
  <c r="BZ292"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S293" i="82"/>
  <c r="BT293" i="82"/>
  <c r="BU293" i="82"/>
  <c r="BV293" i="82"/>
  <c r="BW293" i="82"/>
  <c r="BX293" i="82"/>
  <c r="BY293" i="82"/>
  <c r="BZ293"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S294" i="82"/>
  <c r="BT294" i="82"/>
  <c r="BU294" i="82"/>
  <c r="BV294" i="82"/>
  <c r="BW294" i="82"/>
  <c r="BX294" i="82"/>
  <c r="BY294" i="82"/>
  <c r="BZ294"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S295" i="82"/>
  <c r="BT295" i="82"/>
  <c r="BU295" i="82"/>
  <c r="BV295" i="82"/>
  <c r="BW295" i="82"/>
  <c r="BX295" i="82"/>
  <c r="BY295" i="82"/>
  <c r="BZ295"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S296" i="82"/>
  <c r="BT296" i="82"/>
  <c r="BU296" i="82"/>
  <c r="BV296" i="82"/>
  <c r="BW296" i="82"/>
  <c r="BX296" i="82"/>
  <c r="BY296" i="82"/>
  <c r="BZ296"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S297" i="82"/>
  <c r="BT297" i="82"/>
  <c r="BU297" i="82"/>
  <c r="BV297" i="82"/>
  <c r="BW297" i="82"/>
  <c r="BX297" i="82"/>
  <c r="BY297" i="82"/>
  <c r="BZ297"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S298" i="82"/>
  <c r="BT298" i="82"/>
  <c r="BU298" i="82"/>
  <c r="BV298" i="82"/>
  <c r="BW298" i="82"/>
  <c r="BX298" i="82"/>
  <c r="BY298" i="82"/>
  <c r="BZ298"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S299" i="82"/>
  <c r="BT299" i="82"/>
  <c r="BU299" i="82"/>
  <c r="BV299" i="82"/>
  <c r="BW299" i="82"/>
  <c r="BX299" i="82"/>
  <c r="BY299" i="82"/>
  <c r="BZ299"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S300" i="82"/>
  <c r="BT300" i="82"/>
  <c r="BU300" i="82"/>
  <c r="BV300" i="82"/>
  <c r="BW300" i="82"/>
  <c r="BX300" i="82"/>
  <c r="BY300" i="82"/>
  <c r="BZ300"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S301" i="82"/>
  <c r="BT301" i="82"/>
  <c r="BU301" i="82"/>
  <c r="BV301" i="82"/>
  <c r="BW301" i="82"/>
  <c r="BX301" i="82"/>
  <c r="BY301" i="82"/>
  <c r="BZ301"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S302" i="82"/>
  <c r="BT302" i="82"/>
  <c r="BU302" i="82"/>
  <c r="BV302" i="82"/>
  <c r="BW302" i="82"/>
  <c r="BX302" i="82"/>
  <c r="BY302" i="82"/>
  <c r="BZ302"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S303" i="82"/>
  <c r="BT303" i="82"/>
  <c r="BU303" i="82"/>
  <c r="BV303" i="82"/>
  <c r="BW303" i="82"/>
  <c r="BX303" i="82"/>
  <c r="BY303" i="82"/>
  <c r="BZ303"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S304" i="82"/>
  <c r="BT304" i="82"/>
  <c r="BU304" i="82"/>
  <c r="BV304" i="82"/>
  <c r="BW304" i="82"/>
  <c r="BX304" i="82"/>
  <c r="BY304" i="82"/>
  <c r="BZ304"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S305" i="82"/>
  <c r="BT305" i="82"/>
  <c r="BU305" i="82"/>
  <c r="BV305" i="82"/>
  <c r="BW305" i="82"/>
  <c r="BX305" i="82"/>
  <c r="BY305" i="82"/>
  <c r="BZ305"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S306" i="82"/>
  <c r="BT306" i="82"/>
  <c r="BU306" i="82"/>
  <c r="BV306" i="82"/>
  <c r="BW306" i="82"/>
  <c r="BX306" i="82"/>
  <c r="BY306" i="82"/>
  <c r="BZ306"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Q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S307" i="82"/>
  <c r="BT307" i="82"/>
  <c r="BU307" i="82"/>
  <c r="BV307" i="82"/>
  <c r="BW307" i="82"/>
  <c r="BX307" i="82"/>
  <c r="BY307" i="82"/>
  <c r="BZ307"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S308" i="82"/>
  <c r="BT308" i="82"/>
  <c r="BU308" i="82"/>
  <c r="BV308" i="82"/>
  <c r="BW308" i="82"/>
  <c r="BX308" i="82"/>
  <c r="BY308" i="82"/>
  <c r="BZ308" i="82"/>
  <c r="CA280" i="82" l="1"/>
  <c r="CA276" i="82" l="1"/>
  <c r="CA277" i="82"/>
  <c r="CA285" i="82"/>
  <c r="CB285" i="82"/>
  <c r="CC285" i="82"/>
  <c r="CD285" i="82"/>
  <c r="CE285" i="82"/>
  <c r="CF285" i="82"/>
  <c r="CG285" i="82"/>
  <c r="CH285" i="82"/>
  <c r="CI285" i="82"/>
  <c r="CJ285" i="82"/>
  <c r="CK285" i="82"/>
  <c r="CA286" i="82"/>
  <c r="CB286" i="82"/>
  <c r="CC286" i="82"/>
  <c r="CD286" i="82"/>
  <c r="CE286" i="82"/>
  <c r="CF286" i="82"/>
  <c r="CG286" i="82"/>
  <c r="CH286" i="82"/>
  <c r="CI286" i="82"/>
  <c r="CJ286" i="82"/>
  <c r="CK286" i="82"/>
  <c r="CA287" i="82"/>
  <c r="CB287" i="82"/>
  <c r="CC287" i="82"/>
  <c r="CD287" i="82"/>
  <c r="CE287" i="82"/>
  <c r="CF287" i="82"/>
  <c r="CG287" i="82"/>
  <c r="CH287" i="82"/>
  <c r="CI287" i="82"/>
  <c r="CJ287" i="82"/>
  <c r="CK287" i="82"/>
  <c r="CA288" i="82"/>
  <c r="CB288" i="82"/>
  <c r="CC288" i="82"/>
  <c r="CD288" i="82"/>
  <c r="CE288" i="82"/>
  <c r="CF288" i="82"/>
  <c r="CG288" i="82"/>
  <c r="CH288" i="82"/>
  <c r="CI288" i="82"/>
  <c r="CJ288" i="82"/>
  <c r="CK288" i="82"/>
  <c r="CA289" i="82"/>
  <c r="CB289" i="82"/>
  <c r="CC289" i="82"/>
  <c r="CD289" i="82"/>
  <c r="CE289" i="82"/>
  <c r="CF289" i="82"/>
  <c r="CG289" i="82"/>
  <c r="CH289" i="82"/>
  <c r="CI289" i="82"/>
  <c r="CJ289" i="82"/>
  <c r="CK289" i="82"/>
  <c r="CA290" i="82"/>
  <c r="CB290" i="82"/>
  <c r="CC290" i="82"/>
  <c r="CD290" i="82"/>
  <c r="CE290" i="82"/>
  <c r="CF290" i="82"/>
  <c r="CG290" i="82"/>
  <c r="CH290" i="82"/>
  <c r="CI290" i="82"/>
  <c r="CJ290" i="82"/>
  <c r="CK290" i="82"/>
  <c r="CA291" i="82"/>
  <c r="CB291" i="82"/>
  <c r="CC291" i="82"/>
  <c r="CD291" i="82"/>
  <c r="CE291" i="82"/>
  <c r="CF291" i="82"/>
  <c r="CG291" i="82"/>
  <c r="CH291" i="82"/>
  <c r="CI291" i="82"/>
  <c r="CJ291" i="82"/>
  <c r="CK291" i="82"/>
  <c r="CA292" i="82"/>
  <c r="CB292" i="82"/>
  <c r="CC292" i="82"/>
  <c r="CD292" i="82"/>
  <c r="CE292" i="82"/>
  <c r="CF292" i="82"/>
  <c r="CG292" i="82"/>
  <c r="CH292" i="82"/>
  <c r="CI292" i="82"/>
  <c r="CJ292" i="82"/>
  <c r="CK292" i="82"/>
  <c r="CA293" i="82"/>
  <c r="CB293" i="82"/>
  <c r="CC293" i="82"/>
  <c r="CD293" i="82"/>
  <c r="CE293" i="82"/>
  <c r="CF293" i="82"/>
  <c r="CG293" i="82"/>
  <c r="CH293" i="82"/>
  <c r="CI293" i="82"/>
  <c r="CJ293" i="82"/>
  <c r="CK293" i="82"/>
  <c r="CA294" i="82"/>
  <c r="CB294" i="82"/>
  <c r="CC294" i="82"/>
  <c r="CD294" i="82"/>
  <c r="CE294" i="82"/>
  <c r="CF294" i="82"/>
  <c r="CG294" i="82"/>
  <c r="CH294" i="82"/>
  <c r="CI294" i="82"/>
  <c r="CJ294" i="82"/>
  <c r="CK294" i="82"/>
  <c r="CA295" i="82"/>
  <c r="CB295" i="82"/>
  <c r="CC295" i="82"/>
  <c r="CD295" i="82"/>
  <c r="CE295" i="82"/>
  <c r="CF295" i="82"/>
  <c r="CG295" i="82"/>
  <c r="CH295" i="82"/>
  <c r="CI295" i="82"/>
  <c r="CJ295" i="82"/>
  <c r="CK295" i="82"/>
  <c r="CA296" i="82"/>
  <c r="CB296" i="82"/>
  <c r="CC296" i="82"/>
  <c r="CD296" i="82"/>
  <c r="CE296" i="82"/>
  <c r="CF296" i="82"/>
  <c r="CG296" i="82"/>
  <c r="CH296" i="82"/>
  <c r="CI296" i="82"/>
  <c r="CJ296" i="82"/>
  <c r="CK296" i="82"/>
  <c r="CA297" i="82"/>
  <c r="CB297" i="82"/>
  <c r="CC297" i="82"/>
  <c r="CD297" i="82"/>
  <c r="CE297" i="82"/>
  <c r="CF297" i="82"/>
  <c r="CG297" i="82"/>
  <c r="CH297" i="82"/>
  <c r="CI297" i="82"/>
  <c r="CJ297" i="82"/>
  <c r="CK297" i="82"/>
  <c r="CA298" i="82"/>
  <c r="CB298" i="82"/>
  <c r="CC298" i="82"/>
  <c r="CD298" i="82"/>
  <c r="CE298" i="82"/>
  <c r="CF298" i="82"/>
  <c r="CG298" i="82"/>
  <c r="CH298" i="82"/>
  <c r="CI298" i="82"/>
  <c r="CJ298" i="82"/>
  <c r="CK298" i="82"/>
  <c r="CA299" i="82"/>
  <c r="CB299" i="82"/>
  <c r="CC299" i="82"/>
  <c r="CD299" i="82"/>
  <c r="CE299" i="82"/>
  <c r="CF299" i="82"/>
  <c r="CG299" i="82"/>
  <c r="CH299" i="82"/>
  <c r="CI299" i="82"/>
  <c r="CJ299" i="82"/>
  <c r="CK299" i="82"/>
  <c r="CA300" i="82"/>
  <c r="CB300" i="82"/>
  <c r="CC300" i="82"/>
  <c r="CD300" i="82"/>
  <c r="CE300" i="82"/>
  <c r="CF300" i="82"/>
  <c r="CG300" i="82"/>
  <c r="CH300" i="82"/>
  <c r="CI300" i="82"/>
  <c r="CJ300" i="82"/>
  <c r="CK300" i="82"/>
  <c r="CA301" i="82"/>
  <c r="CB301" i="82"/>
  <c r="CC301" i="82"/>
  <c r="CD301" i="82"/>
  <c r="CE301" i="82"/>
  <c r="CF301" i="82"/>
  <c r="CG301" i="82"/>
  <c r="CH301" i="82"/>
  <c r="CI301" i="82"/>
  <c r="CJ301" i="82"/>
  <c r="CK301" i="82"/>
  <c r="CA302" i="82"/>
  <c r="CB302" i="82"/>
  <c r="CC302" i="82"/>
  <c r="CD302" i="82"/>
  <c r="CE302" i="82"/>
  <c r="CF302" i="82"/>
  <c r="CG302" i="82"/>
  <c r="CH302" i="82"/>
  <c r="CI302" i="82"/>
  <c r="CJ302" i="82"/>
  <c r="CK302" i="82"/>
  <c r="CA303" i="82"/>
  <c r="CB303" i="82"/>
  <c r="CC303" i="82"/>
  <c r="CD303" i="82"/>
  <c r="CE303" i="82"/>
  <c r="CF303" i="82"/>
  <c r="CG303" i="82"/>
  <c r="CH303" i="82"/>
  <c r="CI303" i="82"/>
  <c r="CJ303" i="82"/>
  <c r="CK303" i="82"/>
  <c r="CA304" i="82"/>
  <c r="CB304" i="82"/>
  <c r="CC304" i="82"/>
  <c r="CD304" i="82"/>
  <c r="CE304" i="82"/>
  <c r="CF304" i="82"/>
  <c r="CG304" i="82"/>
  <c r="CH304" i="82"/>
  <c r="CI304" i="82"/>
  <c r="CJ304" i="82"/>
  <c r="CK304" i="82"/>
  <c r="CA305" i="82"/>
  <c r="CB305" i="82"/>
  <c r="CC305" i="82"/>
  <c r="CD305" i="82"/>
  <c r="CE305" i="82"/>
  <c r="CF305" i="82"/>
  <c r="CG305" i="82"/>
  <c r="CH305" i="82"/>
  <c r="CI305" i="82"/>
  <c r="CJ305" i="82"/>
  <c r="CK305" i="82"/>
  <c r="CA306" i="82"/>
  <c r="CB306" i="82"/>
  <c r="CC306" i="82"/>
  <c r="CD306" i="82"/>
  <c r="CE306" i="82"/>
  <c r="CF306" i="82"/>
  <c r="CG306" i="82"/>
  <c r="CH306" i="82"/>
  <c r="CI306" i="82"/>
  <c r="CJ306" i="82"/>
  <c r="CK306" i="82"/>
  <c r="CA307" i="82"/>
  <c r="CB307" i="82"/>
  <c r="CC307" i="82"/>
  <c r="CD307" i="82"/>
  <c r="CE307" i="82"/>
  <c r="CF307" i="82"/>
  <c r="CG307" i="82"/>
  <c r="CH307" i="82"/>
  <c r="CI307" i="82"/>
  <c r="CJ307" i="82"/>
  <c r="CK307" i="82"/>
  <c r="CA308" i="82"/>
  <c r="CB308" i="82"/>
  <c r="CC308" i="82"/>
  <c r="CD308" i="82"/>
  <c r="CE308" i="82"/>
  <c r="CF308" i="82"/>
  <c r="CG308" i="82"/>
  <c r="CH308" i="82"/>
  <c r="CI308" i="82"/>
  <c r="CJ308" i="82"/>
  <c r="CK308" i="82"/>
  <c r="BS309" i="84"/>
  <c r="BS313" i="84" s="1"/>
  <c r="BT309" i="84"/>
  <c r="BT313" i="84" s="1"/>
  <c r="BU309" i="84"/>
  <c r="BU313" i="84" s="1"/>
  <c r="BV309" i="84"/>
  <c r="BV313" i="84" s="1"/>
  <c r="BS310" i="84"/>
  <c r="BT310" i="84"/>
  <c r="BU310" i="84"/>
  <c r="BV310" i="84"/>
  <c r="L219" i="28" l="1"/>
  <c r="C219" i="28"/>
  <c r="D17" i="91"/>
  <c r="E310" i="84" l="1"/>
  <c r="F310" i="84"/>
  <c r="G310" i="84"/>
  <c r="H310" i="84"/>
  <c r="I310" i="84"/>
  <c r="J310" i="84"/>
  <c r="K310" i="84"/>
  <c r="L310" i="84"/>
  <c r="M310" i="84"/>
  <c r="N310" i="84"/>
  <c r="O310" i="84"/>
  <c r="P310" i="84"/>
  <c r="Q310" i="84"/>
  <c r="R310" i="84"/>
  <c r="S310" i="84"/>
  <c r="T310" i="84"/>
  <c r="U310" i="84"/>
  <c r="V310" i="84"/>
  <c r="W310" i="84"/>
  <c r="X310" i="84"/>
  <c r="Y310" i="84"/>
  <c r="Z310" i="84"/>
  <c r="AA310" i="84"/>
  <c r="AB310" i="84"/>
  <c r="AC310" i="84"/>
  <c r="AD310" i="84"/>
  <c r="AE310" i="84"/>
  <c r="AF310" i="84"/>
  <c r="AG310" i="84"/>
  <c r="AH310" i="84"/>
  <c r="AI310" i="84"/>
  <c r="AJ310" i="84"/>
  <c r="AK310" i="84"/>
  <c r="AL310" i="84"/>
  <c r="AM310" i="84"/>
  <c r="AN310" i="84"/>
  <c r="AO310" i="84"/>
  <c r="AP310" i="84"/>
  <c r="AQ310" i="84"/>
  <c r="AR310" i="84"/>
  <c r="AS310" i="84"/>
  <c r="AT310" i="84"/>
  <c r="AU310" i="84"/>
  <c r="AV310" i="84"/>
  <c r="AW310" i="84"/>
  <c r="AX310" i="84"/>
  <c r="AY310" i="84"/>
  <c r="AZ310" i="84"/>
  <c r="BA310" i="84"/>
  <c r="BB310" i="84"/>
  <c r="BC310" i="84"/>
  <c r="BD310" i="84"/>
  <c r="BE310" i="84"/>
  <c r="BF310" i="84"/>
  <c r="BG310" i="84"/>
  <c r="BH310" i="84"/>
  <c r="BI310" i="84"/>
  <c r="BJ310" i="84"/>
  <c r="BK310" i="84"/>
  <c r="BL310" i="84"/>
  <c r="BM310" i="84"/>
  <c r="BN310" i="84"/>
  <c r="BO310" i="84"/>
  <c r="BP310" i="84"/>
  <c r="BQ310" i="84"/>
  <c r="BR310" i="84"/>
  <c r="D310" i="84"/>
  <c r="E309" i="84" l="1"/>
  <c r="E313" i="84" s="1"/>
  <c r="F309" i="84"/>
  <c r="F313" i="84" s="1"/>
  <c r="G309" i="84"/>
  <c r="G313" i="84" s="1"/>
  <c r="H309" i="84"/>
  <c r="H313" i="84" s="1"/>
  <c r="I309" i="84"/>
  <c r="I313" i="84" s="1"/>
  <c r="J309" i="84"/>
  <c r="J313" i="84" s="1"/>
  <c r="K309" i="84"/>
  <c r="K313" i="84" s="1"/>
  <c r="L309" i="84"/>
  <c r="L313" i="84" s="1"/>
  <c r="M309" i="84"/>
  <c r="M313" i="84" s="1"/>
  <c r="N309" i="84"/>
  <c r="N313" i="84" s="1"/>
  <c r="O309" i="84"/>
  <c r="O313" i="84" s="1"/>
  <c r="P309" i="84"/>
  <c r="P313" i="84" s="1"/>
  <c r="Q309" i="84"/>
  <c r="Q313" i="84" s="1"/>
  <c r="R309" i="84"/>
  <c r="R313" i="84" s="1"/>
  <c r="S309" i="84"/>
  <c r="S313" i="84" s="1"/>
  <c r="T309" i="84"/>
  <c r="T313" i="84" s="1"/>
  <c r="U309" i="84"/>
  <c r="U313" i="84" s="1"/>
  <c r="V309" i="84"/>
  <c r="V314" i="84" s="1"/>
  <c r="W309" i="84"/>
  <c r="W313" i="84" s="1"/>
  <c r="X309" i="84"/>
  <c r="X313" i="84" s="1"/>
  <c r="Y309" i="84"/>
  <c r="Y313" i="84" s="1"/>
  <c r="Z309" i="84"/>
  <c r="Z314" i="84" s="1"/>
  <c r="AA309" i="84"/>
  <c r="AA313" i="84" s="1"/>
  <c r="AB309" i="84"/>
  <c r="AB313" i="84" s="1"/>
  <c r="AC309" i="84"/>
  <c r="AC313" i="84" s="1"/>
  <c r="AD309" i="84"/>
  <c r="AD313" i="84" s="1"/>
  <c r="AE309" i="84"/>
  <c r="AE313" i="84" s="1"/>
  <c r="AF309" i="84"/>
  <c r="AF313" i="84" s="1"/>
  <c r="AG309" i="84"/>
  <c r="AG313" i="84" s="1"/>
  <c r="AH309" i="84"/>
  <c r="AH313" i="84" s="1"/>
  <c r="AI309" i="84"/>
  <c r="AI313" i="84" s="1"/>
  <c r="AJ309" i="84"/>
  <c r="AJ313" i="84" s="1"/>
  <c r="AK309" i="84"/>
  <c r="AK313" i="84" s="1"/>
  <c r="AL309" i="84"/>
  <c r="AL313" i="84" s="1"/>
  <c r="AM309" i="84"/>
  <c r="AM313" i="84" s="1"/>
  <c r="AN309" i="84"/>
  <c r="AN313" i="84" s="1"/>
  <c r="AO309" i="84"/>
  <c r="AO313" i="84" s="1"/>
  <c r="AP309" i="84"/>
  <c r="AP313" i="84" s="1"/>
  <c r="AQ309" i="84"/>
  <c r="AQ313" i="84" s="1"/>
  <c r="AR309" i="84"/>
  <c r="AR313" i="84" s="1"/>
  <c r="AS309" i="84"/>
  <c r="AS313" i="84" s="1"/>
  <c r="AT309" i="84"/>
  <c r="AT313" i="84" s="1"/>
  <c r="AU309" i="84"/>
  <c r="AU314" i="84" s="1"/>
  <c r="AV309" i="84"/>
  <c r="AV313" i="84" s="1"/>
  <c r="AW309" i="84"/>
  <c r="AW313" i="84" s="1"/>
  <c r="AX309" i="84"/>
  <c r="AX313" i="84" s="1"/>
  <c r="AY309" i="84"/>
  <c r="AY313" i="84" s="1"/>
  <c r="AZ309" i="84"/>
  <c r="AZ313" i="84" s="1"/>
  <c r="BA309" i="84"/>
  <c r="BA313" i="84" s="1"/>
  <c r="BB309" i="84"/>
  <c r="BB313" i="84" s="1"/>
  <c r="BC309" i="84"/>
  <c r="BC313" i="84" s="1"/>
  <c r="BD309" i="84"/>
  <c r="BD313" i="84" s="1"/>
  <c r="BE309" i="84"/>
  <c r="BE313" i="84" s="1"/>
  <c r="BF309" i="84"/>
  <c r="BF313" i="84" s="1"/>
  <c r="BG309" i="84"/>
  <c r="BG313" i="84" s="1"/>
  <c r="BH309" i="84"/>
  <c r="BH313" i="84" s="1"/>
  <c r="BI309" i="84"/>
  <c r="BI313" i="84" s="1"/>
  <c r="BJ309" i="84"/>
  <c r="BJ313" i="84" s="1"/>
  <c r="BK309" i="84"/>
  <c r="BK313" i="84" s="1"/>
  <c r="BL309" i="84"/>
  <c r="BL313" i="84" s="1"/>
  <c r="BM309" i="84"/>
  <c r="BM313" i="84" s="1"/>
  <c r="BN309" i="84"/>
  <c r="BN313" i="84" s="1"/>
  <c r="BO309" i="84"/>
  <c r="BO313" i="84" s="1"/>
  <c r="BP309" i="84"/>
  <c r="BP313" i="84" s="1"/>
  <c r="BQ309" i="84"/>
  <c r="BQ313" i="84" s="1"/>
  <c r="BR309" i="84"/>
  <c r="BR313" i="84" s="1"/>
  <c r="D309" i="84"/>
  <c r="D313" i="84" s="1"/>
  <c r="D26" i="91"/>
  <c r="D25" i="91"/>
  <c r="D22" i="91"/>
  <c r="D19" i="91"/>
  <c r="D15" i="91" l="1"/>
  <c r="D16" i="91"/>
  <c r="D14" i="91"/>
  <c r="E146" i="28" l="1"/>
  <c r="E147" i="28"/>
  <c r="M13" i="88"/>
  <c r="D33" i="91" l="1"/>
  <c r="D24" i="91"/>
  <c r="D23" i="91"/>
  <c r="D35" i="91" l="1"/>
  <c r="L239" i="28" l="1"/>
  <c r="L240" i="28"/>
  <c r="C220" i="28" l="1"/>
  <c r="E230" i="28"/>
  <c r="E229" i="28"/>
  <c r="G86" i="1" l="1"/>
  <c r="C109" i="72" l="1"/>
  <c r="E331" i="82" l="1"/>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D333" i="82"/>
  <c r="D332" i="82"/>
  <c r="D331"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D318"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U314" i="82"/>
  <c r="CV314" i="82"/>
  <c r="CW314" i="82"/>
  <c r="CX314" i="82"/>
  <c r="CY314" i="82"/>
  <c r="CZ314" i="82"/>
  <c r="D314" i="82"/>
  <c r="CL305" i="82"/>
  <c r="CM305" i="82"/>
  <c r="CN305" i="82"/>
  <c r="CO305" i="82"/>
  <c r="CP305" i="82"/>
  <c r="CQ305" i="82"/>
  <c r="CR305" i="82"/>
  <c r="CS305" i="82"/>
  <c r="CT305" i="82"/>
  <c r="CU305" i="82"/>
  <c r="CV305" i="82"/>
  <c r="CW305" i="82"/>
  <c r="CX305" i="82"/>
  <c r="CY305" i="82"/>
  <c r="CZ305" i="82"/>
  <c r="CL306" i="82"/>
  <c r="CM306" i="82"/>
  <c r="CN306" i="82"/>
  <c r="CO306" i="82"/>
  <c r="CP306" i="82"/>
  <c r="CQ306" i="82"/>
  <c r="CR306" i="82"/>
  <c r="CS306" i="82"/>
  <c r="CT306" i="82"/>
  <c r="CU306" i="82"/>
  <c r="CV306" i="82"/>
  <c r="CW306" i="82"/>
  <c r="CX306" i="82"/>
  <c r="CY306" i="82"/>
  <c r="CZ306" i="82"/>
  <c r="E21" i="1"/>
  <c r="E14" i="1"/>
  <c r="E11" i="1"/>
  <c r="D322" i="82" l="1"/>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D321"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D323" i="82"/>
  <c r="D324" i="82"/>
  <c r="D325" i="82"/>
  <c r="D326"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D32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S310" i="82"/>
  <c r="BT310" i="82"/>
  <c r="BU310" i="82"/>
  <c r="BV310" i="82"/>
  <c r="BW310" i="82"/>
  <c r="BX310" i="82"/>
  <c r="BY310" i="82"/>
  <c r="BZ310" i="82"/>
  <c r="CA310" i="82"/>
  <c r="CB310" i="82"/>
  <c r="CC310" i="82"/>
  <c r="CD310" i="82"/>
  <c r="CE310" i="82"/>
  <c r="CF310" i="82"/>
  <c r="CG310" i="82"/>
  <c r="CH310" i="82"/>
  <c r="CI310" i="82"/>
  <c r="CJ310" i="82"/>
  <c r="CK310" i="82"/>
  <c r="CL310" i="82"/>
  <c r="CM310" i="82"/>
  <c r="CN310" i="82"/>
  <c r="CO310" i="82"/>
  <c r="CP310" i="82"/>
  <c r="CQ310" i="82"/>
  <c r="CR310" i="82"/>
  <c r="CS310" i="82"/>
  <c r="CT310" i="82"/>
  <c r="CU310" i="82"/>
  <c r="CV310" i="82"/>
  <c r="CW310" i="82"/>
  <c r="CX310" i="82"/>
  <c r="CY310" i="82"/>
  <c r="CZ310"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S312" i="82"/>
  <c r="BT312" i="82"/>
  <c r="BU312" i="82"/>
  <c r="BV312" i="82"/>
  <c r="BW312" i="82"/>
  <c r="BX312" i="82"/>
  <c r="BY312" i="82"/>
  <c r="BZ312" i="82"/>
  <c r="CA312" i="82"/>
  <c r="CB312" i="82"/>
  <c r="CC312" i="82"/>
  <c r="CD312" i="82"/>
  <c r="CE312" i="82"/>
  <c r="CF312" i="82"/>
  <c r="CG312" i="82"/>
  <c r="CH312" i="82"/>
  <c r="CI312" i="82"/>
  <c r="CJ312" i="82"/>
  <c r="CK312" i="82"/>
  <c r="CL312" i="82"/>
  <c r="CM312" i="82"/>
  <c r="CN312" i="82"/>
  <c r="CO312" i="82"/>
  <c r="CP312" i="82"/>
  <c r="CQ312" i="82"/>
  <c r="CR312" i="82"/>
  <c r="CS312" i="82"/>
  <c r="CT312" i="82"/>
  <c r="CU312" i="82"/>
  <c r="CV312" i="82"/>
  <c r="CW312" i="82"/>
  <c r="CX312" i="82"/>
  <c r="CY312" i="82"/>
  <c r="CZ312"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D311" i="82"/>
  <c r="D312" i="82"/>
  <c r="D313" i="82"/>
  <c r="D310" i="82"/>
  <c r="E264" i="1"/>
  <c r="E261" i="1"/>
  <c r="E260" i="1"/>
  <c r="E255" i="1"/>
  <c r="E256" i="1"/>
  <c r="E257" i="1"/>
  <c r="E258" i="1"/>
  <c r="E259" i="1"/>
  <c r="E254" i="1"/>
  <c r="E251" i="1"/>
  <c r="E249" i="1"/>
  <c r="E247" i="1"/>
  <c r="E245" i="1"/>
  <c r="E243" i="1"/>
  <c r="E244" i="1"/>
  <c r="E242" i="1"/>
  <c r="E238" i="1"/>
  <c r="E235" i="1"/>
  <c r="E233" i="1"/>
  <c r="E234" i="1"/>
  <c r="E232" i="1"/>
  <c r="E231" i="1"/>
  <c r="E229" i="1"/>
  <c r="E227" i="1"/>
  <c r="E228"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L285" i="82"/>
  <c r="CM285" i="82"/>
  <c r="CN285" i="82"/>
  <c r="CO285" i="82"/>
  <c r="CP285" i="82"/>
  <c r="CQ285" i="82"/>
  <c r="CR285" i="82"/>
  <c r="CS285" i="82"/>
  <c r="CT285" i="82"/>
  <c r="CU285" i="82"/>
  <c r="CV285" i="82"/>
  <c r="CW285" i="82"/>
  <c r="CX285" i="82"/>
  <c r="CY285" i="82"/>
  <c r="CZ285" i="82"/>
  <c r="CL286" i="82"/>
  <c r="CM286" i="82"/>
  <c r="CN286" i="82"/>
  <c r="CO286" i="82"/>
  <c r="CP286" i="82"/>
  <c r="CQ286" i="82"/>
  <c r="CR286" i="82"/>
  <c r="CS286" i="82"/>
  <c r="CT286" i="82"/>
  <c r="CU286" i="82"/>
  <c r="CV286" i="82"/>
  <c r="CW286" i="82"/>
  <c r="CX286" i="82"/>
  <c r="CY286" i="82"/>
  <c r="CZ286" i="82"/>
  <c r="CL287" i="82"/>
  <c r="CM287" i="82"/>
  <c r="CN287" i="82"/>
  <c r="CO287" i="82"/>
  <c r="CP287" i="82"/>
  <c r="CQ287" i="82"/>
  <c r="CR287" i="82"/>
  <c r="CS287" i="82"/>
  <c r="CT287" i="82"/>
  <c r="CU287" i="82"/>
  <c r="CV287" i="82"/>
  <c r="CW287" i="82"/>
  <c r="CX287" i="82"/>
  <c r="CY287" i="82"/>
  <c r="CZ287" i="82"/>
  <c r="CL288" i="82"/>
  <c r="CM288" i="82"/>
  <c r="CN288" i="82"/>
  <c r="CO288" i="82"/>
  <c r="CP288" i="82"/>
  <c r="CQ288" i="82"/>
  <c r="CR288" i="82"/>
  <c r="CS288" i="82"/>
  <c r="CT288" i="82"/>
  <c r="CU288" i="82"/>
  <c r="CV288" i="82"/>
  <c r="CW288" i="82"/>
  <c r="CX288" i="82"/>
  <c r="CY288" i="82"/>
  <c r="CZ288" i="82"/>
  <c r="CL289" i="82"/>
  <c r="CM289" i="82"/>
  <c r="CN289" i="82"/>
  <c r="CO289" i="82"/>
  <c r="CP289" i="82"/>
  <c r="CQ289" i="82"/>
  <c r="CR289" i="82"/>
  <c r="CS289" i="82"/>
  <c r="CT289" i="82"/>
  <c r="CU289" i="82"/>
  <c r="CV289" i="82"/>
  <c r="CW289" i="82"/>
  <c r="CX289" i="82"/>
  <c r="CY289" i="82"/>
  <c r="CZ289" i="82"/>
  <c r="CL290" i="82"/>
  <c r="CM290" i="82"/>
  <c r="CN290" i="82"/>
  <c r="CO290" i="82"/>
  <c r="CP290" i="82"/>
  <c r="CQ290" i="82"/>
  <c r="CR290" i="82"/>
  <c r="CS290" i="82"/>
  <c r="CT290" i="82"/>
  <c r="CU290" i="82"/>
  <c r="CV290" i="82"/>
  <c r="CW290" i="82"/>
  <c r="CX290" i="82"/>
  <c r="CY290" i="82"/>
  <c r="CZ290" i="82"/>
  <c r="CL291" i="82"/>
  <c r="CM291" i="82"/>
  <c r="CN291" i="82"/>
  <c r="CO291" i="82"/>
  <c r="CP291" i="82"/>
  <c r="CQ291" i="82"/>
  <c r="CR291" i="82"/>
  <c r="CS291" i="82"/>
  <c r="CT291" i="82"/>
  <c r="CU291" i="82"/>
  <c r="CV291" i="82"/>
  <c r="CW291" i="82"/>
  <c r="CX291" i="82"/>
  <c r="CY291" i="82"/>
  <c r="CZ291" i="82"/>
  <c r="CL292" i="82"/>
  <c r="CM292" i="82"/>
  <c r="CN292" i="82"/>
  <c r="CO292" i="82"/>
  <c r="CP292" i="82"/>
  <c r="CQ292" i="82"/>
  <c r="CR292" i="82"/>
  <c r="CS292" i="82"/>
  <c r="CT292" i="82"/>
  <c r="CU292" i="82"/>
  <c r="CV292" i="82"/>
  <c r="CW292" i="82"/>
  <c r="CX292" i="82"/>
  <c r="CY292" i="82"/>
  <c r="CZ292" i="82"/>
  <c r="CL293" i="82"/>
  <c r="CM293" i="82"/>
  <c r="CN293" i="82"/>
  <c r="CO293" i="82"/>
  <c r="CP293" i="82"/>
  <c r="CQ293" i="82"/>
  <c r="CR293" i="82"/>
  <c r="CS293" i="82"/>
  <c r="CT293" i="82"/>
  <c r="CU293" i="82"/>
  <c r="CV293" i="82"/>
  <c r="CW293" i="82"/>
  <c r="CX293" i="82"/>
  <c r="CY293" i="82"/>
  <c r="CZ293" i="82"/>
  <c r="CL294" i="82"/>
  <c r="CM294" i="82"/>
  <c r="CN294" i="82"/>
  <c r="CO294" i="82"/>
  <c r="CP294" i="82"/>
  <c r="CQ294" i="82"/>
  <c r="CR294" i="82"/>
  <c r="CS294" i="82"/>
  <c r="CT294" i="82"/>
  <c r="CU294" i="82"/>
  <c r="CV294" i="82"/>
  <c r="CW294" i="82"/>
  <c r="CX294" i="82"/>
  <c r="CY294" i="82"/>
  <c r="CZ294" i="82"/>
  <c r="CL295" i="82"/>
  <c r="CM295" i="82"/>
  <c r="CN295" i="82"/>
  <c r="CO295" i="82"/>
  <c r="CP295" i="82"/>
  <c r="CQ295" i="82"/>
  <c r="CR295" i="82"/>
  <c r="CS295" i="82"/>
  <c r="CT295" i="82"/>
  <c r="CU295" i="82"/>
  <c r="CV295" i="82"/>
  <c r="CW295" i="82"/>
  <c r="CX295" i="82"/>
  <c r="CY295" i="82"/>
  <c r="CZ295" i="82"/>
  <c r="CL296" i="82"/>
  <c r="CM296" i="82"/>
  <c r="CN296" i="82"/>
  <c r="CO296" i="82"/>
  <c r="CP296" i="82"/>
  <c r="CQ296" i="82"/>
  <c r="CR296" i="82"/>
  <c r="CS296" i="82"/>
  <c r="CT296" i="82"/>
  <c r="CU296" i="82"/>
  <c r="CV296" i="82"/>
  <c r="CW296" i="82"/>
  <c r="CX296" i="82"/>
  <c r="CY296" i="82"/>
  <c r="CZ296" i="82"/>
  <c r="CL297" i="82"/>
  <c r="CM297" i="82"/>
  <c r="CN297" i="82"/>
  <c r="CO297" i="82"/>
  <c r="CP297" i="82"/>
  <c r="CQ297" i="82"/>
  <c r="CR297" i="82"/>
  <c r="CS297" i="82"/>
  <c r="CT297" i="82"/>
  <c r="CU297" i="82"/>
  <c r="CV297" i="82"/>
  <c r="CW297" i="82"/>
  <c r="CX297" i="82"/>
  <c r="CY297" i="82"/>
  <c r="CZ297" i="82"/>
  <c r="CL298" i="82"/>
  <c r="CM298" i="82"/>
  <c r="CN298" i="82"/>
  <c r="CO298" i="82"/>
  <c r="CP298" i="82"/>
  <c r="CQ298" i="82"/>
  <c r="CR298" i="82"/>
  <c r="CS298" i="82"/>
  <c r="CT298" i="82"/>
  <c r="CU298" i="82"/>
  <c r="CV298" i="82"/>
  <c r="CW298" i="82"/>
  <c r="CX298" i="82"/>
  <c r="CY298" i="82"/>
  <c r="CZ298" i="82"/>
  <c r="CL299" i="82"/>
  <c r="CM299" i="82"/>
  <c r="CN299" i="82"/>
  <c r="CO299" i="82"/>
  <c r="CP299" i="82"/>
  <c r="CQ299" i="82"/>
  <c r="CR299" i="82"/>
  <c r="CS299" i="82"/>
  <c r="CT299" i="82"/>
  <c r="CU299" i="82"/>
  <c r="CV299" i="82"/>
  <c r="CW299" i="82"/>
  <c r="CX299" i="82"/>
  <c r="CY299" i="82"/>
  <c r="CZ299" i="82"/>
  <c r="CL300" i="82"/>
  <c r="CM300" i="82"/>
  <c r="CN300" i="82"/>
  <c r="CO300" i="82"/>
  <c r="CP300" i="82"/>
  <c r="CQ300" i="82"/>
  <c r="CR300" i="82"/>
  <c r="CS300" i="82"/>
  <c r="CT300" i="82"/>
  <c r="CU300" i="82"/>
  <c r="CV300" i="82"/>
  <c r="CW300" i="82"/>
  <c r="CX300" i="82"/>
  <c r="CY300" i="82"/>
  <c r="CZ300" i="82"/>
  <c r="CL301" i="82"/>
  <c r="CM301" i="82"/>
  <c r="CN301" i="82"/>
  <c r="CO301" i="82"/>
  <c r="CP301" i="82"/>
  <c r="CQ301" i="82"/>
  <c r="CR301" i="82"/>
  <c r="CS301" i="82"/>
  <c r="CT301" i="82"/>
  <c r="CU301" i="82"/>
  <c r="CV301" i="82"/>
  <c r="CW301" i="82"/>
  <c r="CX301" i="82"/>
  <c r="CY301" i="82"/>
  <c r="CZ301" i="82"/>
  <c r="CL302" i="82"/>
  <c r="CM302" i="82"/>
  <c r="CN302" i="82"/>
  <c r="CO302" i="82"/>
  <c r="CP302" i="82"/>
  <c r="CQ302" i="82"/>
  <c r="CR302" i="82"/>
  <c r="CS302" i="82"/>
  <c r="CT302" i="82"/>
  <c r="CU302" i="82"/>
  <c r="CV302" i="82"/>
  <c r="CW302" i="82"/>
  <c r="CX302" i="82"/>
  <c r="CY302" i="82"/>
  <c r="CZ302" i="82"/>
  <c r="CL303" i="82"/>
  <c r="CM303" i="82"/>
  <c r="CN303" i="82"/>
  <c r="CO303" i="82"/>
  <c r="CP303" i="82"/>
  <c r="CQ303" i="82"/>
  <c r="CR303" i="82"/>
  <c r="CS303" i="82"/>
  <c r="CT303" i="82"/>
  <c r="CU303" i="82"/>
  <c r="CV303" i="82"/>
  <c r="CW303" i="82"/>
  <c r="CX303" i="82"/>
  <c r="CY303" i="82"/>
  <c r="CZ303" i="82"/>
  <c r="CL304" i="82"/>
  <c r="CM304" i="82"/>
  <c r="CN304" i="82"/>
  <c r="CO304" i="82"/>
  <c r="CP304" i="82"/>
  <c r="CQ304" i="82"/>
  <c r="CR304" i="82"/>
  <c r="CS304" i="82"/>
  <c r="CT304" i="82"/>
  <c r="CU304" i="82"/>
  <c r="CV304" i="82"/>
  <c r="CW304" i="82"/>
  <c r="CX304" i="82"/>
  <c r="CY304" i="82"/>
  <c r="CZ304" i="82"/>
  <c r="CL307" i="82"/>
  <c r="CM307" i="82"/>
  <c r="CN307" i="82"/>
  <c r="CO307" i="82"/>
  <c r="CP307" i="82"/>
  <c r="CQ307" i="82"/>
  <c r="CR307" i="82"/>
  <c r="CS307" i="82"/>
  <c r="CT307" i="82"/>
  <c r="CU307" i="82"/>
  <c r="CV307" i="82"/>
  <c r="CW307" i="82"/>
  <c r="CX307" i="82"/>
  <c r="CY307" i="82"/>
  <c r="CZ307" i="82"/>
  <c r="CL308" i="82"/>
  <c r="CM308" i="82"/>
  <c r="CN308" i="82"/>
  <c r="CO308" i="82"/>
  <c r="CP308" i="82"/>
  <c r="CQ308" i="82"/>
  <c r="CR308" i="82"/>
  <c r="CS308" i="82"/>
  <c r="CT308" i="82"/>
  <c r="CU308" i="82"/>
  <c r="CV308" i="82"/>
  <c r="CW308" i="82"/>
  <c r="CX308" i="82"/>
  <c r="CY308" i="82"/>
  <c r="CZ308"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S309" i="82"/>
  <c r="BT309" i="82"/>
  <c r="BU309" i="82"/>
  <c r="BV309" i="82"/>
  <c r="BW309" i="82"/>
  <c r="BX309" i="82"/>
  <c r="BY309" i="82"/>
  <c r="BZ309" i="82"/>
  <c r="CA309" i="82"/>
  <c r="CB309" i="82"/>
  <c r="CC309" i="82"/>
  <c r="CD309" i="82"/>
  <c r="CE309" i="82"/>
  <c r="CF309" i="82"/>
  <c r="CG309" i="82"/>
  <c r="CH309" i="82"/>
  <c r="CI309" i="82"/>
  <c r="CJ309" i="82"/>
  <c r="CK309" i="82"/>
  <c r="CL309" i="82"/>
  <c r="CM309" i="82"/>
  <c r="CN309" i="82"/>
  <c r="CO309" i="82"/>
  <c r="CP309" i="82"/>
  <c r="CQ309" i="82"/>
  <c r="CR309" i="82"/>
  <c r="CS309" i="82"/>
  <c r="CT309" i="82"/>
  <c r="CU309" i="82"/>
  <c r="CV309" i="82"/>
  <c r="CW309" i="82"/>
  <c r="CX309" i="82"/>
  <c r="CY309" i="82"/>
  <c r="CZ309"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D309" i="82"/>
  <c r="D319" i="82"/>
  <c r="D317" i="82"/>
  <c r="D316" i="82"/>
  <c r="D315" i="82"/>
  <c r="L327" i="82" l="1"/>
  <c r="CZ327" i="82"/>
  <c r="CR327" i="82"/>
  <c r="CR329" i="82" s="1"/>
  <c r="CR335" i="82" s="1"/>
  <c r="CJ327" i="82"/>
  <c r="CB327" i="82"/>
  <c r="BT327" i="82"/>
  <c r="BT329" i="82" s="1"/>
  <c r="BT335" i="82" s="1"/>
  <c r="BL327" i="82"/>
  <c r="BL329" i="82" s="1"/>
  <c r="BL335" i="82" s="1"/>
  <c r="BD327" i="82"/>
  <c r="BD329" i="82" s="1"/>
  <c r="BD335" i="82" s="1"/>
  <c r="AV327" i="82"/>
  <c r="AV329" i="82" s="1"/>
  <c r="AV335" i="82" s="1"/>
  <c r="AN327" i="82"/>
  <c r="AF327" i="82"/>
  <c r="AF329" i="82" s="1"/>
  <c r="AF335" i="82" s="1"/>
  <c r="X327" i="82"/>
  <c r="P327" i="82"/>
  <c r="H327" i="82"/>
  <c r="H329" i="82" s="1"/>
  <c r="H335" i="82" s="1"/>
  <c r="AM327" i="82"/>
  <c r="AM329" i="82" s="1"/>
  <c r="AM335" i="82" s="1"/>
  <c r="G327" i="82"/>
  <c r="G329" i="82" s="1"/>
  <c r="G335" i="82" s="1"/>
  <c r="CX327" i="82"/>
  <c r="CX329" i="82" s="1"/>
  <c r="CX335" i="82" s="1"/>
  <c r="BZ327" i="82"/>
  <c r="BZ329" i="82" s="1"/>
  <c r="BZ335" i="82" s="1"/>
  <c r="N327" i="82"/>
  <c r="N329" i="82" s="1"/>
  <c r="N335" i="82" s="1"/>
  <c r="CW327" i="82"/>
  <c r="CO327" i="82"/>
  <c r="CO329" i="82" s="1"/>
  <c r="CO335" i="82" s="1"/>
  <c r="CG327" i="82"/>
  <c r="CG329" i="82" s="1"/>
  <c r="CG335" i="82" s="1"/>
  <c r="BY327" i="82"/>
  <c r="BY329" i="82" s="1"/>
  <c r="BY335" i="82" s="1"/>
  <c r="BQ327" i="82"/>
  <c r="BQ329" i="82" s="1"/>
  <c r="BQ335" i="82" s="1"/>
  <c r="BI327" i="82"/>
  <c r="BA327" i="82"/>
  <c r="AS327" i="82"/>
  <c r="AK327" i="82"/>
  <c r="AC327" i="82"/>
  <c r="AC329" i="82" s="1"/>
  <c r="AC335" i="82" s="1"/>
  <c r="U327" i="82"/>
  <c r="U329" i="82" s="1"/>
  <c r="U335" i="82" s="1"/>
  <c r="M327" i="82"/>
  <c r="M329" i="82" s="1"/>
  <c r="M335" i="82" s="1"/>
  <c r="CQ327" i="82"/>
  <c r="CQ329" i="82" s="1"/>
  <c r="CQ335" i="82" s="1"/>
  <c r="AU327" i="82"/>
  <c r="CH327" i="82"/>
  <c r="CH329" i="82" s="1"/>
  <c r="CH335" i="82" s="1"/>
  <c r="BJ327" i="82"/>
  <c r="BJ329" i="82" s="1"/>
  <c r="BJ335" i="82" s="1"/>
  <c r="AT327" i="82"/>
  <c r="AL327" i="82"/>
  <c r="AL329" i="82" s="1"/>
  <c r="AL335" i="82" s="1"/>
  <c r="AD327" i="82"/>
  <c r="AD329" i="82" s="1"/>
  <c r="AD335" i="82" s="1"/>
  <c r="F327" i="82"/>
  <c r="F329" i="82" s="1"/>
  <c r="F335" i="82" s="1"/>
  <c r="D327" i="82"/>
  <c r="BR327" i="82"/>
  <c r="BR329" i="82" s="1"/>
  <c r="BR335" i="82" s="1"/>
  <c r="CT327" i="82"/>
  <c r="CT329" i="82" s="1"/>
  <c r="CT335" i="82" s="1"/>
  <c r="CL327" i="82"/>
  <c r="CL329" i="82" s="1"/>
  <c r="CL335" i="82" s="1"/>
  <c r="BK327" i="82"/>
  <c r="CP327" i="82"/>
  <c r="CP329" i="82" s="1"/>
  <c r="BB327" i="82"/>
  <c r="BB329" i="82" s="1"/>
  <c r="BB335" i="82" s="1"/>
  <c r="V327" i="82"/>
  <c r="V329" i="82" s="1"/>
  <c r="V335" i="82" s="1"/>
  <c r="CS327" i="82"/>
  <c r="CK327" i="82"/>
  <c r="CK329" i="82" s="1"/>
  <c r="CK335" i="82" s="1"/>
  <c r="CC327" i="82"/>
  <c r="CC329" i="82" s="1"/>
  <c r="CC335" i="82" s="1"/>
  <c r="BU327" i="82"/>
  <c r="BU329" i="82" s="1"/>
  <c r="BU335" i="82" s="1"/>
  <c r="BM327" i="82"/>
  <c r="BE327" i="82"/>
  <c r="BE329" i="82" s="1"/>
  <c r="BE335" i="82" s="1"/>
  <c r="AW327" i="82"/>
  <c r="AW329" i="82" s="1"/>
  <c r="AW335" i="82" s="1"/>
  <c r="AO327" i="82"/>
  <c r="AO329" i="82" s="1"/>
  <c r="AO335" i="82" s="1"/>
  <c r="AG327" i="82"/>
  <c r="AG329" i="82" s="1"/>
  <c r="AG335" i="82" s="1"/>
  <c r="Y327" i="82"/>
  <c r="Y329" i="82" s="1"/>
  <c r="Y335" i="82" s="1"/>
  <c r="Q327" i="82"/>
  <c r="Q329" i="82" s="1"/>
  <c r="Q335" i="82" s="1"/>
  <c r="I327" i="82"/>
  <c r="I329" i="82" s="1"/>
  <c r="I335" i="82" s="1"/>
  <c r="CD327" i="82"/>
  <c r="CD329" i="82" s="1"/>
  <c r="CD335" i="82" s="1"/>
  <c r="BV327" i="82"/>
  <c r="BV329" i="82" s="1"/>
  <c r="BV335" i="82" s="1"/>
  <c r="BN327" i="82"/>
  <c r="BN329" i="82" s="1"/>
  <c r="BN335" i="82" s="1"/>
  <c r="BF327" i="82"/>
  <c r="BF329" i="82" s="1"/>
  <c r="BF335" i="82" s="1"/>
  <c r="AX327" i="82"/>
  <c r="AX329" i="82" s="1"/>
  <c r="AX335" i="82" s="1"/>
  <c r="AP327" i="82"/>
  <c r="AP329" i="82" s="1"/>
  <c r="AP335" i="82" s="1"/>
  <c r="AH327" i="82"/>
  <c r="AH329" i="82" s="1"/>
  <c r="AH335" i="82" s="1"/>
  <c r="Z327" i="82"/>
  <c r="Z329" i="82" s="1"/>
  <c r="Z335" i="82" s="1"/>
  <c r="R327" i="82"/>
  <c r="R329" i="82" s="1"/>
  <c r="R335" i="82" s="1"/>
  <c r="J327" i="82"/>
  <c r="J329" i="82" s="1"/>
  <c r="J335" i="82" s="1"/>
  <c r="K327" i="82"/>
  <c r="K329" i="82" s="1"/>
  <c r="K335" i="82" s="1"/>
  <c r="CV327" i="82"/>
  <c r="CV329" i="82" s="1"/>
  <c r="CV335" i="82" s="1"/>
  <c r="CN327" i="82"/>
  <c r="CN329" i="82" s="1"/>
  <c r="CN335" i="82" s="1"/>
  <c r="CF327" i="82"/>
  <c r="CF329" i="82" s="1"/>
  <c r="CF335" i="82" s="1"/>
  <c r="BX327" i="82"/>
  <c r="BX329" i="82" s="1"/>
  <c r="BX335" i="82" s="1"/>
  <c r="BP327" i="82"/>
  <c r="BP329" i="82" s="1"/>
  <c r="BP335" i="82" s="1"/>
  <c r="BH327" i="82"/>
  <c r="BH329" i="82" s="1"/>
  <c r="BH335" i="82" s="1"/>
  <c r="AZ327" i="82"/>
  <c r="AZ329" i="82" s="1"/>
  <c r="AZ335" i="82" s="1"/>
  <c r="AR327" i="82"/>
  <c r="AR329" i="82" s="1"/>
  <c r="AR335" i="82" s="1"/>
  <c r="AJ327" i="82"/>
  <c r="AJ329" i="82" s="1"/>
  <c r="AJ335" i="82" s="1"/>
  <c r="AB327" i="82"/>
  <c r="AB329" i="82" s="1"/>
  <c r="AB335" i="82" s="1"/>
  <c r="T327" i="82"/>
  <c r="T329" i="82" s="1"/>
  <c r="T335" i="82" s="1"/>
  <c r="CU327" i="82"/>
  <c r="CU329" i="82" s="1"/>
  <c r="CU335" i="82" s="1"/>
  <c r="CE327" i="82"/>
  <c r="CE329" i="82" s="1"/>
  <c r="CE335" i="82" s="1"/>
  <c r="BO327" i="82"/>
  <c r="BO329" i="82" s="1"/>
  <c r="BO335" i="82" s="1"/>
  <c r="AY327" i="82"/>
  <c r="AY329" i="82" s="1"/>
  <c r="AY335" i="82" s="1"/>
  <c r="AI327" i="82"/>
  <c r="AI329" i="82" s="1"/>
  <c r="AI335" i="82" s="1"/>
  <c r="AA327" i="82"/>
  <c r="AA329" i="82" s="1"/>
  <c r="AA335" i="82" s="1"/>
  <c r="S327" i="82"/>
  <c r="S329" i="82" s="1"/>
  <c r="S335" i="82" s="1"/>
  <c r="CP335" i="82"/>
  <c r="BK329" i="82"/>
  <c r="BK335" i="82" s="1"/>
  <c r="AT329" i="82"/>
  <c r="AT335" i="82" s="1"/>
  <c r="BW327" i="82"/>
  <c r="BW329" i="82" s="1"/>
  <c r="BW335" i="82" s="1"/>
  <c r="BI329" i="82"/>
  <c r="BI335" i="82" s="1"/>
  <c r="CY327" i="82"/>
  <c r="CY329" i="82" s="1"/>
  <c r="CY335" i="82" s="1"/>
  <c r="CI327" i="82"/>
  <c r="CI329" i="82" s="1"/>
  <c r="CI335" i="82" s="1"/>
  <c r="CA327" i="82"/>
  <c r="CA329" i="82" s="1"/>
  <c r="CA335" i="82" s="1"/>
  <c r="BS327" i="82"/>
  <c r="BS329" i="82" s="1"/>
  <c r="BS335" i="82" s="1"/>
  <c r="BC327" i="82"/>
  <c r="BC329" i="82" s="1"/>
  <c r="BC335" i="82" s="1"/>
  <c r="AE327" i="82"/>
  <c r="AE329" i="82" s="1"/>
  <c r="AE335" i="82" s="1"/>
  <c r="W327" i="82"/>
  <c r="W329" i="82" s="1"/>
  <c r="W335" i="82" s="1"/>
  <c r="O327" i="82"/>
  <c r="O329" i="82" s="1"/>
  <c r="O335" i="82" s="1"/>
  <c r="BM329" i="82"/>
  <c r="BM335" i="82" s="1"/>
  <c r="AU329" i="82"/>
  <c r="AU335" i="82" s="1"/>
  <c r="BG327" i="82"/>
  <c r="BG329" i="82" s="1"/>
  <c r="BG335" i="82" s="1"/>
  <c r="CM327" i="82"/>
  <c r="CM329" i="82" s="1"/>
  <c r="CM335" i="82" s="1"/>
  <c r="AQ327" i="82"/>
  <c r="AQ329" i="82" s="1"/>
  <c r="AQ335" i="82" s="1"/>
  <c r="BA329" i="82"/>
  <c r="BA335" i="82" s="1"/>
  <c r="CW329" i="82"/>
  <c r="CW335" i="82" s="1"/>
  <c r="AS329" i="82"/>
  <c r="AS335" i="82" s="1"/>
  <c r="AK329" i="82"/>
  <c r="AK335" i="82" s="1"/>
  <c r="CS329" i="82"/>
  <c r="CS335" i="82" s="1"/>
  <c r="E327" i="82"/>
  <c r="E329" i="82" s="1"/>
  <c r="E335" i="82" s="1"/>
  <c r="L329" i="82"/>
  <c r="L335" i="82" s="1"/>
  <c r="CB329" i="82"/>
  <c r="CB335" i="82" s="1"/>
  <c r="P329" i="82"/>
  <c r="P335" i="82" s="1"/>
  <c r="CZ329" i="82"/>
  <c r="CZ335" i="82" s="1"/>
  <c r="CJ329" i="82"/>
  <c r="CJ335" i="82" s="1"/>
  <c r="AN329" i="82"/>
  <c r="AN335" i="82" s="1"/>
  <c r="X329" i="82"/>
  <c r="X335" i="82" s="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l="1"/>
  <c r="G40" i="88" s="1"/>
  <c r="E225" i="28"/>
  <c r="E258" i="28"/>
  <c r="E4" i="99" l="1"/>
  <c r="C4" i="99"/>
  <c r="B4" i="99"/>
  <c r="B44" i="91" l="1"/>
  <c r="B42" i="91"/>
  <c r="B40" i="91"/>
  <c r="B3" i="93" l="1"/>
  <c r="G71" i="28" l="1"/>
  <c r="G245" i="1"/>
  <c r="G244" i="1"/>
  <c r="G126" i="1"/>
  <c r="G100" i="1"/>
  <c r="G69" i="1" l="1"/>
  <c r="E257" i="28" l="1"/>
  <c r="C257" i="28"/>
  <c r="C228"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CT341" i="82"/>
  <c r="CU341" i="82"/>
  <c r="CV341" i="82"/>
  <c r="CW341" i="82"/>
  <c r="CX341" i="82"/>
  <c r="CY341" i="82"/>
  <c r="CZ341"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D341" i="82"/>
  <c r="D329" i="82" l="1"/>
  <c r="D335" i="82" s="1"/>
  <c r="E204" i="1"/>
  <c r="E295" i="1" s="1"/>
  <c r="E191" i="1"/>
  <c r="E198" i="1"/>
  <c r="E294" i="1" s="1"/>
  <c r="E210" i="1"/>
  <c r="Y269" i="28"/>
  <c r="X267" i="28"/>
  <c r="X266" i="28"/>
  <c r="X269" i="28" s="1"/>
  <c r="Z269" i="28" s="1"/>
  <c r="E296" i="1" l="1"/>
  <c r="E293" i="1"/>
  <c r="E292" i="1"/>
  <c r="E211" i="1"/>
  <c r="E297" i="1" s="1"/>
  <c r="E299" i="1" l="1"/>
  <c r="I337" i="82" s="1"/>
  <c r="I339" i="82" s="1"/>
  <c r="A290" i="1"/>
  <c r="T337" i="82" l="1"/>
  <c r="T339" i="82" s="1"/>
  <c r="BL337" i="82"/>
  <c r="BL339" i="82" s="1"/>
  <c r="BM337" i="82"/>
  <c r="BM339" i="82" s="1"/>
  <c r="BH337" i="82"/>
  <c r="BH339" i="82" s="1"/>
  <c r="CN337" i="82"/>
  <c r="CN339" i="82" s="1"/>
  <c r="CR337" i="82"/>
  <c r="CR339" i="82" s="1"/>
  <c r="BY337" i="82"/>
  <c r="BY339" i="82" s="1"/>
  <c r="CV337" i="82"/>
  <c r="CV339" i="82" s="1"/>
  <c r="BD337" i="82"/>
  <c r="BD339" i="82" s="1"/>
  <c r="CT337" i="82"/>
  <c r="CT339" i="82" s="1"/>
  <c r="AM337" i="82"/>
  <c r="AM339" i="82" s="1"/>
  <c r="AH337" i="82"/>
  <c r="AH339" i="82" s="1"/>
  <c r="V337" i="82"/>
  <c r="V339" i="82" s="1"/>
  <c r="M337" i="82"/>
  <c r="M339" i="82" s="1"/>
  <c r="BS337" i="82"/>
  <c r="BS339" i="82" s="1"/>
  <c r="BZ337" i="82"/>
  <c r="BZ339" i="82" s="1"/>
  <c r="AA337" i="82"/>
  <c r="AA339" i="82" s="1"/>
  <c r="CI337" i="82"/>
  <c r="CI339" i="82" s="1"/>
  <c r="CZ337" i="82"/>
  <c r="CZ339" i="82" s="1"/>
  <c r="BF337" i="82"/>
  <c r="BF339" i="82" s="1"/>
  <c r="CA337" i="82"/>
  <c r="CA339" i="82" s="1"/>
  <c r="CM337" i="82"/>
  <c r="CM339" i="82" s="1"/>
  <c r="CH337" i="82"/>
  <c r="CH339" i="82" s="1"/>
  <c r="AE337" i="82"/>
  <c r="AE339" i="82" s="1"/>
  <c r="BO337" i="82"/>
  <c r="BO339" i="82" s="1"/>
  <c r="BJ337" i="82"/>
  <c r="BJ339" i="82" s="1"/>
  <c r="BA337" i="82"/>
  <c r="BA339" i="82" s="1"/>
  <c r="D337" i="82"/>
  <c r="D339" i="82" s="1"/>
  <c r="N337" i="82"/>
  <c r="N339" i="82" s="1"/>
  <c r="CJ337" i="82"/>
  <c r="CJ339" i="82" s="1"/>
  <c r="BK337" i="82"/>
  <c r="BK339" i="82" s="1"/>
  <c r="BQ337" i="82"/>
  <c r="BQ339" i="82" s="1"/>
  <c r="E337" i="82"/>
  <c r="E339" i="82" s="1"/>
  <c r="AX337" i="82"/>
  <c r="AX339" i="82" s="1"/>
  <c r="CE337" i="82"/>
  <c r="CE339" i="82" s="1"/>
  <c r="S337" i="82"/>
  <c r="S339" i="82" s="1"/>
  <c r="BE337" i="82"/>
  <c r="BE339" i="82" s="1"/>
  <c r="BT337" i="82"/>
  <c r="BT339" i="82" s="1"/>
  <c r="BC337" i="82"/>
  <c r="BC339" i="82" s="1"/>
  <c r="BR337" i="82"/>
  <c r="BR339" i="82" s="1"/>
  <c r="F337" i="82"/>
  <c r="F339" i="82" s="1"/>
  <c r="CB337" i="82"/>
  <c r="CB339" i="82" s="1"/>
  <c r="AU337" i="82"/>
  <c r="AU339" i="82" s="1"/>
  <c r="BI337" i="82"/>
  <c r="BI339" i="82" s="1"/>
  <c r="AB337" i="82"/>
  <c r="AB339" i="82" s="1"/>
  <c r="AP337" i="82"/>
  <c r="AP339" i="82" s="1"/>
  <c r="BW337" i="82"/>
  <c r="BW339" i="82" s="1"/>
  <c r="K337" i="82"/>
  <c r="K339" i="82" s="1"/>
  <c r="AW337" i="82"/>
  <c r="AW339" i="82" s="1"/>
  <c r="AO337" i="82"/>
  <c r="AO339" i="82" s="1"/>
  <c r="AG337" i="82"/>
  <c r="AG339" i="82" s="1"/>
  <c r="CF337" i="82"/>
  <c r="CF339" i="82" s="1"/>
  <c r="AN337" i="82"/>
  <c r="AN339" i="82" s="1"/>
  <c r="W337" i="82"/>
  <c r="W339" i="82" s="1"/>
  <c r="BB337" i="82"/>
  <c r="BB339" i="82" s="1"/>
  <c r="BX337" i="82"/>
  <c r="BX339" i="82" s="1"/>
  <c r="AV337" i="82"/>
  <c r="AV339" i="82" s="1"/>
  <c r="O337" i="82"/>
  <c r="O339" i="82" s="1"/>
  <c r="AS337" i="82"/>
  <c r="AS339" i="82" s="1"/>
  <c r="CL337" i="82"/>
  <c r="CL339" i="82" s="1"/>
  <c r="Z337" i="82"/>
  <c r="Z339" i="82" s="1"/>
  <c r="BG337" i="82"/>
  <c r="BG339" i="82" s="1"/>
  <c r="CS337" i="82"/>
  <c r="CS339" i="82" s="1"/>
  <c r="BP337" i="82"/>
  <c r="BP339" i="82" s="1"/>
  <c r="X337" i="82"/>
  <c r="X339" i="82" s="1"/>
  <c r="G337" i="82"/>
  <c r="G339" i="82" s="1"/>
  <c r="AT337" i="82"/>
  <c r="AT339" i="82" s="1"/>
  <c r="AZ337" i="82"/>
  <c r="AZ339" i="82" s="1"/>
  <c r="AF337" i="82"/>
  <c r="AF339" i="82" s="1"/>
  <c r="CW337" i="82"/>
  <c r="CW339" i="82" s="1"/>
  <c r="AK337" i="82"/>
  <c r="AK339" i="82" s="1"/>
  <c r="CD337" i="82"/>
  <c r="CD339" i="82" s="1"/>
  <c r="R337" i="82"/>
  <c r="R339" i="82" s="1"/>
  <c r="AY337" i="82"/>
  <c r="AY339" i="82" s="1"/>
  <c r="CK337" i="82"/>
  <c r="CK339" i="82" s="1"/>
  <c r="Y337" i="82"/>
  <c r="Y339" i="82" s="1"/>
  <c r="AQ337" i="82"/>
  <c r="AQ339" i="82" s="1"/>
  <c r="H337" i="82"/>
  <c r="H339" i="82" s="1"/>
  <c r="CX337" i="82"/>
  <c r="CX339" i="82" s="1"/>
  <c r="AL337" i="82"/>
  <c r="AL339" i="82" s="1"/>
  <c r="AJ337" i="82"/>
  <c r="AJ339" i="82" s="1"/>
  <c r="P337" i="82"/>
  <c r="P339" i="82" s="1"/>
  <c r="CO337" i="82"/>
  <c r="CO339" i="82" s="1"/>
  <c r="AC337" i="82"/>
  <c r="AC339" i="82" s="1"/>
  <c r="BV337" i="82"/>
  <c r="BV339" i="82" s="1"/>
  <c r="J337" i="82"/>
  <c r="J339" i="82" s="1"/>
  <c r="CC337" i="82"/>
  <c r="CC339" i="82" s="1"/>
  <c r="Q337" i="82"/>
  <c r="Q339" i="82" s="1"/>
  <c r="AR337" i="82"/>
  <c r="AR339" i="82" s="1"/>
  <c r="CY337" i="82"/>
  <c r="CY339" i="82" s="1"/>
  <c r="CP337" i="82"/>
  <c r="CP339" i="82" s="1"/>
  <c r="AD337" i="82"/>
  <c r="AD339" i="82" s="1"/>
  <c r="L337" i="82"/>
  <c r="L339" i="82" s="1"/>
  <c r="CQ337" i="82"/>
  <c r="CQ339" i="82" s="1"/>
  <c r="CG337" i="82"/>
  <c r="CG339" i="82" s="1"/>
  <c r="U337" i="82"/>
  <c r="U339" i="82" s="1"/>
  <c r="BN337" i="82"/>
  <c r="BN339" i="82" s="1"/>
  <c r="CU337" i="82"/>
  <c r="CU339" i="82" s="1"/>
  <c r="AI337" i="82"/>
  <c r="AI339" i="82" s="1"/>
  <c r="BU337" i="82"/>
  <c r="BU339" i="82" s="1"/>
  <c r="G114" i="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25" i="88" l="1"/>
  <c r="L28" i="88"/>
  <c r="L24" i="88"/>
  <c r="P16" i="88"/>
  <c r="M27" i="88"/>
  <c r="M21" i="88"/>
  <c r="D21" i="88" s="1"/>
  <c r="M16" i="88"/>
  <c r="L27" i="88"/>
  <c r="L21" i="88"/>
  <c r="C21" i="88" s="1"/>
  <c r="M15" i="88"/>
  <c r="L19" i="88"/>
  <c r="Q25" i="88"/>
  <c r="M19" i="88"/>
  <c r="L15" i="88"/>
  <c r="M25" i="88"/>
  <c r="M18" i="88"/>
  <c r="L18" i="88"/>
  <c r="M28" i="88"/>
  <c r="M24" i="88"/>
  <c r="Q16" i="88"/>
  <c r="L16" i="88"/>
  <c r="P25" i="88"/>
  <c r="L11" i="88"/>
  <c r="M11"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<sst xmlns="http://schemas.openxmlformats.org/spreadsheetml/2006/main" count="7409" uniqueCount="2886">
  <si>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</si>
  <si>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</si>
  <si>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</si>
  <si>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</si>
  <si>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</si>
  <si>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</si>
  <si>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</si>
  <si>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</si>
  <si>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</si>
  <si>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</si>
  <si>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</si>
  <si>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</si>
  <si>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</si>
  <si>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</si>
  <si>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</si>
  <si>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</si>
  <si>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</si>
  <si>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</si>
  <si>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</si>
  <si>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</si>
  <si>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</si>
  <si>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</si>
  <si>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</si>
  <si>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</si>
  <si>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</si>
  <si>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</si>
  <si>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</si>
  <si>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</si>
  <si>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</si>
  <si>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</si>
  <si>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</si>
  <si>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</si>
  <si>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</si>
  <si>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</si>
  <si>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</si>
  <si>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</si>
  <si>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</si>
  <si>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</si>
  <si>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</si>
  <si>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</si>
  <si>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</si>
  <si>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</si>
  <si>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</si>
  <si>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</si>
  <si>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</si>
  <si>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</si>
  <si>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</si>
  <si>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</si>
  <si>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</si>
  <si>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</si>
  <si>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</si>
  <si>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</si>
  <si>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</si>
  <si>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</si>
  <si>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</si>
  <si>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</si>
  <si>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</si>
  <si>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</si>
  <si>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</si>
  <si>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</si>
  <si>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</si>
  <si>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</si>
  <si>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</si>
  <si>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</si>
  <si>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</si>
  <si>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</si>
  <si>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</si>
  <si>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</si>
  <si>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</si>
  <si>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</si>
  <si>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</si>
  <si>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</si>
  <si>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</si>
  <si>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</si>
  <si>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</si>
  <si>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</si>
  <si>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</si>
  <si>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</si>
  <si>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</si>
  <si>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</si>
  <si>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</si>
  <si>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</si>
  <si>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</si>
  <si>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</si>
  <si>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</si>
  <si>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</si>
  <si>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</si>
  <si>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</si>
  <si>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</si>
  <si>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</si>
  <si>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</si>
  <si>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</si>
  <si>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</si>
  <si>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</si>
  <si>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</si>
  <si>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</si>
  <si>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</si>
  <si>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</si>
  <si>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</si>
  <si>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</si>
  <si>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</si>
  <si>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</si>
  <si>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</si>
  <si>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</si>
  <si>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</si>
  <si>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</si>
  <si>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</si>
  <si>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</si>
  <si>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</si>
  <si>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</si>
  <si>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</si>
  <si>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</si>
  <si>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</si>
  <si>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</si>
  <si>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</si>
  <si>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</si>
  <si>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</si>
  <si>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</si>
  <si>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</si>
  <si>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</si>
  <si>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</si>
  <si>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</si>
  <si>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</si>
  <si>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</si>
  <si>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</si>
  <si>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</si>
  <si>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</si>
  <si>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</si>
  <si>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</si>
  <si>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</si>
  <si>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</si>
  <si>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</si>
  <si>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</si>
  <si>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</si>
  <si>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</si>
  <si>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</si>
  <si>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</si>
  <si>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</si>
  <si>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</si>
  <si>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</si>
  <si>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</si>
  <si>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</si>
  <si>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</si>
  <si>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</si>
  <si>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</si>
  <si>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</si>
  <si>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</si>
  <si>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</si>
  <si>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</si>
  <si>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</si>
  <si>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</si>
  <si>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</si>
  <si>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</si>
  <si>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</si>
  <si>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</si>
  <si>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</si>
  <si>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</si>
  <si>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</si>
  <si>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</si>
  <si>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</si>
  <si>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</si>
  <si>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</si>
  <si>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</si>
  <si>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</si>
  <si>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</si>
  <si>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</si>
  <si>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</si>
  <si>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</si>
  <si>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</si>
  <si>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</si>
  <si>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</si>
  <si>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</si>
  <si>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</si>
  <si>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</si>
  <si>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</si>
  <si>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</si>
  <si>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</si>
  <si>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</si>
  <si>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</si>
  <si>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</si>
  <si>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</si>
  <si>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</si>
  <si>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</si>
  <si>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</si>
  <si>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</si>
  <si>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</si>
  <si>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</si>
  <si>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</si>
  <si>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</si>
  <si>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</si>
  <si>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</si>
  <si>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</si>
  <si>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</si>
  <si>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</si>
  <si>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</si>
  <si>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</si>
  <si>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</si>
  <si>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</si>
  <si>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</si>
  <si>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</si>
  <si>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</si>
  <si>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</si>
  <si>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</si>
  <si>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</si>
  <si>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</si>
  <si>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</si>
  <si>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</si>
  <si>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</si>
  <si>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</si>
  <si>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</si>
  <si>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</si>
  <si>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</si>
  <si>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</si>
  <si>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</si>
  <si>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</si>
  <si>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</si>
  <si>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</si>
  <si>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</si>
  <si>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</si>
  <si>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</si>
  <si>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</si>
  <si>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</si>
  <si>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</si>
  <si>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</si>
  <si>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</si>
  <si>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</si>
  <si>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</si>
  <si>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</si>
  <si>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</si>
  <si>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</si>
  <si>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</si>
  <si>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</si>
  <si>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</si>
  <si>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</si>
  <si>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</si>
  <si>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</si>
  <si>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</si>
  <si>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</si>
  <si>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</si>
  <si>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</si>
  <si>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</si>
  <si>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</si>
  <si>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</si>
  <si>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</si>
  <si>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</si>
  <si>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</si>
  <si>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</si>
  <si>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</si>
  <si>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</si>
  <si>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</si>
  <si>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</si>
  <si>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</si>
  <si>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</si>
  <si>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</si>
  <si>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</si>
  <si>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</si>
  <si>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</si>
  <si>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</si>
  <si>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</si>
  <si>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</si>
  <si>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</si>
  <si>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</si>
  <si>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</si>
  <si>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</si>
  <si>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</si>
  <si>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</si>
  <si>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</si>
  <si>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</si>
  <si>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</si>
  <si>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</si>
  <si>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</si>
  <si>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</si>
  <si>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</si>
  <si>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</si>
  <si>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</si>
  <si>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</si>
  <si>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</si>
  <si>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</si>
  <si>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</si>
  <si>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</si>
  <si>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</si>
  <si>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</si>
  <si>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</si>
  <si>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</si>
  <si>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</si>
  <si>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</si>
  <si>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</si>
  <si>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</si>
  <si>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</si>
  <si>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</si>
  <si>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</si>
  <si>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</si>
  <si>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</si>
  <si>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</si>
  <si>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</si>
  <si>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</si>
  <si>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</si>
  <si>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</si>
  <si>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</si>
  <si>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</si>
  <si>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</si>
  <si>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</si>
  <si>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</si>
  <si>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</si>
  <si>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</si>
  <si>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</si>
  <si>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</si>
  <si>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</si>
  <si>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</si>
  <si>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</si>
  <si>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</si>
  <si>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</si>
  <si>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</si>
  <si>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</si>
  <si>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</si>
  <si>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</si>
  <si>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</si>
  <si>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</si>
  <si>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</si>
  <si>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</si>
  <si>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</si>
  <si>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</si>
  <si>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</si>
  <si>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</si>
  <si>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</si>
  <si>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</si>
  <si>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</si>
  <si>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</si>
  <si>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</si>
  <si>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</si>
  <si>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</si>
  <si>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</si>
  <si>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</si>
  <si>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</si>
  <si>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</si>
  <si>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</si>
  <si>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</si>
  <si>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</si>
  <si>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</si>
  <si>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</si>
  <si>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</si>
  <si>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</si>
  <si>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</si>
  <si>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</si>
  <si>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</si>
  <si>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</si>
  <si>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</si>
  <si>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</si>
  <si>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</si>
  <si>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</si>
  <si>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</si>
  <si>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</si>
  <si>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</si>
  <si>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</si>
  <si>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</si>
  <si>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</si>
  <si>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</si>
  <si>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</si>
  <si>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</si>
  <si>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</si>
  <si>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</si>
  <si>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</si>
  <si>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</si>
  <si>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</si>
  <si>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</si>
  <si>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</si>
  <si>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</si>
  <si>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</si>
  <si>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</si>
  <si>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</si>
  <si>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</si>
  <si>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</si>
  <si>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</si>
  <si>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</si>
  <si>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</si>
  <si>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</si>
  <si>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</si>
  <si>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</si>
  <si>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</si>
  <si>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</si>
  <si>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</si>
  <si>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</si>
  <si>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</si>
  <si>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</si>
  <si>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</si>
  <si>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</si>
  <si>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</si>
  <si>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</si>
  <si>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</si>
  <si>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</si>
  <si>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</si>
  <si>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</si>
  <si>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</si>
  <si>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</si>
  <si>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</si>
  <si>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</si>
  <si>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</si>
  <si>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</si>
  <si>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</si>
  <si>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</si>
  <si>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</si>
  <si>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</si>
  <si>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</si>
  <si>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</si>
  <si>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</si>
  <si>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</si>
  <si>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</si>
  <si>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</si>
  <si>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</si>
  <si>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</si>
  <si>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</si>
  <si>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</si>
  <si>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</si>
  <si>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</si>
  <si>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</si>
  <si>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</si>
  <si>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</si>
  <si>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</si>
  <si>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</si>
  <si>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</si>
  <si>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</si>
  <si>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</si>
  <si>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</si>
  <si>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</si>
  <si>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</si>
  <si>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</si>
  <si>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</si>
  <si>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</si>
  <si>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</si>
  <si>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</si>
  <si>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</si>
  <si>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</si>
  <si>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</si>
  <si>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</si>
  <si>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</si>
  <si>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</si>
  <si>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</si>
  <si>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</si>
  <si>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</si>
  <si>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</si>
  <si>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</si>
  <si>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</si>
  <si>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</si>
  <si>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</si>
  <si>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</si>
  <si>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</si>
  <si>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</si>
  <si>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</si>
  <si>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</si>
  <si>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</si>
  <si>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</si>
  <si>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</si>
  <si>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</si>
  <si>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</si>
  <si>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</si>
  <si>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</si>
  <si>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</si>
  <si>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</si>
  <si>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</si>
  <si>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</si>
  <si>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</si>
  <si>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</si>
  <si>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</si>
  <si>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</si>
  <si>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</si>
  <si>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</si>
  <si>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</si>
  <si>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</si>
  <si>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</si>
  <si>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</si>
  <si>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</si>
  <si>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</si>
  <si>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</si>
  <si>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</si>
  <si>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</si>
  <si>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</si>
  <si>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</si>
  <si>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</si>
  <si>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</si>
  <si>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</si>
  <si>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</si>
  <si>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</si>
  <si>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</si>
  <si>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</si>
  <si>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</si>
  <si>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</si>
  <si>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</si>
  <si>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</si>
  <si>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</si>
  <si>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</si>
  <si>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</si>
  <si>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</si>
  <si>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</si>
  <si>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</si>
  <si>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</si>
  <si>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</si>
  <si>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</si>
  <si>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</si>
  <si>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</si>
  <si>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</si>
  <si>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</si>
  <si>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</si>
  <si>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</si>
  <si>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</si>
  <si>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</si>
  <si>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</si>
  <si>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</si>
  <si>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</si>
  <si>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</si>
  <si>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</si>
  <si>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</si>
  <si>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</si>
  <si>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</si>
  <si>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</si>
  <si>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</si>
  <si>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</si>
  <si>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</si>
  <si>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</si>
  <si>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</si>
  <si>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</si>
  <si>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</si>
  <si>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</si>
  <si>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</si>
  <si>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</si>
  <si>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</si>
  <si>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</si>
  <si>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</si>
  <si>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</si>
  <si>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</si>
  <si>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</si>
  <si>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</si>
  <si>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</si>
  <si>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</si>
  <si>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</si>
  <si>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</si>
  <si>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</si>
  <si>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</si>
  <si>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</si>
  <si>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</si>
  <si>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</si>
  <si>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</si>
  <si>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</si>
  <si>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</si>
  <si>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</si>
  <si>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</si>
  <si>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</si>
  <si>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</si>
  <si>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</si>
  <si>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</si>
  <si>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</si>
  <si>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</si>
  <si>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</si>
  <si>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</si>
  <si>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</si>
  <si>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</si>
  <si>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</si>
  <si>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</si>
  <si>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</si>
  <si>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</si>
  <si>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</si>
  <si>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</si>
  <si>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</si>
  <si>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</si>
  <si>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</si>
  <si>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</si>
  <si>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</si>
  <si>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</si>
  <si>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</si>
  <si>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</si>
  <si>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</si>
  <si>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</si>
  <si>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</si>
  <si>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</si>
  <si>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</si>
  <si>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</si>
  <si>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</si>
  <si>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</si>
  <si>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</si>
  <si>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</si>
  <si>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</si>
  <si>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</si>
  <si>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</si>
  <si>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</si>
  <si>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</si>
  <si>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</si>
  <si>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</si>
  <si>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</si>
  <si>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</si>
  <si>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</si>
  <si>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</si>
  <si>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</si>
  <si>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</si>
  <si>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</si>
  <si>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</si>
  <si>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</si>
  <si>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</si>
  <si>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</si>
  <si>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</si>
  <si>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</si>
  <si>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</si>
  <si>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</si>
  <si>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</si>
  <si>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</si>
  <si>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</si>
  <si>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</si>
  <si>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</si>
  <si>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</si>
  <si>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</si>
  <si>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</si>
  <si>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</si>
  <si>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</si>
  <si>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</si>
  <si>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</si>
  <si>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</si>
  <si>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</si>
  <si>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</si>
  <si>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</si>
  <si>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</si>
  <si>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</si>
  <si>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</si>
  <si>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</si>
  <si>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</si>
  <si>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</si>
  <si>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</si>
  <si>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</si>
  <si>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</si>
  <si>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</si>
  <si>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</si>
  <si>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</si>
  <si>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</si>
  <si>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</si>
  <si>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</si>
  <si>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</si>
  <si>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</si>
  <si>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</si>
  <si>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</si>
  <si>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</si>
  <si>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</si>
  <si>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</si>
  <si>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</si>
  <si>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</si>
  <si>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</si>
  <si>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</si>
  <si>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</si>
  <si>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</si>
  <si>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</si>
  <si>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</si>
  <si>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</si>
  <si>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</si>
  <si>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</si>
  <si>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</si>
  <si>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</si>
  <si>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</si>
  <si>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</si>
  <si>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</si>
  <si>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</si>
  <si>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</si>
  <si>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</si>
  <si>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</si>
  <si>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</si>
  <si>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</si>
  <si>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</si>
  <si>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</si>
  <si>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</si>
  <si>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</si>
  <si>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</si>
  <si>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</si>
  <si>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</si>
  <si>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</si>
  <si>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</si>
  <si>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</si>
  <si>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</si>
  <si>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</si>
  <si>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</si>
  <si>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</si>
  <si>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</si>
  <si>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</si>
  <si>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</si>
  <si>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</si>
  <si>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</si>
  <si>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</si>
  <si>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</si>
  <si>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</si>
  <si>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</si>
  <si>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</si>
  <si>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</si>
  <si>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</si>
  <si>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</si>
  <si>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</si>
  <si>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</si>
  <si>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</si>
  <si>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</si>
  <si>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</si>
  <si>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</si>
  <si>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</si>
  <si>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</si>
  <si>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</si>
  <si>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</si>
  <si>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</si>
  <si>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</si>
  <si>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</si>
  <si>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</si>
  <si>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</si>
  <si>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</si>
  <si>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</si>
  <si>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</si>
  <si>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</si>
  <si>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</si>
  <si>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</si>
  <si>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</si>
  <si>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</si>
  <si>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</si>
  <si>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</si>
  <si>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</si>
  <si>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</si>
  <si>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</si>
  <si>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</si>
  <si>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</si>
  <si>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</si>
  <si>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</si>
  <si>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</si>
  <si>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</si>
  <si>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</si>
  <si>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</si>
  <si>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</si>
  <si>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</si>
  <si>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</si>
  <si>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</si>
  <si>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</si>
  <si>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</si>
  <si>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</si>
  <si>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</si>
  <si>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</si>
  <si>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</si>
  <si>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</si>
  <si>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</si>
  <si>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</si>
  <si>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</si>
  <si>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</si>
  <si>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</si>
  <si>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</si>
  <si>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</si>
  <si>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</si>
  <si>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</si>
  <si>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</si>
  <si>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</si>
  <si>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</si>
  <si>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</si>
  <si>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</si>
  <si>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</si>
  <si>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</si>
  <si>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</si>
  <si>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</si>
  <si>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</si>
  <si>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</si>
  <si>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</si>
  <si>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</si>
  <si>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</si>
  <si>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</si>
  <si>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</si>
  <si>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</si>
  <si>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</si>
  <si>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</si>
  <si>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</si>
  <si>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</si>
  <si>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</si>
  <si>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</si>
  <si>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</si>
  <si>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</si>
  <si>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</si>
  <si>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</si>
  <si>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</si>
  <si>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</si>
  <si>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</si>
  <si>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</si>
  <si>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</si>
  <si>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</si>
  <si>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</si>
  <si>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</si>
  <si>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</si>
  <si>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</si>
  <si>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</si>
  <si>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</si>
  <si>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</si>
  <si>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</si>
  <si>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</si>
  <si>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</si>
  <si>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</si>
  <si>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</si>
  <si>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</si>
  <si>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</si>
  <si>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</si>
  <si>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</si>
  <si>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</si>
  <si>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</si>
  <si>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</si>
  <si>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</si>
  <si>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</si>
  <si>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</si>
  <si>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</si>
  <si>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</si>
  <si>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</si>
  <si>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</si>
  <si>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</si>
  <si>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</si>
  <si>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</si>
  <si>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</si>
  <si>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</si>
  <si>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</si>
  <si>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</si>
  <si>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</si>
  <si>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</si>
  <si>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</si>
  <si>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</si>
  <si>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</si>
  <si>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</si>
  <si>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</si>
  <si>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</si>
  <si>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</si>
  <si>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</si>
  <si>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</si>
  <si>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</si>
  <si>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</si>
  <si>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</si>
  <si>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</si>
  <si>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</si>
  <si>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</si>
  <si>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</si>
  <si>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</si>
  <si>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</si>
  <si>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</si>
  <si>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</si>
  <si>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</si>
  <si>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</si>
  <si>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</si>
  <si>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</si>
  <si>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</si>
  <si>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</si>
  <si>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</si>
  <si>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</si>
  <si>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</si>
  <si>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</si>
  <si>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</si>
  <si>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</si>
  <si>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</si>
  <si>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</si>
  <si>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</si>
  <si>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</si>
  <si>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</si>
  <si>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</si>
  <si>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</si>
  <si>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</si>
  <si>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</si>
  <si>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</si>
  <si>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</si>
  <si>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</si>
  <si>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</si>
  <si>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</si>
  <si>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</si>
  <si>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</si>
  <si>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</si>
  <si>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</si>
  <si>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</si>
  <si>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</si>
  <si>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</si>
  <si>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</si>
  <si>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</si>
  <si>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</si>
  <si>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</si>
  <si>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</si>
  <si>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</si>
  <si>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</si>
  <si>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</si>
  <si>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</si>
  <si>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</si>
  <si>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</si>
  <si>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</si>
  <si>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</si>
  <si>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</si>
  <si>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</si>
  <si>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</si>
  <si>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</si>
  <si>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</si>
  <si>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</si>
  <si>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</si>
  <si>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</si>
  <si>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</si>
  <si>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</si>
  <si>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</si>
  <si>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</si>
  <si>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</si>
  <si>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</si>
  <si>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</si>
  <si>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</si>
  <si>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</si>
  <si>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</si>
  <si>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</si>
  <si>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</si>
  <si>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</si>
  <si>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</si>
  <si>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</si>
  <si>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</si>
  <si>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</si>
  <si>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</si>
  <si>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</si>
  <si>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</si>
  <si>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</si>
  <si>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</si>
  <si>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</si>
  <si>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</si>
  <si>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</si>
  <si>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</si>
  <si>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</si>
  <si>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</si>
  <si>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</si>
  <si>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</si>
  <si>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</si>
  <si>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</si>
  <si>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</si>
  <si>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</si>
  <si>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</si>
  <si>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</si>
  <si>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</si>
  <si>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</si>
  <si>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</si>
  <si>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</si>
  <si>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</si>
  <si>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</si>
  <si>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</si>
  <si>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</si>
  <si>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</si>
  <si>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</si>
  <si>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</si>
  <si>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</si>
  <si>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</si>
  <si>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</si>
  <si>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</si>
  <si>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</si>
  <si>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</si>
  <si>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</si>
  <si>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</si>
  <si>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</si>
  <si>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</si>
  <si>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</si>
  <si>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</si>
  <si>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</si>
  <si>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</si>
  <si>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</si>
  <si>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</si>
  <si>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</si>
  <si>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</si>
  <si>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</si>
  <si>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</si>
  <si>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</si>
  <si>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</si>
  <si>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</si>
  <si>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</si>
  <si>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</si>
  <si>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</si>
  <si>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</si>
  <si>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</si>
  <si>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</si>
  <si>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</si>
  <si>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</si>
  <si>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</si>
  <si>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</si>
  <si>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</si>
  <si>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</si>
  <si>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</si>
  <si>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</si>
  <si>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</si>
  <si>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</si>
  <si>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</si>
  <si>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</si>
  <si>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</si>
  <si>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</si>
  <si>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</si>
  <si>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</si>
  <si>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Amy</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</si>
  <si>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</si>
  <si>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</si>
  <si>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</si>
  <si>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</si>
  <si>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</si>
  <si>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</si>
  <si>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</si>
  <si>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</si>
  <si>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</si>
  <si>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</si>
  <si>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</si>
  <si>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</si>
  <si>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</si>
  <si>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</si>
  <si>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</si>
  <si>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</si>
  <si>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</si>
  <si>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</si>
  <si>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</si>
  <si>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Clerk/Finance Officer</t>
  </si>
  <si>
    <t>Date the FO signed the Data Input worksheet</t>
  </si>
  <si>
    <t>11/15/2021</t>
  </si>
  <si>
    <t>12/1/2021</t>
  </si>
  <si>
    <t>10/29/2021</t>
  </si>
  <si>
    <t>10/26/2021</t>
  </si>
  <si>
    <t>11/22/2021</t>
  </si>
  <si>
    <t>11/19/2021</t>
  </si>
  <si>
    <t>11/29/2021</t>
  </si>
  <si>
    <t>11/30/2021</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</si>
  <si>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</si>
  <si>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</si>
  <si>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</si>
  <si>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</si>
  <si>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</si>
  <si>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</si>
  <si>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</si>
  <si>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</si>
  <si>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12/6/2021</t>
  </si>
  <si>
    <t>12/14/2021</t>
  </si>
  <si>
    <t>12/21/2021</t>
  </si>
  <si>
    <t>1/11/2022</t>
  </si>
  <si>
    <t>1/24/2022</t>
  </si>
  <si>
    <t>12/13/2021</t>
  </si>
  <si>
    <t>12/7/2021</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</si>
  <si>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</si>
  <si>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</si>
  <si>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</si>
  <si>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</si>
  <si>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</si>
  <si>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</si>
  <si>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</si>
  <si>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</si>
  <si>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</si>
  <si>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</si>
  <si>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</si>
  <si>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</si>
  <si>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</si>
  <si>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</si>
  <si>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</si>
  <si>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</si>
  <si>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</si>
  <si>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</si>
  <si>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</si>
  <si>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</si>
  <si>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</si>
  <si>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</si>
  <si>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</si>
  <si>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</si>
  <si>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</si>
  <si>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</si>
  <si>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</si>
  <si>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</si>
  <si>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</si>
  <si>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</si>
  <si>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</si>
  <si>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</si>
  <si>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</si>
  <si>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</si>
  <si>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</si>
  <si>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</si>
  <si>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</si>
  <si>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</si>
  <si>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</si>
  <si>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</si>
  <si>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</si>
  <si>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</si>
  <si>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</si>
  <si>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</si>
  <si>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</si>
  <si>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</si>
  <si>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</si>
  <si>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</si>
  <si>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</si>
  <si>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</si>
  <si>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</si>
  <si>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</si>
  <si>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</si>
  <si>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</si>
  <si>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</si>
  <si>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</si>
  <si>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</si>
  <si>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</si>
  <si>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</si>
  <si>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</si>
  <si>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</si>
  <si>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</si>
  <si>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</si>
  <si>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</si>
  <si>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</si>
  <si>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</si>
  <si>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</si>
  <si>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</si>
  <si>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</si>
  <si>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</si>
  <si>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</si>
  <si>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</si>
  <si>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</si>
  <si>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</si>
  <si>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</si>
  <si>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</si>
  <si>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</si>
  <si>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</si>
  <si>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</si>
  <si>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</si>
  <si>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</si>
  <si>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</si>
  <si>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</si>
  <si>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</si>
  <si>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</si>
  <si>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</si>
  <si>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</si>
  <si>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</si>
  <si>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</si>
  <si>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</si>
  <si>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</si>
  <si>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</si>
  <si>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</si>
  <si>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</si>
  <si>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</si>
  <si>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</si>
  <si>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</si>
  <si>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</si>
  <si>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</si>
  <si>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</si>
  <si>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</si>
  <si>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</si>
  <si>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</si>
  <si>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</si>
  <si>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</si>
  <si>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</si>
  <si>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</si>
  <si>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</si>
  <si>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</si>
  <si>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</si>
  <si>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</si>
  <si>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</si>
  <si>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</si>
  <si>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</si>
  <si>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</si>
  <si>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</si>
  <si>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</si>
  <si>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</si>
  <si>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</si>
  <si>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</si>
  <si>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</si>
  <si>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</si>
  <si>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</si>
  <si>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</si>
  <si>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</si>
  <si>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</si>
  <si>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</si>
  <si>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</si>
  <si>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</si>
  <si>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</si>
  <si>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</si>
  <si>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</si>
  <si>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</si>
  <si>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</si>
  <si>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</si>
  <si>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</si>
  <si>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</si>
  <si>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</si>
  <si>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</si>
  <si>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</si>
  <si>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</si>
  <si>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</si>
  <si>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</si>
  <si>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</si>
  <si>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</si>
  <si>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</si>
  <si>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</si>
  <si>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</si>
  <si>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</si>
  <si>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</si>
  <si>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</si>
  <si>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</si>
  <si>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</si>
  <si>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</si>
  <si>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</si>
  <si>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</si>
  <si>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</si>
  <si>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</si>
  <si>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</si>
  <si>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</si>
  <si>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</si>
  <si>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</si>
  <si>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</si>
  <si>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</si>
  <si>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</si>
  <si>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</si>
  <si>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</si>
  <si>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</si>
  <si>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</si>
  <si>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</si>
  <si>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</si>
  <si>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</si>
  <si>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</si>
  <si>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</si>
  <si>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</si>
  <si>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</si>
  <si>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</si>
  <si>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</si>
  <si>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</si>
  <si>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</si>
  <si>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</si>
  <si>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</si>
  <si>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</si>
  <si>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</si>
  <si>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</si>
  <si>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</si>
  <si>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</si>
  <si>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</si>
  <si>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</si>
  <si>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</si>
  <si>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</si>
  <si>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</si>
  <si>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</si>
  <si>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</si>
  <si>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</si>
  <si>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</si>
  <si>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</si>
  <si>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</si>
  <si>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</si>
  <si>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</si>
  <si>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</si>
  <si>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</si>
  <si>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</si>
  <si>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</si>
  <si>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</si>
  <si>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</si>
  <si>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</si>
  <si>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</si>
  <si>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</si>
  <si>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</si>
  <si>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</si>
  <si>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</si>
  <si>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</si>
  <si>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</si>
  <si>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</si>
  <si>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</si>
  <si>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</si>
  <si>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</si>
  <si>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</si>
  <si>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</si>
  <si>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</si>
  <si>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</si>
  <si>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</si>
  <si>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</si>
  <si>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</si>
  <si>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</si>
  <si>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</si>
  <si>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</si>
  <si>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</si>
  <si>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</si>
  <si>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</si>
  <si>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</si>
  <si>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</si>
  <si>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</si>
  <si>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</si>
  <si>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</si>
  <si>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</si>
  <si>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</si>
  <si>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</si>
  <si>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</si>
  <si>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</si>
  <si>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</si>
  <si>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</si>
  <si>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</si>
  <si>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</si>
  <si>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</si>
  <si>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</si>
  <si>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</si>
  <si>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</si>
  <si>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</si>
  <si>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</si>
  <si>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</si>
  <si>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</si>
  <si>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</si>
  <si>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</si>
  <si>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</si>
  <si>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</si>
  <si>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</si>
  <si>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</si>
  <si>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</si>
  <si>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</si>
  <si>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</si>
  <si>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</si>
  <si>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</si>
  <si>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</si>
  <si>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</si>
  <si>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</si>
  <si>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</si>
  <si>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</si>
  <si>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</si>
  <si>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</si>
  <si>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</si>
  <si>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</si>
  <si>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</si>
  <si>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</si>
  <si>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</si>
  <si>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</si>
  <si>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</si>
  <si>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</si>
  <si>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</si>
  <si>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</si>
  <si>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</si>
  <si>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</si>
  <si>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</si>
  <si>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</si>
  <si>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</si>
  <si>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</si>
  <si>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</si>
  <si>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</si>
  <si>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</si>
  <si>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</si>
  <si>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</si>
  <si>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</si>
  <si>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</si>
  <si>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</si>
  <si>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</si>
  <si>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</si>
  <si>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</si>
  <si>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</si>
  <si>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</si>
  <si>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</si>
  <si>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</si>
  <si>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</si>
  <si>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</si>
  <si>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</si>
  <si>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</si>
  <si>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</si>
  <si>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</si>
  <si>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</si>
  <si>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</si>
  <si>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</si>
  <si>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</si>
  <si>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</si>
  <si>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</si>
  <si>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</si>
  <si>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</si>
  <si>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</si>
  <si>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</si>
  <si>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</si>
  <si>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</si>
  <si>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</si>
  <si>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</si>
  <si>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</si>
  <si>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</si>
  <si>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</si>
  <si>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</si>
  <si>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</si>
  <si>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</si>
  <si>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</si>
  <si>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</si>
  <si>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</si>
  <si>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</si>
  <si>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</si>
  <si>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</si>
  <si>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</si>
  <si>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</si>
  <si>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</si>
  <si>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</si>
  <si>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</si>
  <si>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</si>
  <si>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</si>
  <si>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</si>
  <si>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</si>
  <si>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</si>
  <si>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</si>
  <si>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</si>
  <si>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</si>
  <si>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</si>
  <si>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</si>
  <si>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</si>
  <si>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</si>
  <si>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</si>
  <si>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</si>
  <si>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</si>
  <si>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</si>
  <si>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</si>
  <si>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</si>
  <si>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</si>
  <si>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</si>
  <si>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</si>
  <si>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</si>
  <si>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</si>
  <si>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</si>
  <si>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</si>
  <si>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</si>
  <si>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</si>
  <si>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</si>
  <si>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</si>
  <si>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</si>
  <si>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</si>
  <si>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</si>
  <si>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</si>
  <si>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</si>
  <si>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</si>
  <si>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</si>
  <si>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</si>
  <si>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</si>
  <si>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</si>
  <si>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</si>
  <si>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</si>
  <si>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</si>
  <si>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</si>
  <si>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</si>
  <si>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</si>
  <si>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</si>
  <si>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</si>
  <si>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</si>
  <si>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</si>
  <si>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</si>
  <si>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</si>
  <si>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</si>
  <si>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</si>
  <si>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</si>
  <si>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</si>
  <si>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</si>
  <si>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</si>
  <si>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</si>
  <si>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</si>
  <si>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</si>
  <si>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</si>
  <si>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</si>
  <si>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</si>
  <si>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</si>
  <si>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</si>
  <si>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</si>
  <si>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</si>
  <si>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</si>
  <si>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</si>
  <si>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</si>
  <si>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</si>
  <si>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</si>
  <si>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</si>
  <si>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</si>
  <si>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</si>
  <si>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</si>
  <si>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</si>
  <si>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</si>
  <si>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</si>
  <si>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</si>
  <si>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</si>
  <si>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</si>
  <si>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</si>
  <si>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</si>
  <si>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</si>
  <si>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</si>
  <si>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</si>
  <si>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</si>
  <si>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</si>
  <si>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</si>
  <si>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</si>
  <si>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</si>
  <si>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</si>
  <si>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</si>
  <si>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</si>
  <si>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</si>
  <si>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</si>
  <si>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</si>
  <si>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</si>
  <si>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</si>
  <si>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</si>
  <si>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</si>
  <si>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</si>
  <si>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</si>
  <si>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</si>
  <si>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</si>
  <si>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</si>
  <si>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</si>
  <si>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</si>
  <si>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</si>
  <si>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</si>
  <si>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</si>
  <si>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</si>
  <si>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</si>
  <si>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</si>
  <si>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</si>
  <si>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</si>
  <si>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</si>
  <si>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</si>
  <si>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</si>
  <si>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</si>
  <si>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</si>
  <si>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</si>
  <si>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</si>
  <si>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</si>
  <si>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</si>
  <si>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</si>
  <si>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</si>
  <si>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</si>
  <si>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</si>
  <si>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</si>
  <si>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</si>
  <si>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</si>
  <si>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</si>
  <si>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</si>
  <si>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</si>
  <si>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</si>
  <si>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</si>
  <si>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</si>
  <si>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</si>
  <si>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</si>
  <si>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</si>
  <si>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</si>
  <si>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</si>
  <si>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</si>
  <si>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</si>
  <si>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</si>
  <si>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</si>
  <si>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</si>
  <si>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</si>
  <si>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</si>
  <si>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</si>
  <si>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</si>
  <si>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</si>
  <si>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</si>
  <si>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</si>
  <si>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</si>
  <si>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</si>
  <si>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</si>
  <si>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</si>
  <si>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</si>
  <si>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</si>
  <si>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</si>
  <si>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</si>
  <si>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</si>
  <si>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</si>
  <si>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</si>
  <si>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</si>
  <si>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</si>
  <si>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</si>
  <si>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</si>
  <si>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</si>
  <si>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</si>
  <si>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</si>
  <si>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</si>
  <si>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</si>
  <si>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</si>
  <si>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</si>
  <si>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</si>
  <si>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</si>
  <si>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</si>
  <si>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</si>
  <si>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</si>
  <si>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</si>
  <si>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</si>
  <si>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</si>
  <si>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</si>
  <si>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</si>
  <si>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</si>
  <si>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</si>
  <si>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</si>
  <si>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</si>
  <si>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</si>
  <si>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</si>
  <si>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</si>
  <si>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</si>
  <si>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</si>
  <si>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</si>
  <si>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</si>
  <si>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</si>
  <si>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</si>
  <si>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</si>
  <si>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</si>
  <si>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</si>
  <si>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</si>
  <si>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</si>
  <si>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</si>
  <si>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</si>
  <si>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</si>
  <si>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</si>
  <si>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</si>
  <si>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</si>
  <si>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</si>
  <si>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</si>
  <si>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</si>
  <si>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</si>
  <si>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</si>
  <si>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</si>
  <si>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</si>
  <si>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</si>
  <si>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</si>
  <si>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</si>
  <si>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</si>
  <si>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</si>
  <si>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</si>
  <si>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</si>
  <si>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</si>
  <si>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</si>
  <si>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</si>
  <si>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</si>
  <si>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</si>
  <si>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</si>
  <si>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</si>
  <si>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</si>
  <si>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</si>
  <si>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</si>
  <si>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</si>
  <si>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</si>
  <si>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</si>
  <si>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</si>
  <si>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</si>
  <si>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</si>
  <si>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</si>
  <si>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</si>
  <si>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</si>
  <si>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</si>
  <si>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</si>
  <si>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</si>
  <si>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</si>
  <si>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</si>
  <si>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</si>
  <si>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</si>
  <si>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</si>
  <si>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</si>
  <si>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</si>
  <si>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</si>
  <si>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</si>
  <si>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</si>
  <si>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</si>
  <si>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</si>
  <si>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</si>
  <si>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</si>
  <si>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</si>
  <si>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</si>
  <si>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</si>
  <si>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</si>
  <si>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</si>
  <si>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</si>
  <si>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</si>
  <si>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</si>
  <si>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</si>
  <si>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The TD Info Completed by Auditor Worksheet is to be filled out using the completed audit report for the fiscal year 2023. </t>
  </si>
  <si>
    <t xml:space="preserve">- Excel file named “Unit Name 2023 Data Input Workbook" </t>
  </si>
  <si>
    <t xml:space="preserve">- PDF file of the Audit Report named “Unit Name 2023 Audit”             </t>
  </si>
  <si>
    <t>Please remember the original 2023 audit report submission cannot be processed unless we receive the following:</t>
  </si>
  <si>
    <t>Location of Documents for the 2023 Audit Submission Process</t>
  </si>
  <si>
    <t>Instructions for Audits with a Fiscal Year Ending Earlier than June 30, 2023</t>
  </si>
  <si>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</si>
  <si>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</si>
  <si>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</si>
  <si>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</si>
  <si>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</si>
  <si>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</si>
  <si>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</si>
  <si>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</si>
  <si>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</si>
  <si>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</si>
  <si>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</si>
  <si>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</si>
  <si>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</si>
  <si>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"7/1/2023" to indicate that an FPIC response is not required.</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</si>
  <si>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</si>
  <si>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</si>
  <si>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</si>
  <si>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</si>
  <si>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</si>
  <si>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</si>
  <si>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t>Amount transferred from the Water and Sewer Fund to a Water and Sewer Capital Project Fund</t>
  </si>
  <si>
    <t>Not collected in prior years</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</si>
  <si>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</si>
  <si>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The indicator is to determine if any time during the f fiscal year, the unit was without a board-appointed finance officer.</t>
  </si>
  <si>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1/1/2024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</si>
  <si>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t>Cabarrus, Carteret, Edgecome, Franklin, Granville, Halifax, Nash, Perquimans, Pitt, Richmond, Roberson, Rockingham, Vance, Wake, Wilson, Yancey</t>
  </si>
  <si>
    <t>This is a description question that is retained on the data input tab - This information is not uploaded to CCH or our data base</t>
  </si>
  <si>
    <t>Capital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</si>
  <si>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</si>
  <si>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</si>
  <si>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</si>
  <si>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</si>
  <si>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</si>
  <si>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</si>
  <si>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</si>
  <si>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</si>
  <si>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</si>
  <si>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</si>
  <si>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7/1/2022</t>
  </si>
  <si>
    <t>yes</t>
  </si>
  <si>
    <t>11/14/2022</t>
  </si>
  <si>
    <t>11/30/2022</t>
  </si>
  <si>
    <t>10/31/2022</t>
  </si>
  <si>
    <t>12/20/2022</t>
  </si>
  <si>
    <t>11/3/2022</t>
  </si>
  <si>
    <t>11/28/2022</t>
  </si>
  <si>
    <t>12/1/2022</t>
  </si>
  <si>
    <t>10/28/2022</t>
  </si>
  <si>
    <t>11/29/2022</t>
  </si>
  <si>
    <t>11/17/2022</t>
  </si>
  <si>
    <t>12/8/2022</t>
  </si>
  <si>
    <t>Number of other matters that auditor asked the unit to respond to.</t>
  </si>
  <si>
    <t>12/13/2022</t>
  </si>
  <si>
    <t>1/10/2023</t>
  </si>
  <si>
    <t>11/15/2022</t>
  </si>
  <si>
    <t>12/12/2022</t>
  </si>
  <si>
    <t>1/3/2023</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</si>
  <si>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</si>
  <si>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</si>
  <si>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</si>
  <si>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</si>
  <si>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</si>
  <si>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</si>
  <si>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</si>
  <si>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</si>
  <si>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</si>
  <si>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</si>
  <si>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</si>
  <si>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</si>
  <si>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</si>
  <si>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</si>
  <si>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</si>
  <si>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2022-11-29</t>
  </si>
  <si>
    <t>2022-11-30</t>
  </si>
  <si>
    <t>2022-10-31</t>
  </si>
  <si>
    <t>2022-11-28</t>
  </si>
  <si>
    <t>2022-12-01</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</si>
  <si>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</si>
  <si>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</si>
  <si>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</si>
  <si>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</si>
  <si>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Audit Report 2022</t>
  </si>
  <si>
    <t>sum</t>
  </si>
  <si>
    <t>Net Total row 279 less row 326</t>
  </si>
  <si>
    <t>Batch Total 9000</t>
  </si>
  <si>
    <t>New Account 647 for FY 2020 added to formula and new account 1050 added FY 2022</t>
  </si>
  <si>
    <t>Audit Year  2021</t>
  </si>
  <si>
    <t>-</t>
  </si>
  <si>
    <t>Units with Electric Operations have 0.07, 0.08, 0.09</t>
  </si>
  <si>
    <t>PY 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</si>
  <si>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</si>
  <si>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</si>
  <si>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</si>
  <si>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</si>
  <si>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</si>
  <si>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</si>
  <si>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</si>
  <si>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</si>
  <si>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</si>
  <si>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</si>
  <si>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</si>
  <si>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</si>
  <si>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</si>
  <si>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</si>
  <si>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</si>
  <si>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</si>
  <si>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</si>
  <si>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</si>
  <si>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</si>
  <si>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</si>
  <si>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</si>
  <si>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</si>
  <si>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</si>
  <si>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</si>
  <si>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</si>
  <si>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</si>
  <si>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</si>
  <si>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</si>
  <si>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</si>
  <si>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</si>
  <si>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</si>
  <si>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</si>
  <si>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</si>
  <si>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</si>
  <si>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</si>
  <si>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</si>
  <si>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</si>
  <si>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</si>
  <si>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</si>
  <si>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</si>
  <si>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</si>
  <si>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</si>
  <si>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</si>
  <si>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</si>
  <si>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</si>
  <si>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</si>
  <si>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</si>
  <si>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</si>
  <si>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</si>
  <si>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</si>
  <si>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</si>
  <si>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</si>
  <si>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</si>
  <si>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</si>
  <si>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</si>
  <si>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</si>
  <si>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</si>
  <si>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</si>
  <si>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</si>
  <si>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</si>
  <si>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</si>
  <si>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</si>
  <si>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</si>
  <si>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</si>
  <si>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</si>
  <si>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</si>
  <si>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</si>
  <si>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</si>
  <si>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</si>
  <si>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</si>
  <si>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</si>
  <si>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</si>
  <si>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</si>
  <si>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</si>
  <si>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</si>
  <si>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</si>
  <si>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</si>
  <si>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</si>
  <si>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</si>
  <si>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</si>
  <si>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</si>
  <si>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</si>
  <si>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</si>
  <si>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</si>
  <si>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</si>
  <si>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</si>
  <si>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</si>
  <si>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</si>
  <si>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</si>
  <si>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</si>
  <si>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</si>
  <si>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</si>
  <si>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</si>
  <si>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</si>
  <si>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</si>
  <si>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</si>
  <si>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</si>
  <si>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</si>
  <si>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</si>
  <si>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</si>
  <si>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</si>
  <si>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</si>
  <si>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</si>
  <si>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</si>
  <si>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</si>
  <si>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</si>
  <si>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</si>
  <si>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</si>
  <si>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</si>
  <si>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</si>
  <si>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</si>
  <si>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</si>
  <si>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</si>
  <si>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</si>
  <si>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</si>
  <si>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</si>
  <si>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</si>
  <si>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</si>
  <si>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</si>
  <si>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</si>
  <si>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</si>
  <si>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</si>
  <si>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</si>
  <si>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</si>
  <si>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</si>
  <si>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</si>
  <si>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</si>
  <si>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</si>
  <si>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</si>
  <si>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</si>
  <si>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</si>
  <si>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</si>
  <si>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</si>
  <si>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</si>
  <si>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</si>
  <si>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</si>
  <si>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</si>
  <si>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</si>
  <si>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</si>
  <si>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</si>
  <si>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</si>
  <si>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</si>
  <si>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</si>
  <si>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</si>
  <si>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</si>
  <si>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</si>
  <si>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</si>
  <si>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</si>
  <si>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</si>
  <si>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</si>
  <si>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</si>
  <si>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</si>
  <si>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</si>
  <si>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</si>
  <si>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</si>
  <si>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</si>
  <si>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</si>
  <si>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</si>
  <si>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</si>
  <si>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</si>
  <si>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</si>
  <si>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</si>
  <si>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</si>
  <si>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</si>
  <si>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</si>
  <si>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</si>
  <si>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</si>
  <si>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</si>
  <si>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</si>
  <si>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</si>
  <si>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</si>
  <si>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</si>
  <si>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</si>
  <si>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</si>
  <si>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</si>
  <si>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</si>
  <si>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</si>
  <si>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</si>
  <si>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</si>
  <si>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</si>
  <si>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</si>
  <si>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</si>
  <si>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</si>
  <si>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</si>
  <si>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</si>
  <si>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</si>
  <si>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</si>
  <si>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</si>
  <si>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</si>
  <si>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</si>
  <si>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</si>
  <si>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</si>
  <si>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</si>
  <si>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</si>
  <si>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</si>
  <si>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</si>
  <si>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</si>
  <si>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</si>
  <si>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</si>
  <si>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The indicator is to determine if at any time during the fiscal year, the unit was without a bonded, board-appoint finance officer as required by G.S. 159-29.</t>
  </si>
  <si>
    <t>This indicator advises whether or not the unit has issues with debt service payments or bond covenants.</t>
  </si>
  <si>
    <t>This indicator advises if any other issues that the unit should address in the FPIC response letter.</t>
  </si>
  <si>
    <t>Fiscal Year 2023</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</si>
  <si>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</si>
  <si>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</si>
  <si>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</si>
  <si>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</si>
  <si>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</si>
  <si>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</si>
  <si>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t>- PDF file of all communication letters from the auditor to the unit  named “Unit Name 2023 comm #1”, “Unit Name 2023 comm #2”, etc.</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</si>
  <si>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</si>
  <si>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</si>
  <si>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</si>
  <si>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</si>
  <si>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</si>
  <si>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</si>
  <si>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</si>
  <si>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</si>
  <si>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</si>
  <si>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</si>
  <si>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</si>
  <si>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</si>
  <si>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</si>
  <si>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</si>
  <si>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</si>
  <si>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</si>
  <si>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</si>
  <si>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</si>
  <si>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</si>
  <si>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</si>
  <si>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</si>
  <si>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</si>
  <si>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</si>
  <si>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</si>
  <si>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</si>
  <si>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</si>
  <si>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</si>
  <si>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</si>
  <si>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</si>
  <si>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</si>
  <si>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</si>
  <si>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</si>
  <si>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</si>
  <si>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</si>
  <si>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need to have this formula for formula on FPIC FBA% graph to work</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</si>
  <si>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</si>
  <si>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</si>
  <si>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</si>
  <si>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</si>
  <si>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</si>
  <si>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</si>
  <si>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</si>
  <si>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</si>
  <si>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</si>
  <si>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did not use 1050 before year 2022</t>
  </si>
  <si>
    <t>FPIC graph</t>
  </si>
  <si>
    <t>Was the finance officer or interim finance officer bonded (Yes or No) pursuant to G.S. 159-29</t>
  </si>
  <si>
    <t>1/1/2008</t>
  </si>
  <si>
    <t>1/1/2017</t>
  </si>
  <si>
    <t>1/1/2019</t>
  </si>
  <si>
    <t>1/1/2018</t>
  </si>
  <si>
    <t>7/1/2021</t>
  </si>
  <si>
    <t>Chief Financial Officer</t>
  </si>
  <si>
    <t>Interim Finance Director</t>
  </si>
  <si>
    <t>11/18/2022</t>
  </si>
  <si>
    <t>11/8/2021</t>
  </si>
  <si>
    <t>2/1/2022</t>
  </si>
  <si>
    <t>12/16/2021</t>
  </si>
  <si>
    <t>12/8/2021</t>
  </si>
  <si>
    <t>2/7/2022</t>
  </si>
  <si>
    <t>3/21/2022</t>
  </si>
  <si>
    <t>3/7/2022</t>
  </si>
  <si>
    <t>12/15/2022</t>
  </si>
  <si>
    <t>1/30/2023</t>
  </si>
  <si>
    <t>5/31/2023</t>
  </si>
  <si>
    <t>1/9/2023</t>
  </si>
  <si>
    <t>2023-02-22</t>
  </si>
  <si>
    <t>2022-11-17</t>
  </si>
  <si>
    <t>2022-11-18</t>
  </si>
  <si>
    <t>2023-01-31</t>
  </si>
  <si>
    <t>Beverly</t>
  </si>
  <si>
    <t>Michelle</t>
  </si>
  <si>
    <t>Brian</t>
  </si>
  <si>
    <t>Taylor</t>
  </si>
  <si>
    <t>Brown</t>
  </si>
  <si>
    <t>1/1/2011</t>
  </si>
  <si>
    <t>1/1/2012</t>
  </si>
  <si>
    <t>11/28/2021</t>
  </si>
  <si>
    <t>1/27/2022</t>
  </si>
  <si>
    <t>10/28/2021</t>
  </si>
  <si>
    <t>11/4/2021</t>
  </si>
  <si>
    <t>10/31/2021</t>
  </si>
  <si>
    <t>9/12/2022</t>
  </si>
  <si>
    <t>Crystal</t>
  </si>
  <si>
    <t>10/21/2022</t>
  </si>
  <si>
    <t>1/4/2023</t>
  </si>
  <si>
    <t>12/29/2022</t>
  </si>
  <si>
    <t>11/22/2022</t>
  </si>
  <si>
    <t>12/7/2022</t>
  </si>
  <si>
    <t>5/1/2023</t>
  </si>
  <si>
    <t>2022-11-10</t>
  </si>
  <si>
    <t>2022-10-17</t>
  </si>
  <si>
    <t>2022-10-19</t>
  </si>
  <si>
    <t>Kimberly</t>
  </si>
  <si>
    <t>Thomas</t>
  </si>
  <si>
    <t>Lynn</t>
  </si>
  <si>
    <t>Lisa</t>
  </si>
  <si>
    <t>Jessica</t>
  </si>
  <si>
    <t>Town Manager</t>
  </si>
  <si>
    <t>3/17/2022</t>
  </si>
  <si>
    <t>10/21/2021</t>
  </si>
  <si>
    <t>11/23/2021</t>
  </si>
  <si>
    <t>11/10/2021</t>
  </si>
  <si>
    <t>1/25/2022</t>
  </si>
  <si>
    <t>12/14/2022</t>
  </si>
  <si>
    <t>1/3/2022</t>
  </si>
  <si>
    <t>2/8/2022</t>
  </si>
  <si>
    <t>1/13/2022</t>
  </si>
  <si>
    <t>1/10/2022</t>
  </si>
  <si>
    <t>2/10/2022</t>
  </si>
  <si>
    <t>1/7/2022</t>
  </si>
  <si>
    <t>Roberts</t>
  </si>
  <si>
    <t>11/9/2022</t>
  </si>
  <si>
    <t>11/25/2022</t>
  </si>
  <si>
    <t>10/11/2022</t>
  </si>
  <si>
    <t>11/10/2022</t>
  </si>
  <si>
    <t>1/12/2023</t>
  </si>
  <si>
    <t>1/15/2023</t>
  </si>
  <si>
    <t>2022-11-22</t>
  </si>
  <si>
    <t>Anne</t>
  </si>
  <si>
    <t>Amanda</t>
  </si>
  <si>
    <t>Christina</t>
  </si>
  <si>
    <t>Connie</t>
  </si>
  <si>
    <t>Samuel</t>
  </si>
  <si>
    <t>Marie</t>
  </si>
  <si>
    <t>Hunter</t>
  </si>
  <si>
    <t>Martin</t>
  </si>
  <si>
    <t>6/1/2022</t>
  </si>
  <si>
    <t>9/13/2021</t>
  </si>
  <si>
    <t>1/1/2004</t>
  </si>
  <si>
    <t>1/1/2022</t>
  </si>
  <si>
    <t>1/1/2014</t>
  </si>
  <si>
    <t>1/1/2010</t>
  </si>
  <si>
    <t>Town Administrator/Finance Officer</t>
  </si>
  <si>
    <t>2/25/2022</t>
  </si>
  <si>
    <t>3/2/2022</t>
  </si>
  <si>
    <t>7/11/2022</t>
  </si>
  <si>
    <t>3/24/2022</t>
  </si>
  <si>
    <t>Jerry</t>
  </si>
  <si>
    <t>Dale</t>
  </si>
  <si>
    <t>Tucker</t>
  </si>
  <si>
    <t>11/7/2022</t>
  </si>
  <si>
    <t>Town Manager/Finance Officer</t>
  </si>
  <si>
    <t>FINANCE DIRECTOR</t>
  </si>
  <si>
    <t>6/6/2023</t>
  </si>
  <si>
    <t>10/12/2022</t>
  </si>
  <si>
    <t>1/19/2023</t>
  </si>
  <si>
    <t>12/22/2022</t>
  </si>
  <si>
    <t>2/13/2023</t>
  </si>
  <si>
    <t>3/15/2023</t>
  </si>
  <si>
    <t>5/2/2023</t>
  </si>
  <si>
    <t>1/2/2023</t>
  </si>
  <si>
    <t>1/5/2023</t>
  </si>
  <si>
    <t>2022-11-21</t>
  </si>
  <si>
    <t>2023-06-14</t>
  </si>
  <si>
    <t>2023-01-24</t>
  </si>
  <si>
    <t>2022-12-21</t>
  </si>
  <si>
    <t>2022-11-08</t>
  </si>
  <si>
    <t>Jennifer</t>
  </si>
  <si>
    <t>Kay</t>
  </si>
  <si>
    <t>Dan</t>
  </si>
  <si>
    <t>Brenda</t>
  </si>
  <si>
    <t>Karen</t>
  </si>
  <si>
    <t>Peggy</t>
  </si>
  <si>
    <t>Christie</t>
  </si>
  <si>
    <t>Edwards</t>
  </si>
  <si>
    <t>Postell</t>
  </si>
  <si>
    <t>Phillips</t>
  </si>
  <si>
    <t>Maness</t>
  </si>
  <si>
    <t>Kelly</t>
  </si>
  <si>
    <t>6/1/2020</t>
  </si>
  <si>
    <t>10/1/2021</t>
  </si>
  <si>
    <t>1/29/2021</t>
  </si>
  <si>
    <t>6/18/2018</t>
  </si>
  <si>
    <t>Crystal Postell</t>
  </si>
  <si>
    <t>Interim Finance Officer</t>
  </si>
  <si>
    <t>1/31/2022</t>
  </si>
  <si>
    <t>11/17/2021</t>
  </si>
  <si>
    <t>9/20/2021</t>
  </si>
  <si>
    <t>1/12/2022</t>
  </si>
  <si>
    <t>10/27/2021</t>
  </si>
  <si>
    <t>11/16/2021</t>
  </si>
  <si>
    <t>12/2/2021</t>
  </si>
  <si>
    <t>1/19/2022</t>
  </si>
  <si>
    <t>1/18/2022</t>
  </si>
  <si>
    <t>2/9/2022</t>
  </si>
  <si>
    <t>1/5/2022</t>
  </si>
  <si>
    <t>10/19/2021</t>
  </si>
  <si>
    <t>10/15/2021</t>
  </si>
  <si>
    <t>9/22/2021</t>
  </si>
  <si>
    <t>6/21/2022</t>
  </si>
  <si>
    <t>12/31/2021</t>
  </si>
  <si>
    <t>10/4/2021</t>
  </si>
  <si>
    <t>5/24/2022</t>
  </si>
  <si>
    <t>2/14/2022</t>
  </si>
  <si>
    <t>1/4/2022</t>
  </si>
  <si>
    <t>2/15/2022</t>
  </si>
  <si>
    <t>1/15/2022</t>
  </si>
  <si>
    <t>10/18/2021</t>
  </si>
  <si>
    <t>3/14/2022</t>
  </si>
  <si>
    <t>12/9/2021</t>
  </si>
  <si>
    <t>Operations -</t>
  </si>
  <si>
    <t>Johnson</t>
  </si>
  <si>
    <t>Bennett</t>
  </si>
  <si>
    <t>1/30/2022</t>
  </si>
  <si>
    <t>1/1/2023</t>
  </si>
  <si>
    <t>1/16/2023</t>
  </si>
  <si>
    <t>1/31/2023</t>
  </si>
  <si>
    <t>10/26/2022</t>
  </si>
  <si>
    <t>12/6/2022</t>
  </si>
  <si>
    <t>2/10/2023</t>
  </si>
  <si>
    <t>12/19/2022</t>
  </si>
  <si>
    <t>11/23/2022</t>
  </si>
  <si>
    <t>3/31/2023</t>
  </si>
  <si>
    <t>11/2/2022</t>
  </si>
  <si>
    <t>2/6/2023</t>
  </si>
  <si>
    <t>2/21/2023</t>
  </si>
  <si>
    <t>3/1/2023</t>
  </si>
  <si>
    <t>2/28/2023</t>
  </si>
  <si>
    <t>9/6/2022</t>
  </si>
  <si>
    <t>3/14/2023</t>
  </si>
  <si>
    <t>2/9/2023</t>
  </si>
  <si>
    <t>4/17/2023</t>
  </si>
  <si>
    <t>2022-11-14</t>
  </si>
  <si>
    <t>2022-12-16</t>
  </si>
  <si>
    <t>2022-10-28</t>
  </si>
  <si>
    <t>2023-02-11</t>
  </si>
  <si>
    <t>2022-12-22</t>
  </si>
  <si>
    <t>2022-10-07</t>
  </si>
  <si>
    <t>2022-12-15</t>
  </si>
  <si>
    <t>2023-03-31</t>
  </si>
  <si>
    <t>Mary</t>
  </si>
  <si>
    <t>PAULINE</t>
  </si>
  <si>
    <t>Astrid</t>
  </si>
  <si>
    <t>Lonna</t>
  </si>
  <si>
    <t>Marsha</t>
  </si>
  <si>
    <t>Wanda</t>
  </si>
  <si>
    <t>Kevin</t>
  </si>
  <si>
    <t>Cindy</t>
  </si>
  <si>
    <t>Robin</t>
  </si>
  <si>
    <t>Vicki</t>
  </si>
  <si>
    <t>Janet</t>
  </si>
  <si>
    <t>Dee</t>
  </si>
  <si>
    <t>Tara</t>
  </si>
  <si>
    <t>Sonia</t>
  </si>
  <si>
    <t>Drew</t>
  </si>
  <si>
    <t>Al</t>
  </si>
  <si>
    <t>TARA</t>
  </si>
  <si>
    <t>Rita</t>
  </si>
  <si>
    <t>Veronica</t>
  </si>
  <si>
    <t>Abra</t>
  </si>
  <si>
    <t>Glenn</t>
  </si>
  <si>
    <t>Debbie</t>
  </si>
  <si>
    <t>Justin</t>
  </si>
  <si>
    <t>CATHY</t>
  </si>
  <si>
    <t>Zach</t>
  </si>
  <si>
    <t>TERESA</t>
  </si>
  <si>
    <t>Darrell</t>
  </si>
  <si>
    <t>Bo</t>
  </si>
  <si>
    <t>Tom</t>
  </si>
  <si>
    <t>Cassandra</t>
  </si>
  <si>
    <t>MABEL</t>
  </si>
  <si>
    <t>Tiffany</t>
  </si>
  <si>
    <t>Phyllis</t>
  </si>
  <si>
    <t>Aileen</t>
  </si>
  <si>
    <t>Robert</t>
  </si>
  <si>
    <t>Mark</t>
  </si>
  <si>
    <t>Jacqui Whitmire</t>
  </si>
  <si>
    <t>Bess</t>
  </si>
  <si>
    <t>Meredith</t>
  </si>
  <si>
    <t>Lea</t>
  </si>
  <si>
    <t>Matt</t>
  </si>
  <si>
    <t>Denise</t>
  </si>
  <si>
    <t>Holly</t>
  </si>
  <si>
    <t>Rosemary</t>
  </si>
  <si>
    <t>Misty</t>
  </si>
  <si>
    <t>Tonya</t>
  </si>
  <si>
    <t>Leslie</t>
  </si>
  <si>
    <t>Shanelle</t>
  </si>
  <si>
    <t>Butch</t>
  </si>
  <si>
    <t>Yvonne</t>
  </si>
  <si>
    <t>Cheryl</t>
  </si>
  <si>
    <t>HEATHER</t>
  </si>
  <si>
    <t>Sean</t>
  </si>
  <si>
    <t>Colburn</t>
  </si>
  <si>
    <t>Halee</t>
  </si>
  <si>
    <t>Sherry</t>
  </si>
  <si>
    <t>Allen</t>
  </si>
  <si>
    <t>Valerie</t>
  </si>
  <si>
    <t>Anthony</t>
  </si>
  <si>
    <t>Willieta</t>
  </si>
  <si>
    <t>Sheri</t>
  </si>
  <si>
    <t>Donielle</t>
  </si>
  <si>
    <t>Melissa</t>
  </si>
  <si>
    <t>Kamara</t>
  </si>
  <si>
    <t>Kari</t>
  </si>
  <si>
    <t>Bobby</t>
  </si>
  <si>
    <t>Bakan</t>
  </si>
  <si>
    <t>HARAN</t>
  </si>
  <si>
    <t>Rameriz</t>
  </si>
  <si>
    <t>Hart</t>
  </si>
  <si>
    <t>Gross</t>
  </si>
  <si>
    <t>Yow</t>
  </si>
  <si>
    <t>Haney</t>
  </si>
  <si>
    <t>Rhodes</t>
  </si>
  <si>
    <t>Hussey</t>
  </si>
  <si>
    <t>Horne</t>
  </si>
  <si>
    <t>Garrett</t>
  </si>
  <si>
    <t>Thacker</t>
  </si>
  <si>
    <t>Stewart</t>
  </si>
  <si>
    <t>Spain</t>
  </si>
  <si>
    <t>Parrott</t>
  </si>
  <si>
    <t>Hall</t>
  </si>
  <si>
    <t>Dropp</t>
  </si>
  <si>
    <t>McCole</t>
  </si>
  <si>
    <t>Sharpe</t>
  </si>
  <si>
    <t>Bryant</t>
  </si>
  <si>
    <t>Leonard</t>
  </si>
  <si>
    <t>NICHOLS</t>
  </si>
  <si>
    <t>Mann</t>
  </si>
  <si>
    <t>Odom</t>
  </si>
  <si>
    <t>Porras</t>
  </si>
  <si>
    <t>Avant</t>
  </si>
  <si>
    <t>Corder</t>
  </si>
  <si>
    <t>Forand</t>
  </si>
  <si>
    <t>Cullen</t>
  </si>
  <si>
    <t>Spivey</t>
  </si>
  <si>
    <t>Hinson</t>
  </si>
  <si>
    <t>Mundy</t>
  </si>
  <si>
    <t>MANESS</t>
  </si>
  <si>
    <t>Ollis</t>
  </si>
  <si>
    <t>FRACK</t>
  </si>
  <si>
    <t>Baucom</t>
  </si>
  <si>
    <t>Weichel</t>
  </si>
  <si>
    <t>Drake</t>
  </si>
  <si>
    <t>Woodruff</t>
  </si>
  <si>
    <t>Parrish</t>
  </si>
  <si>
    <t>WALDEN</t>
  </si>
  <si>
    <t>Lott</t>
  </si>
  <si>
    <t>Burchett</t>
  </si>
  <si>
    <t>Lowery</t>
  </si>
  <si>
    <t>Staples</t>
  </si>
  <si>
    <t>Leight</t>
  </si>
  <si>
    <t>Swaim</t>
  </si>
  <si>
    <t>Village Clerk</t>
  </si>
  <si>
    <t>Patton</t>
  </si>
  <si>
    <t>Valentine</t>
  </si>
  <si>
    <t>Turner</t>
  </si>
  <si>
    <t>Rauschenbach</t>
  </si>
  <si>
    <t>Horton</t>
  </si>
  <si>
    <t>Bernauer</t>
  </si>
  <si>
    <t>Hagood</t>
  </si>
  <si>
    <t>Dozier</t>
  </si>
  <si>
    <t>Coffey</t>
  </si>
  <si>
    <t>Gaylord</t>
  </si>
  <si>
    <t>Harris</t>
  </si>
  <si>
    <t>Russell</t>
  </si>
  <si>
    <t>HOLDAWAY</t>
  </si>
  <si>
    <t>Rice</t>
  </si>
  <si>
    <t>Ratcliff</t>
  </si>
  <si>
    <t>Craft</t>
  </si>
  <si>
    <t>Maready</t>
  </si>
  <si>
    <t>Staton</t>
  </si>
  <si>
    <t>Castelloe</t>
  </si>
  <si>
    <t>Wingo</t>
  </si>
  <si>
    <t>Saunders</t>
  </si>
  <si>
    <t>Bowers</t>
  </si>
  <si>
    <t>Powers</t>
  </si>
  <si>
    <t>McDermott</t>
  </si>
  <si>
    <t>Norton</t>
  </si>
  <si>
    <t>Gooden</t>
  </si>
  <si>
    <t>Barnett</t>
  </si>
  <si>
    <t>Patton-Motluck</t>
  </si>
  <si>
    <t>Fitts</t>
  </si>
  <si>
    <t>7/1/1989</t>
  </si>
  <si>
    <t>9/13/2019</t>
  </si>
  <si>
    <t>9/12/2016</t>
  </si>
  <si>
    <t>8/9/2021</t>
  </si>
  <si>
    <t>1/1/1979</t>
  </si>
  <si>
    <t>9/14/2017</t>
  </si>
  <si>
    <t>10/20/2019</t>
  </si>
  <si>
    <t>1/1/1991</t>
  </si>
  <si>
    <t>12/3/1979</t>
  </si>
  <si>
    <t>4/16/2016</t>
  </si>
  <si>
    <t>3/22/1987</t>
  </si>
  <si>
    <t>10/1/2019</t>
  </si>
  <si>
    <t>7/7/2014</t>
  </si>
  <si>
    <t>6/30/2003</t>
  </si>
  <si>
    <t>12/21/2020</t>
  </si>
  <si>
    <t>1/1/2000</t>
  </si>
  <si>
    <t>7/1/2009</t>
  </si>
  <si>
    <t>8/17/2004</t>
  </si>
  <si>
    <t>1/1/1981</t>
  </si>
  <si>
    <t>12/31/2012</t>
  </si>
  <si>
    <t>1/1/1998</t>
  </si>
  <si>
    <t>12/1/2018</t>
  </si>
  <si>
    <t>7/1/2018</t>
  </si>
  <si>
    <t>1/2/1991</t>
  </si>
  <si>
    <t>10/1/1992</t>
  </si>
  <si>
    <t>8/14/2001</t>
  </si>
  <si>
    <t>3/11/2021</t>
  </si>
  <si>
    <t>12/12/2017</t>
  </si>
  <si>
    <t>11/14/2016</t>
  </si>
  <si>
    <t>1/12/2015</t>
  </si>
  <si>
    <t>4/1/2009</t>
  </si>
  <si>
    <t>11/1/2010</t>
  </si>
  <si>
    <t>3/1/2011</t>
  </si>
  <si>
    <t>2/16/2020</t>
  </si>
  <si>
    <t>11/7/2018</t>
  </si>
  <si>
    <t>6/24/2019</t>
  </si>
  <si>
    <t>4/10/2006</t>
  </si>
  <si>
    <t>9/16/2004</t>
  </si>
  <si>
    <t>7/15/2010</t>
  </si>
  <si>
    <t>6/1/2021</t>
  </si>
  <si>
    <t>2/22/2021</t>
  </si>
  <si>
    <t>3/25/2013</t>
  </si>
  <si>
    <t>6/7/2016</t>
  </si>
  <si>
    <t>7/6/2021</t>
  </si>
  <si>
    <t>12/12/2019</t>
  </si>
  <si>
    <t>08/01/2013</t>
  </si>
  <si>
    <t>5/1/2001</t>
  </si>
  <si>
    <t>8/1/2021</t>
  </si>
  <si>
    <t>2/1/2021</t>
  </si>
  <si>
    <t>5/6/2019</t>
  </si>
  <si>
    <t>10/5/2020</t>
  </si>
  <si>
    <t>4/3/2013</t>
  </si>
  <si>
    <t>Mary Bakan</t>
  </si>
  <si>
    <t>PAULINE HARAN</t>
  </si>
  <si>
    <t>Astrid Ramirez</t>
  </si>
  <si>
    <t>Lonna Hart</t>
  </si>
  <si>
    <t>Marsha Gross</t>
  </si>
  <si>
    <t>Wanda Yow</t>
  </si>
  <si>
    <t>Kevin Haney</t>
  </si>
  <si>
    <t>Cindy Rhodes</t>
  </si>
  <si>
    <t>Robin Hussey</t>
  </si>
  <si>
    <t>Brian Roberts</t>
  </si>
  <si>
    <t>Christy Horne</t>
  </si>
  <si>
    <t>Vicki C Garrett</t>
  </si>
  <si>
    <t>Kimberly Thacker</t>
  </si>
  <si>
    <t>Samuel Stewart</t>
  </si>
  <si>
    <t>Marie Spain</t>
  </si>
  <si>
    <t>Janet Parrott</t>
  </si>
  <si>
    <t>Susan Phillips</t>
  </si>
  <si>
    <t>Dee Hall</t>
  </si>
  <si>
    <t>Tara Dropp</t>
  </si>
  <si>
    <t>David McCole</t>
  </si>
  <si>
    <t>Sonia Johnson</t>
  </si>
  <si>
    <t>Drew Sharpe</t>
  </si>
  <si>
    <t>Lynn Bryant</t>
  </si>
  <si>
    <t>Al Leonard</t>
  </si>
  <si>
    <t>TARA NICHOLS</t>
  </si>
  <si>
    <t>Anne Mann</t>
  </si>
  <si>
    <t>David S. Odom</t>
  </si>
  <si>
    <t>Rita Maness</t>
  </si>
  <si>
    <t>Veronica Porras</t>
  </si>
  <si>
    <t>Thomas Avant</t>
  </si>
  <si>
    <t>Dan Corder</t>
  </si>
  <si>
    <t>Connie Forand</t>
  </si>
  <si>
    <t>Abra Cullen (Resigned) Meredith Merritt (New)</t>
  </si>
  <si>
    <t>Glenn Spivey</t>
  </si>
  <si>
    <t>Debbie Hinson</t>
  </si>
  <si>
    <t>Justin Mundy</t>
  </si>
  <si>
    <t>CATHY M. MANESS</t>
  </si>
  <si>
    <t>Zach Ollis</t>
  </si>
  <si>
    <t>TERESA FRACK</t>
  </si>
  <si>
    <t>Darrell Baucom</t>
  </si>
  <si>
    <t>Bo Weichel</t>
  </si>
  <si>
    <t>Beverly Drake</t>
  </si>
  <si>
    <t>Tom Woodruff</t>
  </si>
  <si>
    <t>Cassandra Parrish</t>
  </si>
  <si>
    <t>MABEL WALDEN</t>
  </si>
  <si>
    <t>Tiffany Lott</t>
  </si>
  <si>
    <t>Cindy C. Burchett</t>
  </si>
  <si>
    <t>David Edwards</t>
  </si>
  <si>
    <t>Phyllis Lowery</t>
  </si>
  <si>
    <t>Aileen J. Staples</t>
  </si>
  <si>
    <t>Peggy Leight</t>
  </si>
  <si>
    <t>Robert C Taylor Jr</t>
  </si>
  <si>
    <t>Mark Swaim</t>
  </si>
  <si>
    <t>Amanda Bryant</t>
  </si>
  <si>
    <t>Bess Patton</t>
  </si>
  <si>
    <t>Meredith Valentine</t>
  </si>
  <si>
    <t>Lea Turner</t>
  </si>
  <si>
    <t>Matthew Rauschenbach</t>
  </si>
  <si>
    <t>Denise Dale</t>
  </si>
  <si>
    <t>Holly Horton</t>
  </si>
  <si>
    <t>Rosemary Bernauer</t>
  </si>
  <si>
    <t>Misty Hagood</t>
  </si>
  <si>
    <t>Tonya Dozier</t>
  </si>
  <si>
    <t>Debbie Coffey</t>
  </si>
  <si>
    <t>Leslie Gaylord</t>
  </si>
  <si>
    <t>Shanelle Harris</t>
  </si>
  <si>
    <t>Butch Kay</t>
  </si>
  <si>
    <t>Yvonne Russell</t>
  </si>
  <si>
    <t>Chery Bennett</t>
  </si>
  <si>
    <t>HEATHER HOLDAWAY</t>
  </si>
  <si>
    <t>Cindy Graham</t>
  </si>
  <si>
    <t>Sean Martin</t>
  </si>
  <si>
    <t>Colburn Brown</t>
  </si>
  <si>
    <t>Jerry Rice</t>
  </si>
  <si>
    <t>Halee Ratcliff</t>
  </si>
  <si>
    <t>Christina Craft</t>
  </si>
  <si>
    <t>Jennifer Maready</t>
  </si>
  <si>
    <t>Amy Staton</t>
  </si>
  <si>
    <t>Sherry Hudson</t>
  </si>
  <si>
    <t>Allen Castelloe</t>
  </si>
  <si>
    <t>Valerie Jackson</t>
  </si>
  <si>
    <t>Karen Wingo</t>
  </si>
  <si>
    <t>Lisa Saunders</t>
  </si>
  <si>
    <t>Anthony Bowers</t>
  </si>
  <si>
    <t>Willieta Edwards</t>
  </si>
  <si>
    <t>Sheri Powers</t>
  </si>
  <si>
    <t>Donielle McDermott</t>
  </si>
  <si>
    <t>Melissa Norton</t>
  </si>
  <si>
    <t>Hunter Gooden</t>
  </si>
  <si>
    <t>Kamara Barnett</t>
  </si>
  <si>
    <t>Kari Patton-Motluck</t>
  </si>
  <si>
    <t>Bobby Fitts</t>
  </si>
  <si>
    <t>Fianace Officer</t>
  </si>
  <si>
    <t>Financial Officer</t>
  </si>
  <si>
    <t>Mayor / Finance Officer</t>
  </si>
  <si>
    <t>Manager/Finance Officer</t>
  </si>
  <si>
    <t>FINANCE OFFIER</t>
  </si>
  <si>
    <t>Town Manager &amp; Finance Director</t>
  </si>
  <si>
    <t>Finance Officer/Town Clerk</t>
  </si>
  <si>
    <t>Town Clerk/Administrator</t>
  </si>
  <si>
    <t>Village Administrator</t>
  </si>
  <si>
    <t>City Manager/Finance Officer</t>
  </si>
  <si>
    <t>TOWN CLERK/FINANCE OFFICER</t>
  </si>
  <si>
    <t>CFO</t>
  </si>
  <si>
    <t>Finance Director/Clerk</t>
  </si>
  <si>
    <t>Finance Officer/ Clerk</t>
  </si>
  <si>
    <t>Finance Officer and Clerk to the Board</t>
  </si>
  <si>
    <t>Administrative Services Director/CFO</t>
  </si>
  <si>
    <t>Town Clerk &amp; Fiance Officer</t>
  </si>
  <si>
    <t>12/3/2021</t>
  </si>
  <si>
    <t>10/11/2021</t>
  </si>
  <si>
    <t>10/20/2021</t>
  </si>
  <si>
    <t>2/22/2022</t>
  </si>
  <si>
    <t>9/27/2021</t>
  </si>
  <si>
    <t>8/17/2022</t>
  </si>
  <si>
    <t>2/16/2022</t>
  </si>
  <si>
    <t>12/22/2021</t>
  </si>
  <si>
    <t>5/9/2022</t>
  </si>
  <si>
    <t>3/8/2022</t>
  </si>
  <si>
    <t>11/1/2021</t>
  </si>
  <si>
    <t>7/5/2022</t>
  </si>
  <si>
    <t>1/26/2022</t>
  </si>
  <si>
    <t>3/29/2023</t>
  </si>
  <si>
    <t>9/30/2021</t>
  </si>
  <si>
    <t>910-259-9655</t>
  </si>
  <si>
    <t>910-253-4730</t>
  </si>
  <si>
    <t>910-865-5164</t>
  </si>
  <si>
    <t>336-622-3030</t>
  </si>
  <si>
    <t>704-821-0311</t>
  </si>
  <si>
    <t>704-888-2386</t>
  </si>
  <si>
    <t>704-263-4779</t>
  </si>
  <si>
    <t>252-238-3608</t>
  </si>
  <si>
    <t>910-428-4623</t>
  </si>
  <si>
    <t>704-878-3593</t>
  </si>
  <si>
    <t>910-323-1892</t>
  </si>
  <si>
    <t>919-691-2369</t>
  </si>
  <si>
    <t>336-643-4011</t>
  </si>
  <si>
    <t>336-573-9393</t>
  </si>
  <si>
    <t>252-671-0053</t>
  </si>
  <si>
    <t>828-898-9292</t>
  </si>
  <si>
    <t>336-643-8655</t>
  </si>
  <si>
    <t>910-579-6297</t>
  </si>
  <si>
    <t>910-328-4131</t>
  </si>
  <si>
    <t>910-326-4428</t>
  </si>
  <si>
    <t>336-516-4681</t>
  </si>
  <si>
    <t>828-586-2719</t>
  </si>
  <si>
    <t>910-653-3458</t>
  </si>
  <si>
    <t>910-709-2752</t>
  </si>
  <si>
    <t>252-641-4212</t>
  </si>
  <si>
    <t>828-632-2218</t>
  </si>
  <si>
    <t>910-295-4010</t>
  </si>
  <si>
    <t>910-285-7564</t>
  </si>
  <si>
    <t>336-475-4233</t>
  </si>
  <si>
    <t>336-983-0029</t>
  </si>
  <si>
    <t>910-328-5841</t>
  </si>
  <si>
    <t>252-637-9810</t>
  </si>
  <si>
    <t>252-671-4443</t>
  </si>
  <si>
    <t>336-431-2841</t>
  </si>
  <si>
    <t>704-528-7600</t>
  </si>
  <si>
    <t>910-572-3661</t>
  </si>
  <si>
    <t>828-859-6654</t>
  </si>
  <si>
    <t>910-592-7273</t>
  </si>
  <si>
    <t>704-221-2285</t>
  </si>
  <si>
    <t>828-879-2123</t>
  </si>
  <si>
    <t>252-244-0919</t>
  </si>
  <si>
    <t>252-745-5473</t>
  </si>
  <si>
    <t>910-842-3095</t>
  </si>
  <si>
    <t>919-245-4676</t>
  </si>
  <si>
    <t>704-678-3171</t>
  </si>
  <si>
    <t>910-485-3502</t>
  </si>
  <si>
    <t>704-694-5171</t>
  </si>
  <si>
    <t>910-369-2776</t>
  </si>
  <si>
    <t>919-435-9461</t>
  </si>
  <si>
    <t>336-595-4212</t>
  </si>
  <si>
    <t>910-285-4136</t>
  </si>
  <si>
    <t>336-409-5163</t>
  </si>
  <si>
    <t>336-591-4809</t>
  </si>
  <si>
    <t>919-778-9687</t>
  </si>
  <si>
    <t>252-753-5667</t>
  </si>
  <si>
    <t>252-257-1122</t>
  </si>
  <si>
    <t>910-293-7814</t>
  </si>
  <si>
    <t>252-975-9312</t>
  </si>
  <si>
    <t>252-946-3157</t>
  </si>
  <si>
    <t>910-522-6013</t>
  </si>
  <si>
    <t>704-843-2195</t>
  </si>
  <si>
    <t>828-456-3515</t>
  </si>
  <si>
    <t>828-645-7116</t>
  </si>
  <si>
    <t>828-631-5103</t>
  </si>
  <si>
    <t>704-846-2709</t>
  </si>
  <si>
    <t>252-536-4836</t>
  </si>
  <si>
    <t>919-365-4450</t>
  </si>
  <si>
    <t>336-342-6288</t>
  </si>
  <si>
    <t>704-839-0182</t>
  </si>
  <si>
    <t>336-246-3551</t>
  </si>
  <si>
    <t>910-949-3141</t>
  </si>
  <si>
    <t>910-862-4800</t>
  </si>
  <si>
    <t>910-642-8046</t>
  </si>
  <si>
    <t>336-449-3380</t>
  </si>
  <si>
    <t>336-838-3951</t>
  </si>
  <si>
    <t>252-792-5142</t>
  </si>
  <si>
    <t>252-206-5260</t>
  </si>
  <si>
    <t>919-938-3885</t>
  </si>
  <si>
    <t>252-794-2331</t>
  </si>
  <si>
    <t>252-333-9393</t>
  </si>
  <si>
    <t>704-243-5667</t>
  </si>
  <si>
    <t>336-747-6911</t>
  </si>
  <si>
    <t>252-215-2348</t>
  </si>
  <si>
    <t>252-358-3041</t>
  </si>
  <si>
    <t>828-253-4887</t>
  </si>
  <si>
    <t>252-587-7161</t>
  </si>
  <si>
    <t>910-256-7900</t>
  </si>
  <si>
    <t>336-679-8732</t>
  </si>
  <si>
    <t>336-694-5431</t>
  </si>
  <si>
    <t>919-925-3393</t>
  </si>
  <si>
    <t>919-823-1806</t>
  </si>
  <si>
    <t>sthelena@bizec.rr.com</t>
  </si>
  <si>
    <t>Pauline Haran &lt;pharan@stjames.town&gt;</t>
  </si>
  <si>
    <t>astrid@stpaulsnc.gov</t>
  </si>
  <si>
    <t>lonna@eulisspropane.com</t>
  </si>
  <si>
    <t>mgross@stallingsnc.org</t>
  </si>
  <si>
    <t>townclerk@stanfieldnc.com</t>
  </si>
  <si>
    <t>khaney@townofstanley.org</t>
  </si>
  <si>
    <t>cindyrhodes@townofstantonsburg.com</t>
  </si>
  <si>
    <t>townofstar@gmail.com</t>
  </si>
  <si>
    <t>broberts@statesvillenc.net</t>
  </si>
  <si>
    <t>chorne.tos@ncrrbiz.com</t>
  </si>
  <si>
    <t>townofstem@stemnc.org</t>
  </si>
  <si>
    <t>kthacker@stokesdale.org</t>
  </si>
  <si>
    <t>sstewart@stonvillenc.org</t>
  </si>
  <si>
    <t>jmspain@embarqmail.com</t>
  </si>
  <si>
    <t>jcp4646@yahoo.com</t>
  </si>
  <si>
    <t>manager.finance@seesugar.com</t>
  </si>
  <si>
    <t>dhall@summerfieldnc.gov</t>
  </si>
  <si>
    <t>tdropp@sunsetbeachnc.gov</t>
  </si>
  <si>
    <t>dmccole@surfcitync.gov</t>
  </si>
  <si>
    <t>sjohnson@ci.swansboro.nc.us</t>
  </si>
  <si>
    <t>dsharpe@swepsonville.org</t>
  </si>
  <si>
    <t>lbryant@townofslva.org</t>
  </si>
  <si>
    <t>yamman@taborcity.org</t>
  </si>
  <si>
    <t>tnicholstown@gmail.com</t>
  </si>
  <si>
    <t>annemann@tarboro-nc.com</t>
  </si>
  <si>
    <t>townmanager@taylorsvillenc.com</t>
  </si>
  <si>
    <t>taylortownclerk2@gmail.com</t>
  </si>
  <si>
    <t>veronica@teacheytown.com</t>
  </si>
  <si>
    <t>Thomas.Avant@thomasville-nc.gov</t>
  </si>
  <si>
    <t>administrator@tobaccovillenc.org</t>
  </si>
  <si>
    <t>cforand@topsailbeach.org</t>
  </si>
  <si>
    <t>mmerritt@trentwoodsnc.org</t>
  </si>
  <si>
    <t>glennpost154@hotmail.com</t>
  </si>
  <si>
    <t>citymanager@trinity-nc.gov</t>
  </si>
  <si>
    <t>jumundy@troutmannc.gov</t>
  </si>
  <si>
    <t>clerk@troy.nc.us</t>
  </si>
  <si>
    <t>manager@tryonnc.gov</t>
  </si>
  <si>
    <t>TFRACK@CENTURYLINK.NET</t>
  </si>
  <si>
    <t>dbaucom4@carolina.rr.com</t>
  </si>
  <si>
    <t>bweichel@valdesenc.gov</t>
  </si>
  <si>
    <t>beverlyd@vanceboronc.com</t>
  </si>
  <si>
    <t>vandemereclerk@live.com</t>
  </si>
  <si>
    <t>varnamtown@atmc.net</t>
  </si>
  <si>
    <t>vassnc@townofvass.com</t>
  </si>
  <si>
    <t>lott3171@bellsouth.net</t>
  </si>
  <si>
    <t>townofwade@nc.rr.com</t>
  </si>
  <si>
    <t>wadesboromanager@windstream.net</t>
  </si>
  <si>
    <t>townofwagram@windstream.net</t>
  </si>
  <si>
    <t>astaples@wakeforestnc.gov</t>
  </si>
  <si>
    <t>scottsnow@triad.rr.com</t>
  </si>
  <si>
    <t>rtaylor@wallacenc.gov</t>
  </si>
  <si>
    <t>mswaimg@gmail.com</t>
  </si>
  <si>
    <t>abryant@townofwalnutcove.org</t>
  </si>
  <si>
    <t>clerk@walnutcreeknc.com</t>
  </si>
  <si>
    <t>walstonbrg@aol.com</t>
  </si>
  <si>
    <t>m.valentine@warrenton.nc.gov</t>
  </si>
  <si>
    <t>finance@townofwarsawnc.com</t>
  </si>
  <si>
    <t>mrauschenbach@washingtonnc.gov</t>
  </si>
  <si>
    <t>ddwashpark@suddenlinkmail.com</t>
  </si>
  <si>
    <t>hollyrimmer68@gmail.com</t>
  </si>
  <si>
    <t>rbernauer@waxhaw.com</t>
  </si>
  <si>
    <t>mhagood@waynesvillenc.gov</t>
  </si>
  <si>
    <t>Tonya Dozier &lt;tdozier@weavervillenc.org&gt;</t>
  </si>
  <si>
    <t>info@townofwebster.org</t>
  </si>
  <si>
    <t>lgaylord@townofweddington.com</t>
  </si>
  <si>
    <t>sharris@historicweldonnc.com</t>
  </si>
  <si>
    <t>bkay@townofwendell.com</t>
  </si>
  <si>
    <t>Ymrussell@triad.rr.com</t>
  </si>
  <si>
    <t>clerk@wesleychapelnc.com</t>
  </si>
  <si>
    <t>FINANCE@TOWNOFWJ.COM</t>
  </si>
  <si>
    <t>cgraham@whisperingpinesnc.net</t>
  </si>
  <si>
    <t>smartin@whitelakenc.org</t>
  </si>
  <si>
    <t>cbrown@ci.whiteville.nc.us</t>
  </si>
  <si>
    <t>22jerry.rice@gmail.com</t>
  </si>
  <si>
    <t>hratcliff@wilkesboronc.org</t>
  </si>
  <si>
    <t>christinacraft@townofwilliamston.com</t>
  </si>
  <si>
    <t>jennifer.maready@wilmingtonnc.gov</t>
  </si>
  <si>
    <t>astaton@wilsonnc.org</t>
  </si>
  <si>
    <t>shudson@wilsonsmillsnc.org</t>
  </si>
  <si>
    <t>windsor.admin@mchsi.com</t>
  </si>
  <si>
    <t>valeriejackson275@gmail.com</t>
  </si>
  <si>
    <t>kwingo@townofwingatenc.gov</t>
  </si>
  <si>
    <t>lisas@cityofws.org</t>
  </si>
  <si>
    <t>anthony.bowers@wintervillenc.com</t>
  </si>
  <si>
    <t>townofwinton@gmail.com</t>
  </si>
  <si>
    <t>spowers@woodfin-nc.gov</t>
  </si>
  <si>
    <t>woodlandnc@mchsi.com</t>
  </si>
  <si>
    <t>mnorton@towb.org</t>
  </si>
  <si>
    <t>hgooden@yadkinville.org</t>
  </si>
  <si>
    <t>townmanager@yanceyvillenc.gov</t>
  </si>
  <si>
    <t>kpattonmotluck@townofyoungsville.org</t>
  </si>
  <si>
    <t>rfitts@townofzebulon.org</t>
  </si>
  <si>
    <t>3/3/2022</t>
  </si>
  <si>
    <t>3/5/2022</t>
  </si>
  <si>
    <t>10/7/2021</t>
  </si>
  <si>
    <t>4/14/2022</t>
  </si>
  <si>
    <t>1/17/2022</t>
  </si>
  <si>
    <t>5/26/2022</t>
  </si>
  <si>
    <t>3/23/2022</t>
  </si>
  <si>
    <t>12/4/2021</t>
  </si>
  <si>
    <t>2/2/2022</t>
  </si>
  <si>
    <t>3/27/2023</t>
  </si>
  <si>
    <t>Capital - Police Car and Public Works Truck</t>
  </si>
  <si>
    <t>Operations - For operating expenditures in various departments.</t>
  </si>
  <si>
    <t>Capital - The City purchased a bulding that they were renting to expand into.</t>
  </si>
  <si>
    <t>- Not Applicable</t>
  </si>
  <si>
    <t>- N/A</t>
  </si>
  <si>
    <t>Robbie</t>
  </si>
  <si>
    <t>Pauline</t>
  </si>
  <si>
    <t>Shannon</t>
  </si>
  <si>
    <t>Jim</t>
  </si>
  <si>
    <t>Roosevelt</t>
  </si>
  <si>
    <t>Jacqui</t>
  </si>
  <si>
    <t>LEA</t>
  </si>
  <si>
    <t>Matthew</t>
  </si>
  <si>
    <t>Jeneane</t>
  </si>
  <si>
    <t>Haran</t>
  </si>
  <si>
    <t>Ramirez</t>
  </si>
  <si>
    <t>Holman</t>
  </si>
  <si>
    <t>Nichols</t>
  </si>
  <si>
    <t>Reece</t>
  </si>
  <si>
    <t>Fatland</t>
  </si>
  <si>
    <t>Henegan</t>
  </si>
  <si>
    <t>Qhitmire</t>
  </si>
  <si>
    <t>TURNER</t>
  </si>
  <si>
    <t>Dodd</t>
  </si>
  <si>
    <t>Everett</t>
  </si>
  <si>
    <t>Whedbee</t>
  </si>
  <si>
    <t>Latham</t>
  </si>
  <si>
    <t>Manning</t>
  </si>
  <si>
    <t>Murray</t>
  </si>
  <si>
    <t>Dewberry</t>
  </si>
  <si>
    <t>1/2/2017</t>
  </si>
  <si>
    <t>10/18/2018</t>
  </si>
  <si>
    <t>3/16/2009</t>
  </si>
  <si>
    <t>6/17/2016</t>
  </si>
  <si>
    <t>6/13/2022</t>
  </si>
  <si>
    <t>Robbie Holly</t>
  </si>
  <si>
    <t>Pauline Haran</t>
  </si>
  <si>
    <t>Astrid Rameriz</t>
  </si>
  <si>
    <t>Michelle Holman</t>
  </si>
  <si>
    <t>Vicki Garrett</t>
  </si>
  <si>
    <t>Shannon Tucker</t>
  </si>
  <si>
    <t>Janet C. Parrott</t>
  </si>
  <si>
    <t>Tara Nichols</t>
  </si>
  <si>
    <t>Lynn  Bryant</t>
  </si>
  <si>
    <t>Brenda Reece</t>
  </si>
  <si>
    <t>CATHY MANESS</t>
  </si>
  <si>
    <t>Jim Fatland</t>
  </si>
  <si>
    <t>Cindy Burchett</t>
  </si>
  <si>
    <t>Roosevelt Henegan</t>
  </si>
  <si>
    <t>LEA TURNER</t>
  </si>
  <si>
    <t>Matt Rauschenbach</t>
  </si>
  <si>
    <t>Rosemary (Rosie) Dodd</t>
  </si>
  <si>
    <t>Tonya Dozer</t>
  </si>
  <si>
    <t>Garrett Johnson</t>
  </si>
  <si>
    <t>Cheryl Bennett</t>
  </si>
  <si>
    <t>Jeneane Everett</t>
  </si>
  <si>
    <t>Debbie Whedbee</t>
  </si>
  <si>
    <t>Kelly Latham</t>
  </si>
  <si>
    <t>Jessica Manning</t>
  </si>
  <si>
    <t>Brian Murray</t>
  </si>
  <si>
    <t>Kari Dewberry</t>
  </si>
  <si>
    <t>Clerk/Financial Officer</t>
  </si>
  <si>
    <t>Administrator/Finance Officer</t>
  </si>
  <si>
    <t>CFO/Finance Director</t>
  </si>
  <si>
    <t>Financme Officer</t>
  </si>
  <si>
    <t>Town Manager/Interim Finance Officer</t>
  </si>
  <si>
    <t>10/18/2022</t>
  </si>
  <si>
    <t>1/20/2023</t>
  </si>
  <si>
    <t>10/19/2022</t>
  </si>
  <si>
    <t>12/16/2022</t>
  </si>
  <si>
    <t>1/24/2023</t>
  </si>
  <si>
    <t>3/23/2023</t>
  </si>
  <si>
    <t>9/2/2022</t>
  </si>
  <si>
    <t>2/22/2023</t>
  </si>
  <si>
    <t>10/25/2022</t>
  </si>
  <si>
    <t>5/24/2023</t>
  </si>
  <si>
    <t>12/30/2022</t>
  </si>
  <si>
    <t>9/27/2022</t>
  </si>
  <si>
    <t>10/13/2022</t>
  </si>
  <si>
    <t>10/4/2022</t>
  </si>
  <si>
    <t>12/4/2022</t>
  </si>
  <si>
    <t>3/21/2023</t>
  </si>
  <si>
    <t>12/27/2022</t>
  </si>
  <si>
    <t>10/14/2022</t>
  </si>
  <si>
    <t>704-263-4779 ext.103</t>
  </si>
  <si>
    <t>704-878-3592</t>
  </si>
  <si>
    <t>919-693-4646</t>
  </si>
  <si>
    <t>828-898-9292 ext.1002</t>
  </si>
  <si>
    <t>910-579-6297 ext.1015</t>
  </si>
  <si>
    <t>910-328-4131 ext.102</t>
  </si>
  <si>
    <t>252-448-1784</t>
  </si>
  <si>
    <t>336-431-2180</t>
  </si>
  <si>
    <t>828-859-6655</t>
  </si>
  <si>
    <t>910-245-4676</t>
  </si>
  <si>
    <t>252-257-1122 ext.202</t>
  </si>
  <si>
    <t>704-843-2195 ext.223</t>
  </si>
  <si>
    <t>828-456-2026</t>
  </si>
  <si>
    <t>919-365-4450 ext.111</t>
  </si>
  <si>
    <t>910-949-3141 ext.130</t>
  </si>
  <si>
    <t>910-642-8046 ext.1005</t>
  </si>
  <si>
    <t>336-449-7810</t>
  </si>
  <si>
    <t>252-426-5015</t>
  </si>
  <si>
    <t>336-747-6913</t>
  </si>
  <si>
    <t>252-756-2221 ext.2351</t>
  </si>
  <si>
    <t>336-731-6963</t>
  </si>
  <si>
    <t>910-239-1772</t>
  </si>
  <si>
    <t>pharan@stjames.town</t>
  </si>
  <si>
    <t>townofstaley@rtelco.net</t>
  </si>
  <si>
    <t>mholman@statesvillenc.net</t>
  </si>
  <si>
    <t>stucker@stonevillenc.org</t>
  </si>
  <si>
    <t>Jparrott@yahoo.com</t>
  </si>
  <si>
    <t>lbryant@townofsylva.org</t>
  </si>
  <si>
    <t>taylortownclerk3@gmail.com</t>
  </si>
  <si>
    <t>breece@trentwoodsnc.org</t>
  </si>
  <si>
    <t>cpostell@trinity-nc.gov</t>
  </si>
  <si>
    <t>jmundy@troutmannc.gov</t>
  </si>
  <si>
    <t>FINANCE@TOWNOFWARSAWNC.COM</t>
  </si>
  <si>
    <t>Mrauschenbach@washingtonnc.gov</t>
  </si>
  <si>
    <t>ddwashpark@suddenlink.com</t>
  </si>
  <si>
    <t>rdodd@waxhaw.com</t>
  </si>
  <si>
    <t>tdozier@weavervillenc.org</t>
  </si>
  <si>
    <t>gjohnson@townofwendellnc.gov</t>
  </si>
  <si>
    <t>ymrussell@triad.rr.com</t>
  </si>
  <si>
    <t>jeverett@townofwilliamston.com</t>
  </si>
  <si>
    <t>whedbeedebbie@yahoo.com</t>
  </si>
  <si>
    <t>kellyl@cityofws.org</t>
  </si>
  <si>
    <t>jessica.manning@wintervillenc.com</t>
  </si>
  <si>
    <t>bmurray@towb.org</t>
  </si>
  <si>
    <t>kdewberry@townofyoungsville.org</t>
  </si>
  <si>
    <t>2/20/2023</t>
  </si>
  <si>
    <t>4/20/2023</t>
  </si>
  <si>
    <t>3/20/2023</t>
  </si>
  <si>
    <t>4/3/2023</t>
  </si>
  <si>
    <t>6/22/2023</t>
  </si>
  <si>
    <t>4/24/2023</t>
  </si>
  <si>
    <t>6/12/2023</t>
  </si>
  <si>
    <t>2/2/2023</t>
  </si>
  <si>
    <t>2022-10-13</t>
  </si>
  <si>
    <t>2023-04-17</t>
  </si>
  <si>
    <t>2023-01-27</t>
  </si>
  <si>
    <t>2023-02-04</t>
  </si>
  <si>
    <t>2022-11-07</t>
  </si>
  <si>
    <t>2023-01-04</t>
  </si>
  <si>
    <t>2022-10-18</t>
  </si>
  <si>
    <t>2023-01-13</t>
  </si>
  <si>
    <t>2022-12-19</t>
  </si>
  <si>
    <t>2022-11-23</t>
  </si>
  <si>
    <t>2023-01-29</t>
  </si>
  <si>
    <t>2023-02-27</t>
  </si>
  <si>
    <t>2022-10-21</t>
  </si>
  <si>
    <t>2022-12-14</t>
  </si>
  <si>
    <t>2022-09-02</t>
  </si>
  <si>
    <t>2022-11-01</t>
  </si>
  <si>
    <t>2023-05-30</t>
  </si>
  <si>
    <t>2022-12-30</t>
  </si>
  <si>
    <t>2022-09-27</t>
  </si>
  <si>
    <t>2023-03-09</t>
  </si>
  <si>
    <t>2022-11-09</t>
  </si>
  <si>
    <t>2022-10-04</t>
  </si>
  <si>
    <t>2022-11-16</t>
  </si>
  <si>
    <t>2022-12-04</t>
  </si>
  <si>
    <t>2023-03-22</t>
  </si>
  <si>
    <t>2023-05-09</t>
  </si>
  <si>
    <t>2022-11-25</t>
  </si>
  <si>
    <t>2023-02-08</t>
  </si>
  <si>
    <t>2023-01-06</t>
  </si>
  <si>
    <t>2022-12-29</t>
  </si>
  <si>
    <t>2023-05-31</t>
  </si>
  <si>
    <t>Amount of ARPA funds expended in total for fiscal year for non-capital purposes</t>
  </si>
  <si>
    <t>Marsha Ann Gross</t>
  </si>
  <si>
    <t>Erstine</t>
  </si>
  <si>
    <t>Pitt</t>
  </si>
  <si>
    <t>Esterine Pitt</t>
  </si>
  <si>
    <t>Town Administrator/Finance</t>
  </si>
  <si>
    <t>5/23/2023</t>
  </si>
  <si>
    <t>252-437-4011</t>
  </si>
  <si>
    <t>epitt@townofwhitakers.org</t>
  </si>
  <si>
    <t>6/5/2023</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</si>
  <si>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</si>
  <si>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</si>
  <si>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TD Info Completed by Auditor tab: CCH acct # 1079</t>
  </si>
  <si>
    <t>Did your audit disclose any budget violations at adopted ordinance level(Yes or No)</t>
  </si>
  <si>
    <t>If the answer to 1059 is "No," was the unit without a board-appointed interim or permanent finance officer for more than 2 weeks at any time in the fiscal year</t>
  </si>
  <si>
    <t>Is there is a going concern noted in the audit report</t>
  </si>
  <si>
    <t>Please do not answer this question unless the unit has a  water and/or sewer fund</t>
  </si>
  <si>
    <t>Remaining useful life of asset greater than or equal to 0.50</t>
  </si>
  <si>
    <t xml:space="preserve">This capital assets condition ratio formula calculates the remaining useful life. A remaining useful asset value less than 0.50  may signal the need to replace the assets in the near future. </t>
  </si>
  <si>
    <t>J</t>
  </si>
  <si>
    <t>Please enter the fiscal year end reported on the unit's audited financial statements if other than 6/30/2023.              Format "MM/DD/YYYY"</t>
  </si>
  <si>
    <t>What date was the audit report submitted to the LGC?  (Note audit reports are due four months after fiscal year end regardless of the contract submission date.)</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</si>
  <si>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</si>
  <si>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C31</t>
  </si>
  <si>
    <t>C30</t>
  </si>
  <si>
    <t xml:space="preserve">What date was the audit report submitted to the LGC? </t>
  </si>
  <si>
    <t>Fiscal Review, UAL Determination, Financial Performance Indicator</t>
  </si>
  <si>
    <t>Does the Unit have a non-state administered pension plan</t>
  </si>
  <si>
    <t>Must be linked to unit number on Unit Data from Audit Worksheet tab</t>
  </si>
  <si>
    <t>Amount transferred from the Water and Sewer Fund to Water and Sewer Capital Project Funds</t>
  </si>
  <si>
    <t>Fiscal 2023 -  Data Input Workbook incorporates the
Unit Data from Audit Worksheet, TD Info Completed by Auditor Worksheet, Performance Indicators Print Worksheet</t>
  </si>
  <si>
    <t>What date was the audit report submitted to the LGC?  (Note audit reports are due four months after fiscal year end regardless of the contract submission date.)  Enter as "MM/DD/YYYY"</t>
  </si>
  <si>
    <t xml:space="preserve">Capital Assets for Water and Sewer Activity </t>
  </si>
  <si>
    <t>Version Date 10/13/2023</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</si>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</sst>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79" fillId="0" borderId="0"/>
    <xf numFmtId="43" fontId="179" fillId="0" borderId="0" applyFont="0" applyFill="0" applyBorder="0" applyAlignment="0" applyProtection="0"/>
    <xf numFmtId="44" fontId="179"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7" fillId="0" borderId="0"/>
    <xf numFmtId="0" fontId="187" fillId="0" borderId="0"/>
    <xf numFmtId="0" fontId="188" fillId="0" borderId="0"/>
    <xf numFmtId="0" fontId="188" fillId="0" borderId="0"/>
    <xf numFmtId="0" fontId="188" fillId="0" borderId="0"/>
    <xf numFmtId="0" fontId="188"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8" fillId="0" borderId="0"/>
    <xf numFmtId="0" fontId="189" fillId="0" borderId="0"/>
    <xf numFmtId="0" fontId="188"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8" fillId="0" borderId="0"/>
  </cellStyleXfs>
  <cellXfs count="1204">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2" borderId="0" xfId="0" applyFill="1" applyBorder="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5"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6"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14" fontId="0" fillId="36" borderId="0" xfId="0" applyNumberFormat="1" applyFont="1" applyFill="1" applyProtection="1"/>
    <xf numFmtId="0" fontId="0" fillId="34" borderId="0" xfId="0" applyNumberFormat="1" applyFont="1" applyFill="1" applyBorder="1" applyAlignment="1" applyProtection="1">
      <alignment horizontal="left" vertical="center" wrapText="1"/>
    </xf>
    <xf numFmtId="0" fontId="0" fillId="34" borderId="10" xfId="0" applyFill="1" applyBorder="1" applyAlignment="1">
      <alignment horizontal="center" vertical="center"/>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49" fontId="0" fillId="34" borderId="29" xfId="439"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0" fillId="36" borderId="0" xfId="0" applyNumberFormat="1" applyFont="1" applyFill="1" applyAlignment="1" applyProtection="1">
      <alignment horizontal="left" vertical="center" wrapText="1"/>
    </xf>
    <xf numFmtId="37" fontId="0" fillId="34" borderId="29" xfId="439" applyNumberFormat="1" applyFont="1" applyFill="1" applyBorder="1" applyAlignment="1" applyProtection="1">
      <alignment horizontal="center" vertical="center"/>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44" fillId="34" borderId="0" xfId="0" applyFont="1" applyFill="1" applyAlignment="1" applyProtection="1">
      <alignment horizontal="center"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3" fillId="0" borderId="0" xfId="0" applyFont="1"/>
    <xf numFmtId="186" fontId="193" fillId="0" borderId="0" xfId="0" applyNumberFormat="1" applyFont="1"/>
    <xf numFmtId="0" fontId="193" fillId="0" borderId="0" xfId="0" applyFont="1" applyAlignment="1">
      <alignment horizontal="center"/>
    </xf>
    <xf numFmtId="186" fontId="193"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44" fillId="0" borderId="0" xfId="439" applyNumberFormat="1" applyFont="1" applyFill="1" applyAlignment="1" applyProtection="1">
      <alignment horizontal="center" vertical="center" wrapText="1"/>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8"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2"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2"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44" fillId="0" borderId="0" xfId="4688" applyNumberFormat="1" applyFont="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176"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39" fillId="78" borderId="57" xfId="0" applyFont="1" applyFill="1" applyBorder="1" applyAlignment="1" applyProtection="1">
      <alignment horizontal="center"/>
    </xf>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0" fontId="37" fillId="78" borderId="57" xfId="0" applyFont="1" applyFill="1" applyBorder="1" applyAlignment="1" applyProtection="1">
      <alignment horizontal="justify" vertical="center"/>
    </xf>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81" fillId="0" borderId="57" xfId="4688" applyNumberFormat="1" applyFont="1" applyFill="1" applyBorder="1" applyAlignment="1" applyProtection="1">
      <alignment horizontal="center" vertical="center" wrapText="1"/>
    </xf>
    <xf numFmtId="10" fontId="181" fillId="0" borderId="57" xfId="0" applyNumberFormat="1" applyFont="1" applyBorder="1" applyAlignment="1" applyProtection="1">
      <alignment horizontal="center" vertical="center" wrapText="1"/>
    </xf>
    <xf numFmtId="37" fontId="181"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0" fontId="186" fillId="78" borderId="57" xfId="0" applyFont="1" applyFill="1" applyBorder="1" applyAlignment="1" applyProtection="1">
      <alignment vertical="center" wrapText="1"/>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69" fillId="0" borderId="0" xfId="0" applyFont="1" applyFill="1" applyAlignment="1" applyProtection="1">
      <alignment horizontal="center" vertical="center" wrapText="1"/>
    </xf>
    <xf numFmtId="0" fontId="0" fillId="0" borderId="0" xfId="0" quotePrefix="1" applyFill="1" applyAlignment="1">
      <alignment horizontal="center"/>
    </xf>
    <xf numFmtId="0" fontId="137" fillId="0" borderId="0" xfId="0" applyFont="1" applyFill="1" applyAlignment="1">
      <alignment horizontal="left" vertical="center" wrapText="1"/>
    </xf>
    <xf numFmtId="0" fontId="68" fillId="0" borderId="76" xfId="0" applyFont="1" applyFill="1" applyBorder="1" applyAlignment="1">
      <alignment vertical="center" wrapText="1"/>
    </xf>
    <xf numFmtId="0" fontId="0" fillId="24" borderId="0" xfId="0" applyFill="1" applyAlignment="1" applyProtection="1">
      <alignment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2" fontId="0" fillId="0" borderId="0" xfId="0" applyNumberFormat="1" applyFill="1"/>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16" xfId="0" applyNumberForma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43" fontId="0" fillId="0" borderId="0" xfId="0" applyNumberFormat="1"/>
    <xf numFmtId="0" fontId="0" fillId="0" borderId="57" xfId="0" applyNumberFormat="1" applyFill="1" applyBorder="1" applyAlignment="1" applyProtection="1">
      <alignment horizontal="center" vertical="center" wrapText="1"/>
    </xf>
    <xf numFmtId="0" fontId="185" fillId="34" borderId="57" xfId="0" applyFont="1" applyFill="1" applyBorder="1" applyAlignment="1">
      <alignment horizontal="left" vertical="center" wrapText="1"/>
    </xf>
    <xf numFmtId="10" fontId="39" fillId="34" borderId="57" xfId="0" applyNumberFormat="1" applyFont="1" applyFill="1" applyBorder="1" applyAlignment="1" applyProtection="1">
      <alignment horizontal="center" vertical="center" wrapText="1"/>
    </xf>
    <xf numFmtId="0" fontId="40" fillId="34" borderId="57" xfId="0" applyFont="1" applyFill="1" applyBorder="1" applyAlignment="1" applyProtection="1">
      <alignment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 fontId="0" fillId="36" borderId="0" xfId="0" applyNumberFormat="1" applyFill="1" applyAlignment="1">
      <alignment horizontal="center" vertical="center"/>
    </xf>
    <xf numFmtId="181" fontId="0" fillId="36" borderId="0" xfId="0" applyNumberFormat="1" applyFill="1" applyAlignment="1">
      <alignment vertical="center" wrapText="1"/>
    </xf>
    <xf numFmtId="10" fontId="44" fillId="73" borderId="0" xfId="4688" applyNumberFormat="1" applyFont="1" applyFill="1" applyAlignment="1" applyProtection="1">
      <alignment wrapText="1"/>
    </xf>
    <xf numFmtId="181" fontId="0" fillId="36" borderId="0" xfId="0" applyNumberFormat="1" applyFill="1" applyAlignment="1">
      <alignment vertical="center"/>
    </xf>
    <xf numFmtId="0" fontId="0" fillId="36" borderId="0" xfId="0" applyFill="1" applyAlignment="1">
      <alignment vertical="center"/>
    </xf>
    <xf numFmtId="0" fontId="45" fillId="34" borderId="13" xfId="0" applyFont="1" applyFill="1" applyBorder="1" applyAlignment="1" applyProtection="1">
      <alignment horizontal="center" vertical="center" wrapText="1"/>
    </xf>
    <xf numFmtId="1" fontId="0" fillId="0" borderId="25" xfId="0" applyNumberFormat="1" applyFont="1" applyFill="1" applyBorder="1" applyAlignment="1" applyProtection="1">
      <alignment horizontal="center" vertical="center" wrapText="1"/>
    </xf>
    <xf numFmtId="166" fontId="0" fillId="34" borderId="29"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37" fillId="34" borderId="16" xfId="0" applyFont="1" applyFill="1" applyBorder="1" applyAlignment="1" applyProtection="1">
      <alignment horizontal="justify" vertical="center" wrapText="1"/>
    </xf>
    <xf numFmtId="0" fontId="0" fillId="0" borderId="10" xfId="0" applyBorder="1" applyAlignment="1">
      <alignment horizontal="center" vertical="center"/>
    </xf>
    <xf numFmtId="0" fontId="0" fillId="86" borderId="10" xfId="0" applyFill="1" applyBorder="1" applyAlignment="1">
      <alignment vertical="center" wrapText="1"/>
    </xf>
    <xf numFmtId="0" fontId="69" fillId="86" borderId="76" xfId="0" applyFont="1" applyFill="1" applyBorder="1" applyAlignment="1">
      <alignment vertical="center" wrapText="1"/>
    </xf>
    <xf numFmtId="0" fontId="68" fillId="0" borderId="76" xfId="0" applyFont="1" applyBorder="1" applyAlignment="1">
      <alignment vertical="center" wrapText="1"/>
    </xf>
    <xf numFmtId="0" fontId="39" fillId="0" borderId="57" xfId="0" quotePrefix="1" applyFont="1" applyBorder="1" applyAlignment="1">
      <alignment horizontal="center" vertical="center"/>
    </xf>
    <xf numFmtId="0" fontId="39" fillId="34" borderId="57" xfId="0" quotePrefix="1" applyFont="1" applyFill="1" applyBorder="1" applyAlignment="1">
      <alignment horizontal="center" vertical="center"/>
    </xf>
    <xf numFmtId="0" fontId="39" fillId="0" borderId="57" xfId="0" applyFont="1" applyBorder="1" applyAlignment="1">
      <alignment horizontal="center" vertical="center"/>
    </xf>
    <xf numFmtId="14" fontId="44" fillId="0" borderId="69" xfId="0" applyNumberFormat="1" applyFont="1" applyBorder="1"/>
    <xf numFmtId="14" fontId="44" fillId="34" borderId="70" xfId="0" applyNumberFormat="1" applyFont="1" applyFill="1" applyBorder="1"/>
    <xf numFmtId="14" fontId="44" fillId="34" borderId="71" xfId="0" applyNumberFormat="1" applyFont="1" applyFill="1" applyBorder="1"/>
    <xf numFmtId="0" fontId="44" fillId="0" borderId="22" xfId="0" applyFont="1" applyBorder="1"/>
    <xf numFmtId="0" fontId="44" fillId="0" borderId="56" xfId="0" applyFont="1" applyBorder="1"/>
    <xf numFmtId="14" fontId="44" fillId="0" borderId="0" xfId="0" applyNumberFormat="1" applyFont="1"/>
    <xf numFmtId="14" fontId="44" fillId="0" borderId="56" xfId="0" applyNumberFormat="1" applyFont="1" applyBorder="1"/>
    <xf numFmtId="0" fontId="44" fillId="0" borderId="72" xfId="0" applyFont="1" applyBorder="1"/>
    <xf numFmtId="14" fontId="44" fillId="0" borderId="17" xfId="0" applyNumberFormat="1" applyFont="1" applyBorder="1"/>
    <xf numFmtId="14" fontId="44" fillId="0" borderId="73" xfId="0" applyNumberFormat="1" applyFont="1" applyBorder="1"/>
    <xf numFmtId="14" fontId="0" fillId="0" borderId="57" xfId="0" applyNumberFormat="1" applyBorder="1" applyAlignment="1">
      <alignment horizontal="center" vertical="center" wrapText="1"/>
    </xf>
    <xf numFmtId="0" fontId="0" fillId="34" borderId="25" xfId="0" applyFill="1" applyBorder="1" applyAlignment="1">
      <alignment horizontal="left" vertical="center" wrapText="1"/>
    </xf>
    <xf numFmtId="0" fontId="41" fillId="34" borderId="25" xfId="0" applyFont="1" applyFill="1" applyBorder="1" applyAlignment="1">
      <alignment horizontal="left" vertical="center" wrapText="1"/>
    </xf>
    <xf numFmtId="14" fontId="0" fillId="0" borderId="0" xfId="0" applyNumberFormat="1" applyAlignment="1">
      <alignment horizontal="center" vertical="center"/>
    </xf>
    <xf numFmtId="49" fontId="0" fillId="78" borderId="0" xfId="0" applyNumberFormat="1" applyFill="1" applyAlignment="1">
      <alignment horizontal="center" vertical="center" wrapText="1"/>
    </xf>
    <xf numFmtId="0" fontId="0" fillId="22" borderId="0" xfId="0" applyFill="1" applyAlignment="1">
      <alignment vertical="center"/>
    </xf>
    <xf numFmtId="0" fontId="39" fillId="78" borderId="64" xfId="0" applyFont="1" applyFill="1" applyBorder="1" applyAlignment="1">
      <alignment horizontal="center" vertical="center"/>
    </xf>
    <xf numFmtId="0" fontId="41" fillId="78" borderId="23" xfId="0" applyFont="1" applyFill="1" applyBorder="1" applyAlignment="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11" xfId="0" applyFill="1" applyBorder="1" applyAlignment="1">
      <alignment horizontal="center" vertical="center" wrapText="1"/>
    </xf>
    <xf numFmtId="0" fontId="39" fillId="0" borderId="87" xfId="0" applyFont="1" applyBorder="1" applyAlignment="1" applyProtection="1">
      <alignment horizontal="center"/>
    </xf>
    <xf numFmtId="14" fontId="0" fillId="0" borderId="10" xfId="0" applyNumberFormat="1" applyBorder="1" applyAlignment="1">
      <alignment horizontal="center" vertical="center"/>
    </xf>
    <xf numFmtId="0" fontId="0" fillId="0" borderId="0" xfId="0" applyAlignment="1">
      <alignment horizontal="center" vertical="center" wrapText="1"/>
    </xf>
    <xf numFmtId="171" fontId="0" fillId="0" borderId="0" xfId="0" applyNumberFormat="1" applyFont="1" applyFill="1" applyAlignment="1" applyProtection="1">
      <alignment vertical="center" wrapText="1"/>
    </xf>
    <xf numFmtId="0" fontId="39" fillId="0" borderId="0" xfId="0" applyFont="1" applyFill="1" applyBorder="1" applyAlignment="1" applyProtection="1">
      <alignment horizontal="center"/>
      <protection locked="0"/>
    </xf>
    <xf numFmtId="0" fontId="0" fillId="0" borderId="0" xfId="0" applyProtection="1">
      <protection locked="0"/>
    </xf>
    <xf numFmtId="168" fontId="0" fillId="0" borderId="0" xfId="0" applyNumberFormat="1" applyFont="1" applyFill="1" applyAlignment="1" applyProtection="1">
      <alignment wrapText="1"/>
      <protection locked="0"/>
    </xf>
    <xf numFmtId="168" fontId="0" fillId="0" borderId="0" xfId="0" applyNumberFormat="1" applyFont="1" applyProtection="1">
      <protection locked="0"/>
    </xf>
    <xf numFmtId="0" fontId="0" fillId="0" borderId="0" xfId="0" applyNumberFormat="1" applyFont="1" applyFill="1" applyAlignment="1" applyProtection="1">
      <alignment horizontal="center" vertical="center"/>
      <protection locked="0"/>
    </xf>
    <xf numFmtId="37" fontId="0" fillId="0" borderId="0" xfId="0" applyNumberFormat="1" applyFont="1" applyFill="1" applyAlignment="1" applyProtection="1">
      <alignment horizontal="center" vertical="center"/>
      <protection locked="0"/>
    </xf>
    <xf numFmtId="14" fontId="0" fillId="0" borderId="0" xfId="0" applyNumberFormat="1" applyFont="1" applyProtection="1">
      <protection locked="0"/>
    </xf>
    <xf numFmtId="14" fontId="0" fillId="0" borderId="0" xfId="0" applyNumberFormat="1" applyFont="1" applyFill="1" applyAlignment="1" applyProtection="1">
      <alignment horizontal="center" vertical="center"/>
      <protection locked="0"/>
    </xf>
    <xf numFmtId="0" fontId="69" fillId="20" borderId="0" xfId="0" applyFont="1" applyFill="1" applyAlignment="1" applyProtection="1">
      <alignment vertical="center" wrapText="1"/>
    </xf>
    <xf numFmtId="38" fontId="68" fillId="20" borderId="0" xfId="0" applyNumberFormat="1" applyFont="1" applyFill="1" applyAlignment="1" applyProtection="1">
      <alignment vertical="center" wrapText="1"/>
    </xf>
    <xf numFmtId="0" fontId="68" fillId="20" borderId="0" xfId="0" applyFont="1" applyFill="1" applyAlignment="1" applyProtection="1">
      <alignment vertical="center" wrapText="1"/>
    </xf>
    <xf numFmtId="0" fontId="0" fillId="0" borderId="77" xfId="0" applyFill="1" applyBorder="1" applyAlignment="1">
      <alignment horizontal="center" vertical="center"/>
    </xf>
    <xf numFmtId="0" fontId="0" fillId="0" borderId="77" xfId="0" applyFill="1" applyBorder="1" applyAlignment="1">
      <alignment vertical="center" wrapText="1"/>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34" borderId="12" xfId="0" applyFill="1" applyBorder="1" applyAlignment="1">
      <alignment horizontal="center" vertical="center"/>
    </xf>
    <xf numFmtId="0" fontId="0" fillId="34" borderId="12" xfId="0"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protection locked="0"/>
    </xf>
    <xf numFmtId="0" fontId="0" fillId="0" borderId="10" xfId="0" applyFill="1" applyBorder="1" applyProtection="1">
      <protection locked="0"/>
    </xf>
    <xf numFmtId="0" fontId="0" fillId="0" borderId="10" xfId="0" applyBorder="1" applyProtection="1">
      <protection locked="0"/>
    </xf>
    <xf numFmtId="0" fontId="0" fillId="0" borderId="77" xfId="0" applyFill="1" applyBorder="1" applyProtection="1">
      <protection locked="0"/>
    </xf>
    <xf numFmtId="0" fontId="0" fillId="0" borderId="100" xfId="0" applyFill="1" applyBorder="1" applyProtection="1">
      <protection locked="0"/>
    </xf>
    <xf numFmtId="0" fontId="0" fillId="0" borderId="12" xfId="0" applyFill="1" applyBorder="1" applyProtection="1">
      <protection locked="0"/>
    </xf>
    <xf numFmtId="0" fontId="39" fillId="0" borderId="57" xfId="0" quotePrefix="1" applyFont="1" applyBorder="1" applyAlignment="1">
      <alignment horizontal="center"/>
    </xf>
    <xf numFmtId="0" fontId="39" fillId="0" borderId="57" xfId="0" applyFont="1" applyBorder="1" applyAlignment="1">
      <alignment horizontal="center"/>
    </xf>
    <xf numFmtId="0" fontId="0" fillId="0" borderId="75" xfId="0" applyBorder="1"/>
    <xf numFmtId="0" fontId="0" fillId="0" borderId="57" xfId="0" applyBorder="1"/>
    <xf numFmtId="49" fontId="39" fillId="0" borderId="57" xfId="0" quotePrefix="1" applyNumberFormat="1" applyFont="1" applyBorder="1" applyAlignment="1">
      <alignment horizontal="center" vertical="center"/>
    </xf>
    <xf numFmtId="0" fontId="0" fillId="0" borderId="57" xfId="0" quotePrefix="1" applyBorder="1"/>
    <xf numFmtId="0" fontId="39" fillId="85" borderId="0" xfId="0" applyFont="1" applyFill="1" applyAlignment="1" applyProtection="1">
      <alignment horizontal="center" vertical="center"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14" fontId="0" fillId="29" borderId="10" xfId="0" applyNumberFormat="1" applyFill="1" applyBorder="1" applyAlignment="1" applyProtection="1">
      <alignment horizontal="left" vertical="center" wrapText="1"/>
      <protection locked="0"/>
    </xf>
    <xf numFmtId="10" fontId="44" fillId="73" borderId="0" xfId="0" applyNumberFormat="1" applyFont="1" applyFill="1" applyAlignment="1" applyProtection="1">
      <alignment horizontal="center"/>
    </xf>
    <xf numFmtId="10" fontId="0" fillId="24" borderId="0" xfId="4688" applyNumberFormat="1" applyFont="1" applyFill="1" applyProtection="1"/>
    <xf numFmtId="10" fontId="44" fillId="36" borderId="0" xfId="4688" applyNumberFormat="1" applyFont="1" applyFill="1" applyBorder="1" applyProtection="1"/>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6" fillId="34" borderId="13" xfId="0" applyFont="1" applyFill="1" applyBorder="1" applyAlignment="1">
      <alignment horizontal="center" vertical="center" wrapText="1"/>
    </xf>
    <xf numFmtId="0" fontId="196" fillId="34" borderId="16" xfId="0" applyFont="1" applyFill="1" applyBorder="1" applyAlignment="1">
      <alignment horizontal="center" vertical="center" wrapText="1"/>
    </xf>
    <xf numFmtId="0" fontId="196" fillId="34" borderId="11" xfId="0" applyFont="1" applyFill="1" applyBorder="1" applyAlignment="1">
      <alignment horizontal="center" vertical="center"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80" fillId="85" borderId="13" xfId="0" applyFont="1" applyFill="1" applyBorder="1" applyAlignment="1">
      <alignment horizontal="center" vertical="center"/>
    </xf>
    <xf numFmtId="0" fontId="180" fillId="85" borderId="16" xfId="0" applyFont="1" applyFill="1" applyBorder="1" applyAlignment="1">
      <alignment horizontal="center" vertical="center"/>
    </xf>
    <xf numFmtId="0" fontId="180"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6" fillId="34" borderId="13" xfId="0" applyFont="1" applyFill="1" applyBorder="1" applyAlignment="1">
      <alignment horizontal="center" wrapText="1"/>
    </xf>
    <xf numFmtId="0" fontId="196" fillId="34" borderId="16" xfId="0" applyFont="1" applyFill="1" applyBorder="1" applyAlignment="1">
      <alignment horizontal="center" wrapText="1"/>
    </xf>
    <xf numFmtId="0" fontId="196" fillId="34" borderId="11" xfId="0" applyFont="1" applyFill="1" applyBorder="1" applyAlignment="1">
      <alignment horizontal="center" wrapText="1"/>
    </xf>
    <xf numFmtId="0" fontId="161" fillId="0" borderId="40" xfId="0" applyFont="1" applyBorder="1" applyAlignment="1" applyProtection="1">
      <alignment horizontal="center" vertical="center"/>
    </xf>
    <xf numFmtId="0" fontId="161" fillId="0" borderId="41" xfId="0" applyFont="1" applyBorder="1" applyAlignment="1" applyProtection="1">
      <alignment horizontal="center" vertical="center"/>
    </xf>
    <xf numFmtId="0" fontId="161" fillId="0" borderId="16" xfId="0" applyFont="1" applyBorder="1" applyAlignment="1" applyProtection="1">
      <alignment horizontal="center" vertical="center"/>
    </xf>
    <xf numFmtId="0" fontId="161"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30" fillId="73" borderId="67" xfId="0" applyFont="1" applyFill="1" applyBorder="1" applyAlignment="1" applyProtection="1">
      <alignment horizontal="center" vertical="center" wrapText="1"/>
    </xf>
    <xf numFmtId="0" fontId="130" fillId="73" borderId="87" xfId="0" applyFont="1" applyFill="1" applyBorder="1" applyAlignment="1" applyProtection="1">
      <alignment horizontal="center" vertical="center" wrapText="1"/>
    </xf>
    <xf numFmtId="0" fontId="130"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57" fillId="34" borderId="16" xfId="0" applyFont="1" applyFill="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1" xfId="0" applyFont="1" applyFill="1" applyBorder="1" applyAlignment="1">
      <alignment horizontal="justify" vertical="center" wrapText="1"/>
    </xf>
    <xf numFmtId="0" fontId="57" fillId="34" borderId="57" xfId="0" applyFont="1" applyFill="1" applyBorder="1" applyAlignment="1">
      <alignment horizontal="justify" vertical="center" wrapText="1"/>
    </xf>
    <xf numFmtId="0" fontId="57" fillId="34" borderId="13" xfId="0" applyFont="1" applyFill="1" applyBorder="1" applyAlignment="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34" borderId="57" xfId="0" applyFont="1" applyFill="1" applyBorder="1" applyAlignment="1" applyProtection="1">
      <alignment horizontal="left"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78" borderId="16" xfId="0" applyFont="1" applyFill="1" applyBorder="1" applyAlignment="1" applyProtection="1">
      <alignment horizontal="left" wrapText="1"/>
    </xf>
    <xf numFmtId="0" fontId="57" fillId="78" borderId="11" xfId="0" applyFont="1" applyFill="1" applyBorder="1" applyAlignment="1" applyProtection="1">
      <alignment horizontal="left" vertical="center" wrapText="1"/>
    </xf>
    <xf numFmtId="0" fontId="57" fillId="78"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34" borderId="13" xfId="0" applyFont="1" applyFill="1" applyBorder="1" applyAlignment="1" applyProtection="1">
      <alignment horizontal="left" vertical="center" wrapText="1"/>
    </xf>
    <xf numFmtId="0" fontId="57" fillId="78" borderId="90" xfId="0" applyFont="1" applyFill="1" applyBorder="1" applyAlignment="1" applyProtection="1">
      <alignment horizontal="left" wrapText="1"/>
    </xf>
    <xf numFmtId="0" fontId="39" fillId="78"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FFFFCC"/>
      <color rgb="FFFFC7CE"/>
      <color rgb="FFFFC4FF"/>
      <color rgb="FF0315BD"/>
      <color rgb="FFFFFFFF"/>
      <color rgb="FFCCFF66"/>
      <color rgb="FF99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206828</xdr:colOff>
      <xdr:row>10</xdr:row>
      <xdr:rowOff>190500</xdr:rowOff>
    </xdr:from>
    <xdr:to>
      <xdr:col>4</xdr:col>
      <xdr:colOff>849086</xdr:colOff>
      <xdr:row>10</xdr:row>
      <xdr:rowOff>2906486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195942</xdr:colOff>
      <xdr:row>15</xdr:row>
      <xdr:rowOff>68036</xdr:rowOff>
    </xdr:from>
    <xdr:to>
      <xdr:col>4</xdr:col>
      <xdr:colOff>859972</xdr:colOff>
      <xdr:row>15</xdr:row>
      <xdr:rowOff>2408464</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1188720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4" t="s">
        <v>2881</v>
      </c>
      <c r="E2"/>
    </row>
    <row r="3" spans="2:14" ht="76.2" customHeight="1" thickBot="1" x14ac:dyDescent="0.35">
      <c r="B3" s="985" t="s">
        <v>1975</v>
      </c>
      <c r="C3" s="173"/>
      <c r="D3" s="173"/>
      <c r="E3"/>
      <c r="F3"/>
    </row>
    <row r="4" spans="2:14" ht="58.95" customHeight="1" thickBot="1" x14ac:dyDescent="0.35">
      <c r="B4" s="985" t="s">
        <v>1976</v>
      </c>
      <c r="C4" s="173"/>
      <c r="D4" s="173"/>
    </row>
    <row r="5" spans="2:14" ht="61.2" customHeight="1" x14ac:dyDescent="0.3">
      <c r="B5" s="173" t="s">
        <v>1939</v>
      </c>
    </row>
    <row r="6" spans="2:14" ht="83.4" customHeight="1" x14ac:dyDescent="0.4">
      <c r="B6" s="173" t="s">
        <v>878</v>
      </c>
      <c r="F6" s="535"/>
      <c r="G6" s="535"/>
      <c r="H6" s="535"/>
      <c r="I6" s="535"/>
      <c r="J6" s="535"/>
      <c r="K6" s="535"/>
      <c r="L6" s="535"/>
      <c r="M6" s="535"/>
      <c r="N6" s="535"/>
    </row>
    <row r="7" spans="2:14" ht="58.2" customHeight="1" x14ac:dyDescent="0.3">
      <c r="B7" s="173" t="s">
        <v>879</v>
      </c>
    </row>
    <row r="8" spans="2:14" ht="117.6" customHeight="1" x14ac:dyDescent="0.3">
      <c r="B8" s="163" t="s">
        <v>880</v>
      </c>
    </row>
    <row r="9" spans="2:14" ht="25.95" customHeight="1" x14ac:dyDescent="0.3">
      <c r="B9" s="175" t="s">
        <v>455</v>
      </c>
    </row>
    <row r="10" spans="2:14" ht="49.2" customHeight="1" x14ac:dyDescent="0.3">
      <c r="B10" s="536" t="s">
        <v>881</v>
      </c>
    </row>
    <row r="11" spans="2:14" ht="42.6" customHeight="1" x14ac:dyDescent="0.3">
      <c r="B11" s="536" t="s">
        <v>456</v>
      </c>
    </row>
    <row r="12" spans="2:14" s="538" customFormat="1" ht="34.200000000000003" customHeight="1" x14ac:dyDescent="0.3">
      <c r="B12" s="537" t="s">
        <v>2861</v>
      </c>
    </row>
    <row r="13" spans="2:14" s="538" customFormat="1" ht="55.95" customHeight="1" x14ac:dyDescent="0.3">
      <c r="B13" s="539" t="s">
        <v>882</v>
      </c>
    </row>
    <row r="14" spans="2:14" ht="36" customHeight="1" x14ac:dyDescent="0.3">
      <c r="B14" s="539" t="s">
        <v>883</v>
      </c>
    </row>
    <row r="15" spans="2:14" ht="39" customHeight="1" x14ac:dyDescent="0.3">
      <c r="B15" s="540" t="s">
        <v>884</v>
      </c>
    </row>
    <row r="16" spans="2:14" ht="25.95" customHeight="1" x14ac:dyDescent="0.3">
      <c r="B16" s="175" t="s">
        <v>457</v>
      </c>
    </row>
    <row r="17" spans="2:2" x14ac:dyDescent="0.3">
      <c r="B17" s="162"/>
    </row>
    <row r="18" spans="2:2" x14ac:dyDescent="0.3">
      <c r="B18" s="541" t="s">
        <v>36</v>
      </c>
    </row>
    <row r="19" spans="2:2" ht="15.6" customHeight="1" x14ac:dyDescent="0.3">
      <c r="B19" s="542" t="s">
        <v>885</v>
      </c>
    </row>
    <row r="20" spans="2:2" x14ac:dyDescent="0.3">
      <c r="B20" s="543"/>
    </row>
    <row r="21" spans="2:2" x14ac:dyDescent="0.3">
      <c r="B21" s="541" t="s">
        <v>37</v>
      </c>
    </row>
    <row r="22" spans="2:2" ht="15.6" customHeight="1" x14ac:dyDescent="0.3">
      <c r="B22" s="544" t="s">
        <v>337</v>
      </c>
    </row>
    <row r="23" spans="2:2" ht="13.2" customHeight="1" x14ac:dyDescent="0.3">
      <c r="B23" s="162"/>
    </row>
    <row r="24" spans="2:2" ht="25.95" customHeight="1" x14ac:dyDescent="0.3">
      <c r="B24" s="175" t="s">
        <v>458</v>
      </c>
    </row>
    <row r="25" spans="2:2" s="538" customFormat="1" ht="72.599999999999994" customHeight="1" x14ac:dyDescent="0.3">
      <c r="B25" s="536" t="s">
        <v>1562</v>
      </c>
    </row>
    <row r="26" spans="2:2" s="538" customFormat="1" ht="84.6" customHeight="1" x14ac:dyDescent="0.3">
      <c r="B26" s="536" t="s">
        <v>886</v>
      </c>
    </row>
    <row r="27" spans="2:2" s="538" customFormat="1" ht="78.599999999999994" customHeight="1" x14ac:dyDescent="0.3">
      <c r="B27" s="536" t="s">
        <v>459</v>
      </c>
    </row>
    <row r="28" spans="2:2" ht="15" x14ac:dyDescent="0.3">
      <c r="B28" s="165" t="s">
        <v>887</v>
      </c>
    </row>
    <row r="29" spans="2:2" ht="8.4" customHeight="1" x14ac:dyDescent="0.3">
      <c r="B29" s="164"/>
    </row>
    <row r="30" spans="2:2" ht="25.95" customHeight="1" x14ac:dyDescent="0.3">
      <c r="B30" s="175" t="s">
        <v>888</v>
      </c>
    </row>
    <row r="31" spans="2:2" ht="28.95" customHeight="1" x14ac:dyDescent="0.3">
      <c r="B31" s="176" t="s">
        <v>1633</v>
      </c>
    </row>
    <row r="32" spans="2:2" ht="31.95" customHeight="1" x14ac:dyDescent="0.3">
      <c r="B32" s="176" t="s">
        <v>1636</v>
      </c>
    </row>
    <row r="33" spans="2:7" ht="30.6" customHeight="1" x14ac:dyDescent="0.3">
      <c r="B33" s="545" t="s">
        <v>1635</v>
      </c>
    </row>
    <row r="34" spans="2:7" ht="25.2" customHeight="1" x14ac:dyDescent="0.3">
      <c r="B34" s="545" t="s">
        <v>1938</v>
      </c>
    </row>
    <row r="35" spans="2:7" ht="27.6" customHeight="1" x14ac:dyDescent="0.3">
      <c r="B35" s="545" t="s">
        <v>1634</v>
      </c>
    </row>
    <row r="36" spans="2:7" ht="31.95" customHeight="1" x14ac:dyDescent="0.3">
      <c r="B36" s="546" t="s">
        <v>889</v>
      </c>
    </row>
    <row r="37" spans="2:7" ht="60" customHeight="1" x14ac:dyDescent="0.3">
      <c r="B37" s="176" t="s">
        <v>1639</v>
      </c>
    </row>
    <row r="38" spans="2:7" ht="60" customHeight="1" x14ac:dyDescent="0.3">
      <c r="B38" s="671" t="s">
        <v>1640</v>
      </c>
    </row>
    <row r="39" spans="2:7" ht="25.95" customHeight="1" x14ac:dyDescent="0.3">
      <c r="B39" s="176" t="s">
        <v>890</v>
      </c>
    </row>
    <row r="40" spans="2:7" ht="12" customHeight="1" x14ac:dyDescent="0.3">
      <c r="B40" s="176"/>
    </row>
    <row r="41" spans="2:7" ht="25.95" customHeight="1" x14ac:dyDescent="0.3">
      <c r="B41" s="175" t="s">
        <v>1637</v>
      </c>
    </row>
    <row r="42" spans="2:7" x14ac:dyDescent="0.3">
      <c r="B42" s="174"/>
      <c r="G42" s="547"/>
    </row>
    <row r="43" spans="2:7" ht="43.2" customHeight="1" x14ac:dyDescent="0.3">
      <c r="B43" s="548" t="s">
        <v>891</v>
      </c>
    </row>
    <row r="44" spans="2:7" ht="19.95" customHeight="1" x14ac:dyDescent="0.3">
      <c r="B44" s="549" t="s">
        <v>884</v>
      </c>
    </row>
    <row r="45" spans="2:7" ht="11.4" customHeight="1" x14ac:dyDescent="0.3">
      <c r="B45" s="177"/>
    </row>
    <row r="46" spans="2:7" ht="15" x14ac:dyDescent="0.3">
      <c r="B46" s="178"/>
    </row>
    <row r="47" spans="2:7" ht="7.2" customHeight="1" x14ac:dyDescent="0.3">
      <c r="B47" s="176"/>
    </row>
    <row r="48" spans="2:7" ht="25.95" customHeight="1" x14ac:dyDescent="0.3">
      <c r="B48" s="175" t="s">
        <v>1638</v>
      </c>
    </row>
    <row r="49" spans="2:2" ht="35.4" customHeight="1" x14ac:dyDescent="0.3">
      <c r="B49" s="548" t="s">
        <v>1655</v>
      </c>
    </row>
    <row r="50" spans="2:2" ht="15" x14ac:dyDescent="0.3">
      <c r="B50" s="178"/>
    </row>
    <row r="61" spans="2:2" ht="44.25" customHeight="1" x14ac:dyDescent="0.3"/>
  </sheetData>
  <sheetProtection algorithmName="SHA-512" hashValue="M3mR6XHWEsQl8+L+qkP2sOEOdqdOHsGQ7CrMZTSHTQpzxhVlk4O+XsjmDqcXzO1Pfh4d7k5zQGgZSVYmGymk1g==" saltValue="iaaepoNJBpyVHgIfu86ftA=="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sheetView>
  </sheetViews>
  <sheetFormatPr defaultColWidth="9.109375" defaultRowHeight="14.4" x14ac:dyDescent="0.3"/>
  <cols>
    <col min="1" max="1" width="45.109375" style="584" customWidth="1"/>
    <col min="2" max="2" width="36.44140625" style="584" customWidth="1"/>
    <col min="3" max="3" width="12.33203125" style="584" customWidth="1"/>
    <col min="4" max="4" width="1.33203125" style="584" customWidth="1"/>
    <col min="5" max="5" width="42.44140625" style="584" customWidth="1"/>
    <col min="6" max="6" width="19.88671875" style="584" customWidth="1"/>
    <col min="7" max="7" width="21.6640625" style="584" customWidth="1"/>
    <col min="8" max="8" width="6.6640625" style="584" customWidth="1"/>
    <col min="9" max="9" width="6.33203125" style="613" customWidth="1"/>
    <col min="10" max="10" width="11.6640625" style="613" hidden="1" customWidth="1"/>
    <col min="11" max="11" width="12" style="613" hidden="1" customWidth="1"/>
    <col min="12" max="12" width="17.109375" style="613" hidden="1" customWidth="1"/>
    <col min="13" max="13" width="15.109375" style="613" hidden="1" customWidth="1"/>
    <col min="14" max="14" width="15.5546875" style="613" hidden="1" customWidth="1"/>
    <col min="15" max="15" width="37.88671875" style="622" hidden="1" customWidth="1"/>
    <col min="16" max="16" width="15.109375" style="622" hidden="1" customWidth="1"/>
    <col min="17" max="17" width="26.6640625" style="613" customWidth="1"/>
    <col min="18" max="18" width="9.109375" style="613"/>
    <col min="19" max="19" width="11.44140625" style="613" customWidth="1"/>
    <col min="20" max="47" width="9.109375" style="613"/>
    <col min="48" max="16384" width="9.109375" style="584"/>
  </cols>
  <sheetData>
    <row r="1" spans="1:569" x14ac:dyDescent="0.3">
      <c r="A1" s="582"/>
      <c r="B1" s="596" t="str">
        <f>+'Unit Data from Audit Worksheet'!D2</f>
        <v>Select Unit Name from Drop Down List</v>
      </c>
      <c r="C1" s="583"/>
      <c r="D1" s="583"/>
      <c r="E1" s="639" t="s">
        <v>1530</v>
      </c>
      <c r="H1" s="583"/>
      <c r="J1" s="613" t="s">
        <v>1502</v>
      </c>
      <c r="K1" s="613" t="s">
        <v>1503</v>
      </c>
      <c r="M1" s="618" t="s">
        <v>1505</v>
      </c>
      <c r="N1" s="618" t="s">
        <v>1505</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82" t="s">
        <v>1524</v>
      </c>
      <c r="B2" s="582" t="e">
        <f>+'Unit Data from Audit Worksheet'!D3</f>
        <v>#N/A</v>
      </c>
      <c r="C2" s="583"/>
      <c r="D2" s="583"/>
      <c r="E2" s="640" t="s">
        <v>1529</v>
      </c>
      <c r="H2" s="583"/>
      <c r="M2" s="619" t="s">
        <v>1506</v>
      </c>
      <c r="N2" s="619" t="s">
        <v>1510</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82" t="e">
        <f>IF(LEN(VLOOKUP(B1,$L$4:$O$555,4,FALSE))=0,"",(VLOOKUP(B1,$L$4:$O$555,4,FALSE)))</f>
        <v>#N/A</v>
      </c>
      <c r="B3" s="582" t="s">
        <v>1525</v>
      </c>
      <c r="C3" s="583"/>
      <c r="D3" s="583"/>
      <c r="H3" s="583"/>
      <c r="J3" s="613" t="s">
        <v>385</v>
      </c>
      <c r="K3" s="613" t="s">
        <v>385</v>
      </c>
      <c r="M3" s="620" t="s">
        <v>1507</v>
      </c>
      <c r="N3" s="620" t="s">
        <v>1509</v>
      </c>
    </row>
    <row r="4" spans="1:569" x14ac:dyDescent="0.3">
      <c r="A4" s="1191" t="s">
        <v>565</v>
      </c>
      <c r="B4" s="1191"/>
      <c r="C4" s="1191"/>
      <c r="D4" s="583"/>
      <c r="E4" s="1192" t="s">
        <v>566</v>
      </c>
      <c r="F4" s="1192"/>
      <c r="G4" s="583"/>
      <c r="H4" s="583"/>
      <c r="L4" s="613" t="s">
        <v>476</v>
      </c>
      <c r="M4" s="613" t="s">
        <v>464</v>
      </c>
      <c r="N4" s="613" t="s">
        <v>464</v>
      </c>
      <c r="O4" s="613"/>
    </row>
    <row r="5" spans="1:569" ht="15" thickBot="1" x14ac:dyDescent="0.35">
      <c r="A5" s="585"/>
      <c r="B5" s="586"/>
      <c r="C5" s="585"/>
      <c r="D5" s="587"/>
      <c r="E5" s="585"/>
      <c r="F5" s="586"/>
      <c r="G5" s="586"/>
      <c r="H5" s="583"/>
      <c r="K5" s="622"/>
      <c r="L5" s="613" t="s">
        <v>1158</v>
      </c>
      <c r="M5" s="613" t="s">
        <v>464</v>
      </c>
      <c r="N5" s="613" t="s">
        <v>464</v>
      </c>
      <c r="O5" s="613"/>
    </row>
    <row r="6" spans="1:569" ht="15" thickBot="1" x14ac:dyDescent="0.35">
      <c r="A6" s="588" t="s">
        <v>567</v>
      </c>
      <c r="B6" s="589" t="e">
        <f>VLOOKUP(B1,$L$4:$M$555,2,FALSE)</f>
        <v>#N/A</v>
      </c>
      <c r="C6" s="589"/>
      <c r="D6" s="589"/>
      <c r="H6" s="589"/>
      <c r="L6" s="613" t="s">
        <v>1159</v>
      </c>
      <c r="M6" s="613" t="s">
        <v>464</v>
      </c>
      <c r="N6" s="613" t="s">
        <v>464</v>
      </c>
      <c r="O6" s="613"/>
    </row>
    <row r="7" spans="1:569" ht="15" thickBot="1" x14ac:dyDescent="0.35">
      <c r="A7" s="583" t="s">
        <v>665</v>
      </c>
      <c r="B7" s="254" t="e">
        <f>HLOOKUP(B1,'PY1 Data(H)'!D1:CZ282,127,FALSE)+HLOOKUP(B1,'PY1 Data(H)'!D1:CZ282,70,FALSE)</f>
        <v>#N/A</v>
      </c>
      <c r="C7" s="255"/>
      <c r="D7" s="255"/>
      <c r="E7" s="583" t="s">
        <v>571</v>
      </c>
      <c r="F7" s="642">
        <f>Import!L135</f>
        <v>0</v>
      </c>
      <c r="G7" s="589"/>
      <c r="H7" s="583"/>
      <c r="J7" s="613">
        <v>527</v>
      </c>
      <c r="K7" s="622">
        <v>366</v>
      </c>
      <c r="L7" s="616" t="s">
        <v>1160</v>
      </c>
      <c r="M7" s="616" t="s">
        <v>464</v>
      </c>
      <c r="N7" s="616">
        <v>0.05</v>
      </c>
      <c r="O7" s="613" t="s">
        <v>1526</v>
      </c>
    </row>
    <row r="8" spans="1:569" ht="15" thickBot="1" x14ac:dyDescent="0.35">
      <c r="A8" s="583" t="s">
        <v>569</v>
      </c>
      <c r="B8" s="636" t="e">
        <f>IF(B6="N/A","N/A",B6*B7)</f>
        <v>#N/A</v>
      </c>
      <c r="C8" s="256"/>
      <c r="D8" s="256"/>
      <c r="E8" s="638" t="s">
        <v>1162</v>
      </c>
      <c r="F8" s="642">
        <f>Import!L195</f>
        <v>0</v>
      </c>
      <c r="G8" s="582"/>
      <c r="H8" s="583"/>
      <c r="J8" s="621">
        <v>356</v>
      </c>
      <c r="K8" s="613">
        <v>1051</v>
      </c>
      <c r="L8" s="613" t="s">
        <v>1161</v>
      </c>
      <c r="M8" s="613" t="s">
        <v>464</v>
      </c>
      <c r="N8" s="613" t="s">
        <v>464</v>
      </c>
      <c r="O8" s="613"/>
    </row>
    <row r="9" spans="1:569" ht="15" thickBot="1" x14ac:dyDescent="0.35">
      <c r="A9" s="583"/>
      <c r="B9" s="583"/>
      <c r="C9" s="583"/>
      <c r="D9" s="583"/>
      <c r="E9" s="583"/>
      <c r="F9" s="583"/>
      <c r="G9" s="583"/>
      <c r="H9" s="583"/>
      <c r="L9" s="613" t="s">
        <v>477</v>
      </c>
      <c r="M9" s="613" t="s">
        <v>464</v>
      </c>
      <c r="N9" s="613" t="s">
        <v>464</v>
      </c>
      <c r="O9" s="613"/>
    </row>
    <row r="10" spans="1:569" ht="15" thickBot="1" x14ac:dyDescent="0.35">
      <c r="A10" s="588" t="s">
        <v>570</v>
      </c>
      <c r="B10" s="589" t="e">
        <f>VLOOKUP(B1,$L$4:$N$555,3,FALSE)</f>
        <v>#N/A</v>
      </c>
      <c r="C10" s="589"/>
      <c r="D10" s="589"/>
      <c r="E10" s="589"/>
      <c r="F10" s="589"/>
      <c r="G10" s="589"/>
      <c r="H10" s="589"/>
      <c r="L10" s="613" t="s">
        <v>1163</v>
      </c>
      <c r="M10" s="613" t="s">
        <v>464</v>
      </c>
      <c r="N10" s="613" t="s">
        <v>464</v>
      </c>
      <c r="O10" s="613"/>
    </row>
    <row r="11" spans="1:569" ht="15" thickBot="1" x14ac:dyDescent="0.35">
      <c r="A11" s="583" t="s">
        <v>666</v>
      </c>
      <c r="B11" s="590" t="e">
        <f>HLOOKUP(B1,'PY1 Data(H)'!D1:CZ282,35,FALSE)</f>
        <v>#N/A</v>
      </c>
      <c r="C11" s="591"/>
      <c r="D11" s="591"/>
      <c r="E11" s="637" t="s">
        <v>1528</v>
      </c>
      <c r="F11" s="636">
        <f>F7-F8</f>
        <v>0</v>
      </c>
      <c r="G11" s="583"/>
      <c r="H11" s="583"/>
      <c r="J11" s="613">
        <v>93</v>
      </c>
      <c r="L11" s="613" t="s">
        <v>1164</v>
      </c>
      <c r="M11" s="613" t="s">
        <v>464</v>
      </c>
      <c r="N11" s="613" t="s">
        <v>464</v>
      </c>
      <c r="O11" s="613"/>
    </row>
    <row r="12" spans="1:569" ht="15" thickBot="1" x14ac:dyDescent="0.35">
      <c r="A12" s="583" t="s">
        <v>569</v>
      </c>
      <c r="B12" s="636" t="e">
        <f>IF(B10="N/A","N/A",B10*B11)</f>
        <v>#N/A</v>
      </c>
      <c r="C12" s="256"/>
      <c r="D12" s="256"/>
      <c r="G12" s="583"/>
      <c r="H12" s="583"/>
      <c r="L12" s="615" t="s">
        <v>1165</v>
      </c>
      <c r="M12" s="615">
        <v>0.03</v>
      </c>
      <c r="N12" s="615">
        <v>0.05</v>
      </c>
      <c r="O12" s="613" t="s">
        <v>1531</v>
      </c>
      <c r="P12" s="622" t="s">
        <v>1527</v>
      </c>
    </row>
    <row r="13" spans="1:569" x14ac:dyDescent="0.3">
      <c r="A13" s="583"/>
      <c r="B13" s="592"/>
      <c r="C13" s="583"/>
      <c r="D13" s="583"/>
      <c r="E13" s="583"/>
      <c r="F13" s="583"/>
      <c r="G13" s="583"/>
      <c r="H13" s="583"/>
      <c r="L13" s="613" t="s">
        <v>1166</v>
      </c>
      <c r="M13" s="613" t="s">
        <v>464</v>
      </c>
      <c r="N13" s="613" t="s">
        <v>464</v>
      </c>
      <c r="O13" s="613"/>
    </row>
    <row r="14" spans="1:569" x14ac:dyDescent="0.3">
      <c r="A14" s="585"/>
      <c r="B14" s="586"/>
      <c r="C14" s="585"/>
      <c r="D14" s="587"/>
      <c r="E14" s="585"/>
      <c r="F14" s="586"/>
      <c r="G14" s="586"/>
      <c r="H14" s="257"/>
      <c r="L14" s="613" t="s">
        <v>1167</v>
      </c>
      <c r="M14" s="613" t="s">
        <v>464</v>
      </c>
      <c r="N14" s="613" t="s">
        <v>464</v>
      </c>
      <c r="O14" s="613"/>
    </row>
    <row r="15" spans="1:569" ht="15" thickBot="1" x14ac:dyDescent="0.35">
      <c r="A15" s="593" t="s">
        <v>572</v>
      </c>
      <c r="B15" s="583"/>
      <c r="C15" s="583"/>
      <c r="D15" s="583"/>
      <c r="E15" s="593" t="s">
        <v>572</v>
      </c>
      <c r="F15" s="582" t="s">
        <v>573</v>
      </c>
      <c r="G15" s="582" t="s">
        <v>574</v>
      </c>
      <c r="H15" s="583"/>
      <c r="L15" s="613" t="s">
        <v>1168</v>
      </c>
      <c r="M15" s="613" t="s">
        <v>464</v>
      </c>
      <c r="N15" s="613" t="s">
        <v>464</v>
      </c>
      <c r="O15" s="613"/>
    </row>
    <row r="16" spans="1:569" ht="15" thickBot="1" x14ac:dyDescent="0.35">
      <c r="A16" s="583" t="s">
        <v>568</v>
      </c>
      <c r="B16" s="254" t="e">
        <f>+B7</f>
        <v>#N/A</v>
      </c>
      <c r="C16" s="255"/>
      <c r="D16" s="255"/>
      <c r="E16" s="583" t="s">
        <v>575</v>
      </c>
      <c r="F16" s="643">
        <f>Import!L194</f>
        <v>0</v>
      </c>
      <c r="G16" s="601" t="e">
        <f>+B18</f>
        <v>#N/A</v>
      </c>
      <c r="H16" s="583"/>
      <c r="K16" s="613">
        <v>990</v>
      </c>
      <c r="L16" s="613" t="s">
        <v>1169</v>
      </c>
      <c r="M16" s="613" t="s">
        <v>464</v>
      </c>
      <c r="N16" s="613" t="s">
        <v>464</v>
      </c>
      <c r="O16" s="613"/>
    </row>
    <row r="17" spans="1:16" ht="15" thickBot="1" x14ac:dyDescent="0.35">
      <c r="A17" s="583" t="s">
        <v>576</v>
      </c>
      <c r="B17" s="672">
        <f>Import!L209</f>
        <v>0</v>
      </c>
      <c r="C17" s="583"/>
      <c r="D17" s="583"/>
      <c r="E17" s="583"/>
      <c r="F17" s="602"/>
      <c r="G17" s="602"/>
      <c r="H17" s="583"/>
      <c r="J17" s="613">
        <v>648</v>
      </c>
      <c r="L17" s="613" t="s">
        <v>1170</v>
      </c>
      <c r="M17" s="613" t="s">
        <v>464</v>
      </c>
      <c r="N17" s="613" t="s">
        <v>464</v>
      </c>
      <c r="O17" s="613"/>
    </row>
    <row r="18" spans="1:16" ht="29.4" thickBot="1" x14ac:dyDescent="0.35">
      <c r="A18" s="583" t="s">
        <v>569</v>
      </c>
      <c r="B18" s="600" t="e">
        <f>ROUND((B16/100)*B17,0)</f>
        <v>#N/A</v>
      </c>
      <c r="C18" s="258"/>
      <c r="D18" s="256"/>
      <c r="E18" s="594" t="s">
        <v>1172</v>
      </c>
      <c r="F18" s="600">
        <f>IF(F16=0,F11-F16,F11-MAX(F16,G16))</f>
        <v>0</v>
      </c>
      <c r="G18" s="602"/>
      <c r="H18" s="583"/>
      <c r="L18" s="613" t="s">
        <v>479</v>
      </c>
      <c r="M18" s="613" t="s">
        <v>464</v>
      </c>
      <c r="N18" s="613" t="s">
        <v>464</v>
      </c>
      <c r="O18" s="613"/>
    </row>
    <row r="19" spans="1:16" x14ac:dyDescent="0.3">
      <c r="A19" s="583"/>
      <c r="B19" s="583"/>
      <c r="C19" s="583"/>
      <c r="D19" s="595"/>
      <c r="E19" s="583"/>
      <c r="F19" s="529"/>
      <c r="G19" s="258"/>
      <c r="H19" s="583"/>
      <c r="L19" s="613" t="s">
        <v>1171</v>
      </c>
      <c r="M19" s="613" t="s">
        <v>464</v>
      </c>
      <c r="N19" s="613" t="s">
        <v>464</v>
      </c>
      <c r="O19" s="613"/>
    </row>
    <row r="20" spans="1:16" x14ac:dyDescent="0.3">
      <c r="A20" s="585"/>
      <c r="B20" s="586"/>
      <c r="C20" s="585"/>
      <c r="D20" s="583"/>
      <c r="E20" s="585"/>
      <c r="F20" s="586"/>
      <c r="G20" s="586"/>
      <c r="H20" s="583"/>
      <c r="L20" s="613" t="s">
        <v>1173</v>
      </c>
      <c r="M20" s="613" t="s">
        <v>464</v>
      </c>
      <c r="N20" s="613" t="s">
        <v>464</v>
      </c>
      <c r="O20" s="613"/>
    </row>
    <row r="21" spans="1:16" ht="15" thickBot="1" x14ac:dyDescent="0.35">
      <c r="A21" s="583"/>
      <c r="B21" s="583"/>
      <c r="C21" s="583"/>
      <c r="D21" s="583"/>
      <c r="E21" s="593" t="s">
        <v>577</v>
      </c>
      <c r="F21" s="593"/>
      <c r="G21" s="593"/>
      <c r="H21" s="583"/>
      <c r="L21" s="613" t="s">
        <v>816</v>
      </c>
      <c r="M21" s="613" t="s">
        <v>464</v>
      </c>
      <c r="N21" s="613" t="s">
        <v>464</v>
      </c>
      <c r="O21" s="613"/>
    </row>
    <row r="22" spans="1:16" ht="15" thickBot="1" x14ac:dyDescent="0.35">
      <c r="A22" s="583"/>
      <c r="B22" s="644"/>
      <c r="C22" s="583"/>
      <c r="D22" s="587"/>
      <c r="E22" s="583" t="s">
        <v>578</v>
      </c>
      <c r="F22" s="603" t="e">
        <f>MAX(B8,B12)</f>
        <v>#N/A</v>
      </c>
      <c r="G22" s="595"/>
      <c r="H22" s="256"/>
      <c r="L22" s="613" t="s">
        <v>1174</v>
      </c>
      <c r="M22" s="613" t="s">
        <v>464</v>
      </c>
      <c r="N22" s="613" t="s">
        <v>464</v>
      </c>
      <c r="O22" s="613"/>
    </row>
    <row r="23" spans="1:16" ht="15" thickBot="1" x14ac:dyDescent="0.35">
      <c r="A23" s="583"/>
      <c r="B23" s="644"/>
      <c r="C23" s="583"/>
      <c r="D23" s="593"/>
      <c r="E23" s="583"/>
      <c r="F23" s="657"/>
      <c r="G23" s="595"/>
      <c r="H23" s="256"/>
      <c r="L23" s="613" t="s">
        <v>1175</v>
      </c>
      <c r="M23" s="613" t="s">
        <v>464</v>
      </c>
      <c r="N23" s="613" t="s">
        <v>464</v>
      </c>
      <c r="O23" s="613"/>
    </row>
    <row r="24" spans="1:16" ht="15" thickBot="1" x14ac:dyDescent="0.35">
      <c r="B24" s="641"/>
      <c r="D24" s="595"/>
      <c r="E24" s="583" t="s">
        <v>579</v>
      </c>
      <c r="F24" s="604">
        <f>IF(F7=0,0,IF(F18&lt;=F22,"Yes", "No, unit exceeds limit by:"))</f>
        <v>0</v>
      </c>
      <c r="G24" s="583"/>
      <c r="H24" s="583"/>
      <c r="L24" s="615" t="s">
        <v>817</v>
      </c>
      <c r="M24" s="615">
        <v>0.03</v>
      </c>
      <c r="N24" s="615">
        <v>0.05</v>
      </c>
      <c r="O24" s="613" t="s">
        <v>1531</v>
      </c>
      <c r="P24" s="622" t="s">
        <v>1527</v>
      </c>
    </row>
    <row r="25" spans="1:16" ht="15" thickBot="1" x14ac:dyDescent="0.35">
      <c r="B25" s="641"/>
      <c r="C25" s="583"/>
      <c r="D25" s="595"/>
      <c r="E25" s="583"/>
      <c r="F25" s="604" t="e">
        <f>IF(F18-F22&lt;=0,0,F18-F22)</f>
        <v>#N/A</v>
      </c>
      <c r="G25" s="259"/>
      <c r="H25" s="593"/>
      <c r="L25" s="613" t="s">
        <v>480</v>
      </c>
      <c r="M25" s="613" t="s">
        <v>464</v>
      </c>
      <c r="N25" s="613" t="s">
        <v>464</v>
      </c>
      <c r="O25" s="613"/>
    </row>
    <row r="26" spans="1:16" ht="15" thickBot="1" x14ac:dyDescent="0.35">
      <c r="B26" s="641"/>
      <c r="C26" s="583"/>
      <c r="D26" s="596"/>
      <c r="E26" s="583"/>
      <c r="F26" s="602"/>
      <c r="G26" s="583"/>
      <c r="H26" s="583"/>
      <c r="L26" s="613" t="s">
        <v>818</v>
      </c>
      <c r="M26" s="613" t="s">
        <v>464</v>
      </c>
      <c r="N26" s="613" t="s">
        <v>464</v>
      </c>
      <c r="O26" s="613"/>
    </row>
    <row r="27" spans="1:16" x14ac:dyDescent="0.3">
      <c r="A27" s="583"/>
      <c r="B27" s="644"/>
      <c r="C27" s="583"/>
      <c r="D27" s="596"/>
      <c r="E27" s="597" t="s">
        <v>580</v>
      </c>
      <c r="F27" s="605">
        <f>IF(F16=0,0,F16-G16)</f>
        <v>0</v>
      </c>
      <c r="G27" s="583"/>
      <c r="H27" s="583"/>
      <c r="L27" s="613" t="s">
        <v>1176</v>
      </c>
      <c r="M27" s="613" t="s">
        <v>464</v>
      </c>
      <c r="N27" s="613" t="s">
        <v>464</v>
      </c>
      <c r="O27" s="613"/>
    </row>
    <row r="28" spans="1:16" ht="33.75" customHeight="1" thickBot="1" x14ac:dyDescent="0.35">
      <c r="A28" s="583"/>
      <c r="B28" s="644"/>
      <c r="C28" s="583"/>
      <c r="D28" s="583"/>
      <c r="E28" s="583"/>
      <c r="F28" s="260" t="str">
        <f>IF(F27=0,"","Investigate")</f>
        <v/>
      </c>
      <c r="G28" s="583"/>
      <c r="H28" s="583"/>
      <c r="L28" s="613" t="s">
        <v>1177</v>
      </c>
      <c r="M28" s="613" t="s">
        <v>464</v>
      </c>
      <c r="N28" s="613" t="s">
        <v>464</v>
      </c>
      <c r="O28" s="613"/>
    </row>
    <row r="29" spans="1:16" x14ac:dyDescent="0.3">
      <c r="A29" s="587"/>
      <c r="B29" s="583"/>
      <c r="C29" s="583"/>
      <c r="D29" s="583"/>
      <c r="E29" s="587" t="s">
        <v>581</v>
      </c>
      <c r="F29" s="583"/>
      <c r="G29" s="583"/>
      <c r="H29" s="583"/>
      <c r="L29" s="613" t="s">
        <v>1178</v>
      </c>
      <c r="M29" s="613" t="s">
        <v>464</v>
      </c>
      <c r="N29" s="613" t="s">
        <v>464</v>
      </c>
      <c r="O29" s="613"/>
    </row>
    <row r="30" spans="1:16" ht="14.4" customHeight="1" x14ac:dyDescent="0.3">
      <c r="A30" s="598"/>
      <c r="B30" s="598"/>
      <c r="C30" s="598"/>
      <c r="D30" s="583"/>
      <c r="E30" s="1193" t="s">
        <v>1563</v>
      </c>
      <c r="F30" s="1194"/>
      <c r="G30" s="1195"/>
      <c r="H30" s="583"/>
      <c r="L30" s="613" t="s">
        <v>481</v>
      </c>
      <c r="M30" s="613" t="s">
        <v>464</v>
      </c>
      <c r="N30" s="613" t="s">
        <v>464</v>
      </c>
      <c r="O30" s="613"/>
    </row>
    <row r="31" spans="1:16" x14ac:dyDescent="0.3">
      <c r="A31" s="583"/>
      <c r="B31" s="583"/>
      <c r="C31" s="598"/>
      <c r="D31" s="583"/>
      <c r="E31" s="1196"/>
      <c r="F31" s="1197"/>
      <c r="G31" s="1198"/>
      <c r="H31" s="583"/>
      <c r="L31" s="613" t="s">
        <v>1179</v>
      </c>
      <c r="M31" s="613" t="s">
        <v>464</v>
      </c>
      <c r="N31" s="613" t="s">
        <v>464</v>
      </c>
      <c r="O31" s="613"/>
    </row>
    <row r="32" spans="1:16" x14ac:dyDescent="0.3">
      <c r="A32" s="598"/>
      <c r="B32" s="598"/>
      <c r="C32" s="598"/>
      <c r="D32" s="583"/>
      <c r="E32" s="1196"/>
      <c r="F32" s="1197"/>
      <c r="G32" s="1198"/>
      <c r="L32" s="613" t="s">
        <v>1180</v>
      </c>
      <c r="M32" s="613" t="s">
        <v>464</v>
      </c>
      <c r="N32" s="613" t="s">
        <v>464</v>
      </c>
      <c r="O32" s="613"/>
    </row>
    <row r="33" spans="1:16" ht="30" customHeight="1" x14ac:dyDescent="0.3">
      <c r="A33" s="598"/>
      <c r="B33" s="598"/>
      <c r="C33" s="598"/>
      <c r="D33" s="583"/>
      <c r="E33" s="1199"/>
      <c r="F33" s="1200"/>
      <c r="G33" s="1201"/>
      <c r="L33" s="613" t="s">
        <v>1181</v>
      </c>
      <c r="M33" s="613" t="s">
        <v>464</v>
      </c>
      <c r="N33" s="613" t="s">
        <v>464</v>
      </c>
      <c r="O33" s="613"/>
    </row>
    <row r="34" spans="1:16" x14ac:dyDescent="0.3">
      <c r="A34" s="598"/>
      <c r="B34" s="598"/>
      <c r="C34" s="598"/>
      <c r="D34" s="583"/>
      <c r="E34" s="599"/>
      <c r="F34" s="599"/>
      <c r="G34" s="599"/>
      <c r="L34" s="613" t="s">
        <v>1182</v>
      </c>
      <c r="M34" s="613" t="s">
        <v>464</v>
      </c>
      <c r="N34" s="613" t="s">
        <v>464</v>
      </c>
      <c r="O34" s="613"/>
    </row>
    <row r="35" spans="1:16" x14ac:dyDescent="0.3">
      <c r="A35" s="598"/>
      <c r="B35" s="598"/>
      <c r="C35" s="598"/>
      <c r="D35" s="583"/>
      <c r="E35" s="1193" t="s">
        <v>1494</v>
      </c>
      <c r="F35" s="1194"/>
      <c r="G35" s="1195"/>
      <c r="L35" s="615" t="s">
        <v>482</v>
      </c>
      <c r="M35" s="615">
        <v>0.03</v>
      </c>
      <c r="N35" s="615">
        <v>0.05</v>
      </c>
      <c r="O35" s="613" t="s">
        <v>1531</v>
      </c>
      <c r="P35" s="622" t="s">
        <v>1527</v>
      </c>
    </row>
    <row r="36" spans="1:16" x14ac:dyDescent="0.3">
      <c r="A36" s="583"/>
      <c r="B36" s="583"/>
      <c r="C36" s="583"/>
      <c r="D36" s="583"/>
      <c r="E36" s="1196"/>
      <c r="F36" s="1202"/>
      <c r="G36" s="1198"/>
      <c r="L36" s="613" t="s">
        <v>819</v>
      </c>
      <c r="M36" s="613" t="s">
        <v>464</v>
      </c>
      <c r="N36" s="613" t="s">
        <v>464</v>
      </c>
      <c r="O36" s="613"/>
    </row>
    <row r="37" spans="1:16" x14ac:dyDescent="0.3">
      <c r="A37" s="583"/>
      <c r="B37" s="583"/>
      <c r="C37" s="583"/>
      <c r="D37" s="583"/>
      <c r="E37" s="1199"/>
      <c r="F37" s="1200"/>
      <c r="G37" s="1201"/>
      <c r="L37" s="613" t="s">
        <v>483</v>
      </c>
      <c r="M37" s="613" t="s">
        <v>464</v>
      </c>
      <c r="N37" s="613" t="s">
        <v>464</v>
      </c>
      <c r="O37" s="613"/>
    </row>
    <row r="38" spans="1:16" x14ac:dyDescent="0.3">
      <c r="A38" s="583"/>
      <c r="B38" s="583"/>
      <c r="C38" s="583"/>
      <c r="D38" s="583"/>
      <c r="E38" s="583"/>
      <c r="F38" s="583"/>
      <c r="G38" s="583"/>
      <c r="L38" s="613" t="s">
        <v>1184</v>
      </c>
      <c r="M38" s="613" t="s">
        <v>464</v>
      </c>
      <c r="N38" s="613" t="s">
        <v>464</v>
      </c>
      <c r="O38" s="613"/>
    </row>
    <row r="39" spans="1:16" ht="15" thickBot="1" x14ac:dyDescent="0.35">
      <c r="C39" s="583"/>
      <c r="D39" s="583"/>
      <c r="E39" s="1203" t="s">
        <v>582</v>
      </c>
      <c r="F39" s="1203"/>
      <c r="G39" s="1203"/>
      <c r="L39" s="615" t="s">
        <v>1185</v>
      </c>
      <c r="M39" s="615">
        <v>0.03</v>
      </c>
      <c r="N39" s="615">
        <v>0.05</v>
      </c>
      <c r="O39" s="613" t="s">
        <v>1531</v>
      </c>
      <c r="P39" s="622" t="s">
        <v>1527</v>
      </c>
    </row>
    <row r="40" spans="1:16" x14ac:dyDescent="0.3">
      <c r="A40" s="583"/>
      <c r="B40" s="583"/>
      <c r="C40" s="583"/>
      <c r="D40" s="583"/>
      <c r="E40" s="1182"/>
      <c r="F40" s="1183"/>
      <c r="G40" s="1184"/>
      <c r="L40" s="613" t="s">
        <v>1186</v>
      </c>
      <c r="M40" s="613" t="s">
        <v>464</v>
      </c>
      <c r="N40" s="613" t="s">
        <v>464</v>
      </c>
      <c r="O40" s="613"/>
    </row>
    <row r="41" spans="1:16" x14ac:dyDescent="0.3">
      <c r="A41" s="583"/>
      <c r="B41" s="583"/>
      <c r="C41" s="583"/>
      <c r="D41" s="583"/>
      <c r="E41" s="1185"/>
      <c r="F41" s="1186"/>
      <c r="G41" s="1187"/>
      <c r="L41" s="613" t="s">
        <v>1187</v>
      </c>
      <c r="M41" s="613" t="s">
        <v>464</v>
      </c>
      <c r="N41" s="613" t="s">
        <v>464</v>
      </c>
      <c r="O41" s="613"/>
    </row>
    <row r="42" spans="1:16" x14ac:dyDescent="0.3">
      <c r="A42" s="583"/>
      <c r="B42" s="583"/>
      <c r="C42" s="583"/>
      <c r="D42" s="583"/>
      <c r="E42" s="1185"/>
      <c r="F42" s="1186"/>
      <c r="G42" s="1187"/>
      <c r="L42" s="613" t="s">
        <v>1183</v>
      </c>
      <c r="M42" s="613" t="s">
        <v>464</v>
      </c>
      <c r="N42" s="613" t="s">
        <v>464</v>
      </c>
      <c r="O42" s="613"/>
    </row>
    <row r="43" spans="1:16" x14ac:dyDescent="0.3">
      <c r="A43" s="583"/>
      <c r="B43" s="583"/>
      <c r="C43" s="583"/>
      <c r="D43" s="583"/>
      <c r="E43" s="1185"/>
      <c r="F43" s="1186"/>
      <c r="G43" s="1187"/>
      <c r="L43" s="613" t="s">
        <v>485</v>
      </c>
      <c r="M43" s="613" t="s">
        <v>464</v>
      </c>
      <c r="N43" s="613" t="s">
        <v>464</v>
      </c>
      <c r="O43" s="613"/>
    </row>
    <row r="44" spans="1:16" x14ac:dyDescent="0.3">
      <c r="D44" s="583"/>
      <c r="E44" s="1185"/>
      <c r="F44" s="1186"/>
      <c r="G44" s="1187"/>
      <c r="L44" s="613" t="s">
        <v>1188</v>
      </c>
      <c r="M44" s="613" t="s">
        <v>464</v>
      </c>
      <c r="N44" s="613" t="s">
        <v>464</v>
      </c>
      <c r="O44" s="613"/>
    </row>
    <row r="45" spans="1:16" x14ac:dyDescent="0.3">
      <c r="D45" s="583"/>
      <c r="E45" s="1185"/>
      <c r="F45" s="1186"/>
      <c r="G45" s="1187"/>
      <c r="L45" s="613" t="s">
        <v>1189</v>
      </c>
      <c r="M45" s="613" t="s">
        <v>464</v>
      </c>
      <c r="N45" s="613" t="s">
        <v>464</v>
      </c>
      <c r="O45" s="613"/>
    </row>
    <row r="46" spans="1:16" x14ac:dyDescent="0.3">
      <c r="E46" s="1185"/>
      <c r="F46" s="1186"/>
      <c r="G46" s="1187"/>
      <c r="L46" s="613" t="s">
        <v>1190</v>
      </c>
      <c r="M46" s="613" t="s">
        <v>464</v>
      </c>
      <c r="N46" s="613" t="s">
        <v>464</v>
      </c>
      <c r="O46" s="613"/>
    </row>
    <row r="47" spans="1:16" x14ac:dyDescent="0.3">
      <c r="E47" s="1185"/>
      <c r="F47" s="1186"/>
      <c r="G47" s="1187"/>
      <c r="L47" s="613" t="s">
        <v>486</v>
      </c>
      <c r="M47" s="613" t="s">
        <v>464</v>
      </c>
      <c r="N47" s="613" t="s">
        <v>464</v>
      </c>
      <c r="O47" s="613" t="s">
        <v>1625</v>
      </c>
    </row>
    <row r="48" spans="1:16" x14ac:dyDescent="0.3">
      <c r="E48" s="1185"/>
      <c r="F48" s="1186"/>
      <c r="G48" s="1187"/>
      <c r="L48" s="613" t="s">
        <v>1191</v>
      </c>
      <c r="M48" s="613" t="s">
        <v>464</v>
      </c>
      <c r="N48" s="613" t="s">
        <v>464</v>
      </c>
      <c r="O48" s="613"/>
    </row>
    <row r="49" spans="5:15" x14ac:dyDescent="0.3">
      <c r="E49" s="1185"/>
      <c r="F49" s="1186"/>
      <c r="G49" s="1187"/>
      <c r="L49" s="613" t="s">
        <v>1192</v>
      </c>
      <c r="M49" s="613" t="s">
        <v>464</v>
      </c>
      <c r="N49" s="613" t="s">
        <v>464</v>
      </c>
      <c r="O49" s="613"/>
    </row>
    <row r="50" spans="5:15" x14ac:dyDescent="0.3">
      <c r="E50" s="1185"/>
      <c r="F50" s="1186"/>
      <c r="G50" s="1187"/>
      <c r="L50" s="613" t="s">
        <v>1193</v>
      </c>
      <c r="M50" s="613" t="s">
        <v>464</v>
      </c>
      <c r="N50" s="613" t="s">
        <v>464</v>
      </c>
      <c r="O50" s="613"/>
    </row>
    <row r="51" spans="5:15" ht="15" thickBot="1" x14ac:dyDescent="0.35">
      <c r="E51" s="1188"/>
      <c r="F51" s="1189"/>
      <c r="G51" s="1190"/>
      <c r="L51" s="613" t="s">
        <v>487</v>
      </c>
      <c r="M51" s="613" t="s">
        <v>464</v>
      </c>
      <c r="N51" s="613" t="s">
        <v>464</v>
      </c>
      <c r="O51" s="613"/>
    </row>
    <row r="52" spans="5:15" x14ac:dyDescent="0.3">
      <c r="L52" s="613" t="s">
        <v>1194</v>
      </c>
      <c r="M52" s="613" t="s">
        <v>464</v>
      </c>
      <c r="N52" s="613" t="s">
        <v>464</v>
      </c>
      <c r="O52" s="613"/>
    </row>
    <row r="53" spans="5:15" x14ac:dyDescent="0.3">
      <c r="L53" s="613" t="s">
        <v>1196</v>
      </c>
      <c r="M53" s="613" t="s">
        <v>464</v>
      </c>
      <c r="N53" s="613" t="s">
        <v>464</v>
      </c>
      <c r="O53" s="613"/>
    </row>
    <row r="54" spans="5:15" x14ac:dyDescent="0.3">
      <c r="L54" s="613" t="s">
        <v>1195</v>
      </c>
      <c r="M54" s="613" t="s">
        <v>464</v>
      </c>
      <c r="N54" s="613" t="s">
        <v>464</v>
      </c>
      <c r="O54" s="613"/>
    </row>
    <row r="55" spans="5:15" x14ac:dyDescent="0.3">
      <c r="L55" s="613" t="s">
        <v>1197</v>
      </c>
      <c r="M55" s="613" t="s">
        <v>464</v>
      </c>
      <c r="N55" s="613" t="s">
        <v>464</v>
      </c>
      <c r="O55" s="613"/>
    </row>
    <row r="56" spans="5:15" x14ac:dyDescent="0.3">
      <c r="L56" s="613" t="s">
        <v>488</v>
      </c>
      <c r="M56" s="613" t="s">
        <v>464</v>
      </c>
      <c r="N56" s="613" t="s">
        <v>464</v>
      </c>
      <c r="O56" s="613"/>
    </row>
    <row r="57" spans="5:15" x14ac:dyDescent="0.3">
      <c r="L57" s="613" t="s">
        <v>1198</v>
      </c>
      <c r="M57" s="613" t="s">
        <v>464</v>
      </c>
      <c r="N57" s="613" t="s">
        <v>464</v>
      </c>
      <c r="O57" s="613"/>
    </row>
    <row r="58" spans="5:15" x14ac:dyDescent="0.3">
      <c r="L58" s="613" t="s">
        <v>1199</v>
      </c>
      <c r="M58" s="613" t="s">
        <v>464</v>
      </c>
      <c r="N58" s="613" t="s">
        <v>464</v>
      </c>
      <c r="O58" s="613"/>
    </row>
    <row r="59" spans="5:15" x14ac:dyDescent="0.3">
      <c r="L59" s="616" t="s">
        <v>1200</v>
      </c>
      <c r="M59" s="616">
        <v>0.15</v>
      </c>
      <c r="N59" s="616" t="s">
        <v>464</v>
      </c>
      <c r="O59" s="613" t="s">
        <v>1526</v>
      </c>
    </row>
    <row r="60" spans="5:15" x14ac:dyDescent="0.3">
      <c r="L60" s="613" t="s">
        <v>489</v>
      </c>
      <c r="M60" s="613" t="s">
        <v>464</v>
      </c>
      <c r="N60" s="613" t="s">
        <v>464</v>
      </c>
      <c r="O60" s="613"/>
    </row>
    <row r="61" spans="5:15" x14ac:dyDescent="0.3">
      <c r="L61" s="613" t="s">
        <v>1201</v>
      </c>
      <c r="M61" s="613" t="s">
        <v>464</v>
      </c>
      <c r="N61" s="613" t="s">
        <v>464</v>
      </c>
      <c r="O61" s="613"/>
    </row>
    <row r="62" spans="5:15" x14ac:dyDescent="0.3">
      <c r="L62" s="613" t="s">
        <v>1202</v>
      </c>
      <c r="M62" s="613" t="s">
        <v>464</v>
      </c>
      <c r="N62" s="613" t="s">
        <v>464</v>
      </c>
      <c r="O62" s="613"/>
    </row>
    <row r="63" spans="5:15" x14ac:dyDescent="0.3">
      <c r="L63" s="613" t="s">
        <v>1203</v>
      </c>
      <c r="M63" s="613" t="s">
        <v>464</v>
      </c>
      <c r="N63" s="613" t="s">
        <v>464</v>
      </c>
      <c r="O63" s="613"/>
    </row>
    <row r="64" spans="5:15" x14ac:dyDescent="0.3">
      <c r="L64" s="613" t="s">
        <v>1204</v>
      </c>
      <c r="M64" s="613" t="s">
        <v>464</v>
      </c>
      <c r="N64" s="613" t="s">
        <v>464</v>
      </c>
      <c r="O64" s="613"/>
    </row>
    <row r="65" spans="12:15" x14ac:dyDescent="0.3">
      <c r="L65" s="613" t="s">
        <v>1205</v>
      </c>
      <c r="M65" s="613" t="s">
        <v>464</v>
      </c>
      <c r="N65" s="613" t="s">
        <v>464</v>
      </c>
      <c r="O65" s="613"/>
    </row>
    <row r="66" spans="12:15" x14ac:dyDescent="0.3">
      <c r="L66" s="613" t="s">
        <v>820</v>
      </c>
      <c r="M66" s="613" t="s">
        <v>464</v>
      </c>
      <c r="N66" s="613" t="s">
        <v>464</v>
      </c>
      <c r="O66" s="613"/>
    </row>
    <row r="67" spans="12:15" x14ac:dyDescent="0.3">
      <c r="L67" s="613" t="s">
        <v>1206</v>
      </c>
      <c r="M67" s="613" t="s">
        <v>464</v>
      </c>
      <c r="N67" s="613" t="s">
        <v>464</v>
      </c>
      <c r="O67" s="613"/>
    </row>
    <row r="68" spans="12:15" x14ac:dyDescent="0.3">
      <c r="L68" s="613" t="s">
        <v>1207</v>
      </c>
      <c r="M68" s="613" t="s">
        <v>464</v>
      </c>
      <c r="N68" s="613" t="s">
        <v>464</v>
      </c>
      <c r="O68" s="613"/>
    </row>
    <row r="69" spans="12:15" x14ac:dyDescent="0.3">
      <c r="L69" s="613" t="s">
        <v>1208</v>
      </c>
      <c r="M69" s="613" t="s">
        <v>464</v>
      </c>
      <c r="N69" s="613" t="s">
        <v>464</v>
      </c>
      <c r="O69" s="613"/>
    </row>
    <row r="70" spans="12:15" x14ac:dyDescent="0.3">
      <c r="L70" s="613" t="s">
        <v>1209</v>
      </c>
      <c r="M70" s="613" t="s">
        <v>464</v>
      </c>
      <c r="N70" s="613" t="s">
        <v>464</v>
      </c>
      <c r="O70" s="613"/>
    </row>
    <row r="71" spans="12:15" x14ac:dyDescent="0.3">
      <c r="L71" s="613" t="s">
        <v>1210</v>
      </c>
      <c r="M71" s="613" t="s">
        <v>464</v>
      </c>
      <c r="N71" s="613" t="s">
        <v>464</v>
      </c>
      <c r="O71" s="613"/>
    </row>
    <row r="72" spans="12:15" x14ac:dyDescent="0.3">
      <c r="L72" s="613" t="s">
        <v>1211</v>
      </c>
      <c r="M72" s="613" t="s">
        <v>464</v>
      </c>
      <c r="N72" s="613" t="s">
        <v>464</v>
      </c>
      <c r="O72" s="613"/>
    </row>
    <row r="73" spans="12:15" x14ac:dyDescent="0.3">
      <c r="L73" s="613" t="s">
        <v>1212</v>
      </c>
      <c r="M73" s="613" t="s">
        <v>464</v>
      </c>
      <c r="N73" s="613" t="s">
        <v>464</v>
      </c>
      <c r="O73" s="613"/>
    </row>
    <row r="74" spans="12:15" x14ac:dyDescent="0.3">
      <c r="L74" s="613" t="s">
        <v>1213</v>
      </c>
      <c r="M74" s="613" t="s">
        <v>464</v>
      </c>
      <c r="N74" s="613" t="s">
        <v>464</v>
      </c>
      <c r="O74" s="613"/>
    </row>
    <row r="75" spans="12:15" x14ac:dyDescent="0.3">
      <c r="L75" s="613" t="s">
        <v>1214</v>
      </c>
      <c r="M75" s="613" t="s">
        <v>464</v>
      </c>
      <c r="N75" s="613" t="s">
        <v>464</v>
      </c>
      <c r="O75" s="613"/>
    </row>
    <row r="76" spans="12:15" x14ac:dyDescent="0.3">
      <c r="L76" s="613" t="s">
        <v>1215</v>
      </c>
      <c r="M76" s="613" t="s">
        <v>464</v>
      </c>
      <c r="N76" s="613" t="s">
        <v>464</v>
      </c>
      <c r="O76" s="613"/>
    </row>
    <row r="77" spans="12:15" x14ac:dyDescent="0.3">
      <c r="L77" s="613" t="s">
        <v>1216</v>
      </c>
      <c r="M77" s="613" t="s">
        <v>464</v>
      </c>
      <c r="N77" s="613" t="s">
        <v>464</v>
      </c>
      <c r="O77" s="613"/>
    </row>
    <row r="78" spans="12:15" x14ac:dyDescent="0.3">
      <c r="L78" s="613" t="s">
        <v>1217</v>
      </c>
      <c r="M78" s="613" t="s">
        <v>464</v>
      </c>
      <c r="N78" s="613" t="s">
        <v>464</v>
      </c>
      <c r="O78" s="613"/>
    </row>
    <row r="79" spans="12:15" x14ac:dyDescent="0.3">
      <c r="L79" s="613" t="s">
        <v>1218</v>
      </c>
      <c r="M79" s="613" t="s">
        <v>464</v>
      </c>
      <c r="N79" s="613" t="s">
        <v>464</v>
      </c>
      <c r="O79" s="613"/>
    </row>
    <row r="80" spans="12:15" x14ac:dyDescent="0.3">
      <c r="L80" s="613" t="s">
        <v>1219</v>
      </c>
      <c r="M80" s="613" t="s">
        <v>464</v>
      </c>
      <c r="N80" s="613" t="s">
        <v>464</v>
      </c>
      <c r="O80" s="613"/>
    </row>
    <row r="81" spans="12:15" x14ac:dyDescent="0.3">
      <c r="L81" s="613" t="s">
        <v>1220</v>
      </c>
      <c r="M81" s="613" t="s">
        <v>464</v>
      </c>
      <c r="N81" s="613" t="s">
        <v>464</v>
      </c>
      <c r="O81" s="613"/>
    </row>
    <row r="82" spans="12:15" x14ac:dyDescent="0.3">
      <c r="L82" s="613" t="s">
        <v>1221</v>
      </c>
      <c r="M82" s="613" t="s">
        <v>464</v>
      </c>
      <c r="N82" s="613" t="s">
        <v>464</v>
      </c>
      <c r="O82" s="613"/>
    </row>
    <row r="83" spans="12:15" x14ac:dyDescent="0.3">
      <c r="L83" s="613" t="s">
        <v>821</v>
      </c>
      <c r="M83" s="613" t="s">
        <v>464</v>
      </c>
      <c r="N83" s="613" t="s">
        <v>464</v>
      </c>
      <c r="O83" s="613"/>
    </row>
    <row r="84" spans="12:15" x14ac:dyDescent="0.3">
      <c r="L84" s="613" t="s">
        <v>490</v>
      </c>
      <c r="M84" s="613" t="s">
        <v>464</v>
      </c>
      <c r="N84" s="613" t="s">
        <v>464</v>
      </c>
      <c r="O84" s="613"/>
    </row>
    <row r="85" spans="12:15" x14ac:dyDescent="0.3">
      <c r="L85" s="613" t="s">
        <v>1222</v>
      </c>
      <c r="M85" s="613" t="s">
        <v>464</v>
      </c>
      <c r="N85" s="613" t="s">
        <v>464</v>
      </c>
      <c r="O85" s="613"/>
    </row>
    <row r="86" spans="12:15" x14ac:dyDescent="0.3">
      <c r="L86" s="613" t="s">
        <v>1223</v>
      </c>
      <c r="M86" s="613" t="s">
        <v>464</v>
      </c>
      <c r="N86" s="613" t="s">
        <v>464</v>
      </c>
      <c r="O86" s="613"/>
    </row>
    <row r="87" spans="12:15" x14ac:dyDescent="0.3">
      <c r="L87" s="613" t="s">
        <v>1224</v>
      </c>
      <c r="M87" s="613" t="s">
        <v>464</v>
      </c>
      <c r="N87" s="613" t="s">
        <v>464</v>
      </c>
      <c r="O87" s="613"/>
    </row>
    <row r="88" spans="12:15" x14ac:dyDescent="0.3">
      <c r="L88" s="613" t="s">
        <v>1225</v>
      </c>
      <c r="M88" s="613" t="s">
        <v>464</v>
      </c>
      <c r="N88" s="613" t="s">
        <v>464</v>
      </c>
      <c r="O88" s="613"/>
    </row>
    <row r="89" spans="12:15" x14ac:dyDescent="0.3">
      <c r="L89" s="613" t="s">
        <v>491</v>
      </c>
      <c r="M89" s="613" t="s">
        <v>464</v>
      </c>
      <c r="N89" s="613" t="s">
        <v>464</v>
      </c>
      <c r="O89" s="613"/>
    </row>
    <row r="90" spans="12:15" x14ac:dyDescent="0.3">
      <c r="L90" s="613" t="s">
        <v>1226</v>
      </c>
      <c r="M90" s="613" t="s">
        <v>464</v>
      </c>
      <c r="N90" s="613" t="s">
        <v>464</v>
      </c>
      <c r="O90" s="613"/>
    </row>
    <row r="91" spans="12:15" x14ac:dyDescent="0.3">
      <c r="L91" s="613" t="s">
        <v>394</v>
      </c>
      <c r="M91" s="613" t="s">
        <v>464</v>
      </c>
      <c r="N91" s="613" t="s">
        <v>464</v>
      </c>
      <c r="O91" s="613"/>
    </row>
    <row r="92" spans="12:15" x14ac:dyDescent="0.3">
      <c r="L92" s="613" t="s">
        <v>395</v>
      </c>
      <c r="M92" s="613" t="s">
        <v>464</v>
      </c>
      <c r="N92" s="613" t="s">
        <v>464</v>
      </c>
      <c r="O92" s="613"/>
    </row>
    <row r="93" spans="12:15" x14ac:dyDescent="0.3">
      <c r="L93" s="616" t="s">
        <v>1227</v>
      </c>
      <c r="M93" s="616">
        <v>0.05</v>
      </c>
      <c r="N93" s="616" t="s">
        <v>464</v>
      </c>
      <c r="O93" s="613" t="s">
        <v>1526</v>
      </c>
    </row>
    <row r="94" spans="12:15" x14ac:dyDescent="0.3">
      <c r="L94" s="613" t="s">
        <v>492</v>
      </c>
      <c r="M94" s="613" t="s">
        <v>464</v>
      </c>
      <c r="N94" s="613" t="s">
        <v>464</v>
      </c>
      <c r="O94" s="613"/>
    </row>
    <row r="95" spans="12:15" x14ac:dyDescent="0.3">
      <c r="L95" s="613" t="s">
        <v>1228</v>
      </c>
      <c r="M95" s="613" t="s">
        <v>464</v>
      </c>
      <c r="N95" s="613" t="s">
        <v>464</v>
      </c>
      <c r="O95" s="613"/>
    </row>
    <row r="96" spans="12:15" x14ac:dyDescent="0.3">
      <c r="L96" s="613" t="s">
        <v>822</v>
      </c>
      <c r="M96" s="613" t="s">
        <v>464</v>
      </c>
      <c r="N96" s="613" t="s">
        <v>464</v>
      </c>
      <c r="O96" s="613"/>
    </row>
    <row r="97" spans="12:16" x14ac:dyDescent="0.3">
      <c r="L97" s="613" t="s">
        <v>1229</v>
      </c>
      <c r="M97" s="613" t="s">
        <v>464</v>
      </c>
      <c r="N97" s="613" t="s">
        <v>464</v>
      </c>
      <c r="O97" s="613"/>
    </row>
    <row r="98" spans="12:16" x14ac:dyDescent="0.3">
      <c r="L98" s="613" t="s">
        <v>823</v>
      </c>
      <c r="M98" s="613" t="s">
        <v>464</v>
      </c>
      <c r="N98" s="613" t="s">
        <v>464</v>
      </c>
      <c r="O98" s="613"/>
    </row>
    <row r="99" spans="12:16" x14ac:dyDescent="0.3">
      <c r="L99" s="615" t="s">
        <v>1230</v>
      </c>
      <c r="M99" s="615">
        <v>0.03</v>
      </c>
      <c r="N99" s="615">
        <v>0.05</v>
      </c>
      <c r="O99" s="613" t="s">
        <v>1531</v>
      </c>
      <c r="P99" s="622" t="s">
        <v>1527</v>
      </c>
    </row>
    <row r="100" spans="12:16" x14ac:dyDescent="0.3">
      <c r="L100" s="613" t="s">
        <v>1231</v>
      </c>
      <c r="M100" s="613" t="s">
        <v>464</v>
      </c>
      <c r="N100" s="613" t="s">
        <v>464</v>
      </c>
      <c r="O100" s="613"/>
    </row>
    <row r="101" spans="12:16" x14ac:dyDescent="0.3">
      <c r="L101" s="613" t="s">
        <v>1232</v>
      </c>
      <c r="M101" s="613" t="s">
        <v>464</v>
      </c>
      <c r="N101" s="613" t="s">
        <v>464</v>
      </c>
      <c r="O101" s="613"/>
    </row>
    <row r="102" spans="12:16" x14ac:dyDescent="0.3">
      <c r="L102" s="613" t="s">
        <v>1233</v>
      </c>
      <c r="M102" s="613" t="s">
        <v>464</v>
      </c>
      <c r="N102" s="613" t="s">
        <v>464</v>
      </c>
      <c r="O102" s="613"/>
    </row>
    <row r="103" spans="12:16" x14ac:dyDescent="0.3">
      <c r="L103" s="613" t="s">
        <v>1234</v>
      </c>
      <c r="M103" s="613" t="s">
        <v>464</v>
      </c>
      <c r="N103" s="613" t="s">
        <v>464</v>
      </c>
      <c r="O103" s="613"/>
    </row>
    <row r="104" spans="12:16" x14ac:dyDescent="0.3">
      <c r="L104" s="613" t="s">
        <v>1235</v>
      </c>
      <c r="M104" s="613" t="s">
        <v>464</v>
      </c>
      <c r="N104" s="613" t="s">
        <v>464</v>
      </c>
      <c r="O104" s="613"/>
    </row>
    <row r="105" spans="12:16" x14ac:dyDescent="0.3">
      <c r="L105" s="613" t="s">
        <v>824</v>
      </c>
      <c r="M105" s="613" t="s">
        <v>464</v>
      </c>
      <c r="N105" s="613" t="s">
        <v>464</v>
      </c>
      <c r="O105" s="613"/>
    </row>
    <row r="106" spans="12:16" x14ac:dyDescent="0.3">
      <c r="L106" s="613" t="s">
        <v>494</v>
      </c>
      <c r="M106" s="613" t="s">
        <v>464</v>
      </c>
      <c r="N106" s="613" t="s">
        <v>464</v>
      </c>
      <c r="O106" s="613"/>
    </row>
    <row r="107" spans="12:16" x14ac:dyDescent="0.3">
      <c r="L107" s="613" t="s">
        <v>495</v>
      </c>
      <c r="M107" s="613" t="s">
        <v>464</v>
      </c>
      <c r="N107" s="613" t="s">
        <v>464</v>
      </c>
      <c r="O107" s="613"/>
    </row>
    <row r="108" spans="12:16" x14ac:dyDescent="0.3">
      <c r="L108" s="613" t="s">
        <v>1236</v>
      </c>
      <c r="M108" s="613" t="s">
        <v>464</v>
      </c>
      <c r="N108" s="613" t="s">
        <v>464</v>
      </c>
      <c r="O108" s="613"/>
    </row>
    <row r="109" spans="12:16" x14ac:dyDescent="0.3">
      <c r="L109" s="613" t="s">
        <v>1237</v>
      </c>
      <c r="M109" s="613" t="s">
        <v>464</v>
      </c>
      <c r="N109" s="613" t="s">
        <v>464</v>
      </c>
      <c r="O109" s="613"/>
    </row>
    <row r="110" spans="12:16" x14ac:dyDescent="0.3">
      <c r="L110" s="613" t="s">
        <v>1238</v>
      </c>
      <c r="M110" s="613" t="s">
        <v>464</v>
      </c>
      <c r="N110" s="613" t="s">
        <v>464</v>
      </c>
      <c r="O110" s="613" t="s">
        <v>1625</v>
      </c>
    </row>
    <row r="111" spans="12:16" x14ac:dyDescent="0.3">
      <c r="L111" s="613" t="s">
        <v>825</v>
      </c>
      <c r="M111" s="613" t="s">
        <v>464</v>
      </c>
      <c r="N111" s="613" t="s">
        <v>464</v>
      </c>
      <c r="O111" s="613"/>
    </row>
    <row r="112" spans="12:16" x14ac:dyDescent="0.3">
      <c r="L112" s="613" t="s">
        <v>1239</v>
      </c>
      <c r="M112" s="613" t="s">
        <v>464</v>
      </c>
      <c r="N112" s="613" t="s">
        <v>464</v>
      </c>
      <c r="O112" s="613"/>
    </row>
    <row r="113" spans="12:15" x14ac:dyDescent="0.3">
      <c r="L113" s="613" t="s">
        <v>1240</v>
      </c>
      <c r="M113" s="613" t="s">
        <v>464</v>
      </c>
      <c r="N113" s="613" t="s">
        <v>464</v>
      </c>
      <c r="O113" s="613"/>
    </row>
    <row r="114" spans="12:15" x14ac:dyDescent="0.3">
      <c r="L114" s="613" t="s">
        <v>1241</v>
      </c>
      <c r="M114" s="613" t="s">
        <v>464</v>
      </c>
      <c r="N114" s="613" t="s">
        <v>464</v>
      </c>
      <c r="O114" s="613"/>
    </row>
    <row r="115" spans="12:15" x14ac:dyDescent="0.3">
      <c r="L115" s="613" t="s">
        <v>1242</v>
      </c>
      <c r="M115" s="613" t="s">
        <v>464</v>
      </c>
      <c r="N115" s="613" t="s">
        <v>464</v>
      </c>
      <c r="O115" s="613"/>
    </row>
    <row r="116" spans="12:15" x14ac:dyDescent="0.3">
      <c r="L116" s="616" t="s">
        <v>1243</v>
      </c>
      <c r="M116" s="616">
        <v>0.03</v>
      </c>
      <c r="N116" s="616" t="s">
        <v>464</v>
      </c>
      <c r="O116" s="613" t="s">
        <v>1526</v>
      </c>
    </row>
    <row r="117" spans="12:15" x14ac:dyDescent="0.3">
      <c r="L117" s="613" t="s">
        <v>1244</v>
      </c>
      <c r="M117" s="613" t="s">
        <v>464</v>
      </c>
      <c r="N117" s="613" t="s">
        <v>464</v>
      </c>
      <c r="O117" s="613"/>
    </row>
    <row r="118" spans="12:15" x14ac:dyDescent="0.3">
      <c r="L118" s="613" t="s">
        <v>1245</v>
      </c>
      <c r="M118" s="613" t="s">
        <v>464</v>
      </c>
      <c r="N118" s="613" t="s">
        <v>464</v>
      </c>
      <c r="O118" s="613"/>
    </row>
    <row r="119" spans="12:15" x14ac:dyDescent="0.3">
      <c r="L119" s="613" t="s">
        <v>1246</v>
      </c>
      <c r="M119" s="613" t="s">
        <v>464</v>
      </c>
      <c r="N119" s="613" t="s">
        <v>464</v>
      </c>
      <c r="O119" s="613"/>
    </row>
    <row r="120" spans="12:15" x14ac:dyDescent="0.3">
      <c r="L120" s="613" t="s">
        <v>826</v>
      </c>
      <c r="M120" s="613" t="s">
        <v>464</v>
      </c>
      <c r="N120" s="613" t="s">
        <v>464</v>
      </c>
      <c r="O120" s="613"/>
    </row>
    <row r="121" spans="12:15" x14ac:dyDescent="0.3">
      <c r="L121" s="613" t="s">
        <v>1247</v>
      </c>
      <c r="M121" s="613" t="s">
        <v>464</v>
      </c>
      <c r="N121" s="613" t="s">
        <v>464</v>
      </c>
      <c r="O121" s="613"/>
    </row>
    <row r="122" spans="12:15" x14ac:dyDescent="0.3">
      <c r="L122" s="613" t="s">
        <v>827</v>
      </c>
      <c r="M122" s="613" t="s">
        <v>464</v>
      </c>
      <c r="N122" s="613" t="s">
        <v>464</v>
      </c>
      <c r="O122" s="613" t="s">
        <v>1625</v>
      </c>
    </row>
    <row r="123" spans="12:15" x14ac:dyDescent="0.3">
      <c r="L123" s="613" t="s">
        <v>1248</v>
      </c>
      <c r="M123" s="613" t="s">
        <v>464</v>
      </c>
      <c r="N123" s="613" t="s">
        <v>464</v>
      </c>
      <c r="O123" s="613"/>
    </row>
    <row r="124" spans="12:15" x14ac:dyDescent="0.3">
      <c r="L124" s="613" t="s">
        <v>1249</v>
      </c>
      <c r="M124" s="613" t="s">
        <v>464</v>
      </c>
      <c r="N124" s="613" t="s">
        <v>464</v>
      </c>
      <c r="O124" s="613"/>
    </row>
    <row r="125" spans="12:15" x14ac:dyDescent="0.3">
      <c r="L125" s="613" t="s">
        <v>1250</v>
      </c>
      <c r="M125" s="613" t="s">
        <v>464</v>
      </c>
      <c r="N125" s="613" t="s">
        <v>464</v>
      </c>
      <c r="O125" s="613"/>
    </row>
    <row r="126" spans="12:15" x14ac:dyDescent="0.3">
      <c r="L126" s="613" t="s">
        <v>1251</v>
      </c>
      <c r="M126" s="613" t="s">
        <v>464</v>
      </c>
      <c r="N126" s="613" t="s">
        <v>464</v>
      </c>
      <c r="O126" s="613"/>
    </row>
    <row r="127" spans="12:15" x14ac:dyDescent="0.3">
      <c r="L127" s="613" t="s">
        <v>496</v>
      </c>
      <c r="M127" s="613" t="s">
        <v>464</v>
      </c>
      <c r="N127" s="613" t="s">
        <v>464</v>
      </c>
      <c r="O127" s="613"/>
    </row>
    <row r="128" spans="12:15" x14ac:dyDescent="0.3">
      <c r="L128" s="613" t="s">
        <v>1252</v>
      </c>
      <c r="M128" s="613" t="s">
        <v>464</v>
      </c>
      <c r="N128" s="613" t="s">
        <v>464</v>
      </c>
      <c r="O128" s="613"/>
    </row>
    <row r="129" spans="12:16" x14ac:dyDescent="0.3">
      <c r="L129" s="613" t="s">
        <v>1253</v>
      </c>
      <c r="M129" s="613" t="s">
        <v>464</v>
      </c>
      <c r="N129" s="613" t="s">
        <v>464</v>
      </c>
      <c r="O129" s="613"/>
    </row>
    <row r="130" spans="12:16" x14ac:dyDescent="0.3">
      <c r="L130" s="613" t="s">
        <v>497</v>
      </c>
      <c r="M130" s="613" t="s">
        <v>464</v>
      </c>
      <c r="N130" s="613" t="s">
        <v>464</v>
      </c>
      <c r="O130" s="613"/>
    </row>
    <row r="131" spans="12:16" x14ac:dyDescent="0.3">
      <c r="L131" s="616" t="s">
        <v>1254</v>
      </c>
      <c r="M131" s="616">
        <v>0.03</v>
      </c>
      <c r="N131" s="616" t="s">
        <v>464</v>
      </c>
      <c r="O131" s="613" t="s">
        <v>1526</v>
      </c>
    </row>
    <row r="132" spans="12:16" x14ac:dyDescent="0.3">
      <c r="L132" s="613" t="s">
        <v>1255</v>
      </c>
      <c r="M132" s="613" t="s">
        <v>464</v>
      </c>
      <c r="N132" s="613" t="s">
        <v>464</v>
      </c>
      <c r="O132" s="613"/>
    </row>
    <row r="133" spans="12:16" x14ac:dyDescent="0.3">
      <c r="L133" s="613" t="s">
        <v>1256</v>
      </c>
      <c r="M133" s="613" t="s">
        <v>464</v>
      </c>
      <c r="N133" s="613" t="s">
        <v>464</v>
      </c>
      <c r="O133" s="613"/>
    </row>
    <row r="134" spans="12:16" x14ac:dyDescent="0.3">
      <c r="L134" s="613" t="s">
        <v>1257</v>
      </c>
      <c r="M134" s="613" t="s">
        <v>464</v>
      </c>
      <c r="N134" s="613" t="s">
        <v>464</v>
      </c>
      <c r="O134" s="613"/>
    </row>
    <row r="135" spans="12:16" x14ac:dyDescent="0.3">
      <c r="L135" s="613" t="s">
        <v>389</v>
      </c>
      <c r="M135" s="613" t="s">
        <v>464</v>
      </c>
      <c r="N135" s="613" t="s">
        <v>464</v>
      </c>
      <c r="O135" s="613"/>
    </row>
    <row r="136" spans="12:16" x14ac:dyDescent="0.3">
      <c r="L136" s="613" t="s">
        <v>498</v>
      </c>
      <c r="M136" s="613" t="s">
        <v>464</v>
      </c>
      <c r="N136" s="613" t="s">
        <v>464</v>
      </c>
      <c r="O136" s="613"/>
    </row>
    <row r="137" spans="12:16" x14ac:dyDescent="0.3">
      <c r="L137" s="613" t="s">
        <v>1258</v>
      </c>
      <c r="M137" s="613" t="s">
        <v>464</v>
      </c>
      <c r="N137" s="613" t="s">
        <v>464</v>
      </c>
      <c r="O137" s="613"/>
    </row>
    <row r="138" spans="12:16" x14ac:dyDescent="0.3">
      <c r="L138" s="613" t="s">
        <v>1259</v>
      </c>
      <c r="M138" s="613" t="s">
        <v>464</v>
      </c>
      <c r="N138" s="613" t="s">
        <v>464</v>
      </c>
      <c r="O138" s="613"/>
    </row>
    <row r="139" spans="12:16" x14ac:dyDescent="0.3">
      <c r="L139" s="613" t="s">
        <v>499</v>
      </c>
      <c r="M139" s="613" t="s">
        <v>464</v>
      </c>
      <c r="N139" s="613" t="s">
        <v>464</v>
      </c>
      <c r="O139" s="613"/>
    </row>
    <row r="140" spans="12:16" x14ac:dyDescent="0.3">
      <c r="L140" s="613" t="s">
        <v>500</v>
      </c>
      <c r="M140" s="613" t="s">
        <v>464</v>
      </c>
      <c r="N140" s="613" t="s">
        <v>464</v>
      </c>
      <c r="O140" s="613"/>
    </row>
    <row r="141" spans="12:16" x14ac:dyDescent="0.3">
      <c r="L141" s="613" t="s">
        <v>1260</v>
      </c>
      <c r="M141" s="613" t="s">
        <v>464</v>
      </c>
      <c r="N141" s="613" t="s">
        <v>464</v>
      </c>
      <c r="O141" s="613"/>
    </row>
    <row r="142" spans="12:16" x14ac:dyDescent="0.3">
      <c r="L142" s="613" t="s">
        <v>1261</v>
      </c>
      <c r="M142" s="613" t="s">
        <v>464</v>
      </c>
      <c r="N142" s="613" t="s">
        <v>464</v>
      </c>
      <c r="O142" s="613"/>
    </row>
    <row r="143" spans="12:16" x14ac:dyDescent="0.3">
      <c r="L143" s="615" t="s">
        <v>1262</v>
      </c>
      <c r="M143" s="615">
        <v>0.03</v>
      </c>
      <c r="N143" s="615">
        <v>0.05</v>
      </c>
      <c r="O143" s="613" t="s">
        <v>1531</v>
      </c>
      <c r="P143" s="622" t="s">
        <v>1527</v>
      </c>
    </row>
    <row r="144" spans="12:16" x14ac:dyDescent="0.3">
      <c r="L144" s="615" t="s">
        <v>828</v>
      </c>
      <c r="M144" s="615">
        <v>0.03</v>
      </c>
      <c r="N144" s="615">
        <v>0.05</v>
      </c>
      <c r="O144" s="613" t="s">
        <v>1531</v>
      </c>
      <c r="P144" s="622" t="s">
        <v>1527</v>
      </c>
    </row>
    <row r="145" spans="12:15" x14ac:dyDescent="0.3">
      <c r="L145" s="613" t="s">
        <v>1263</v>
      </c>
      <c r="M145" s="613" t="s">
        <v>464</v>
      </c>
      <c r="N145" s="613" t="s">
        <v>464</v>
      </c>
      <c r="O145" s="613"/>
    </row>
    <row r="146" spans="12:15" x14ac:dyDescent="0.3">
      <c r="L146" s="613" t="s">
        <v>1264</v>
      </c>
      <c r="M146" s="613" t="s">
        <v>464</v>
      </c>
      <c r="N146" s="613" t="s">
        <v>464</v>
      </c>
      <c r="O146" s="613"/>
    </row>
    <row r="147" spans="12:15" x14ac:dyDescent="0.3">
      <c r="L147" s="613" t="s">
        <v>1265</v>
      </c>
      <c r="M147" s="613" t="s">
        <v>464</v>
      </c>
      <c r="N147" s="613" t="s">
        <v>464</v>
      </c>
      <c r="O147" s="613"/>
    </row>
    <row r="148" spans="12:15" x14ac:dyDescent="0.3">
      <c r="L148" s="613" t="s">
        <v>1266</v>
      </c>
      <c r="M148" s="613" t="s">
        <v>464</v>
      </c>
      <c r="N148" s="613" t="s">
        <v>464</v>
      </c>
      <c r="O148" s="613"/>
    </row>
    <row r="149" spans="12:15" x14ac:dyDescent="0.3">
      <c r="L149" s="613" t="s">
        <v>502</v>
      </c>
      <c r="M149" s="613" t="s">
        <v>464</v>
      </c>
      <c r="N149" s="613" t="s">
        <v>464</v>
      </c>
      <c r="O149" s="613"/>
    </row>
    <row r="150" spans="12:15" x14ac:dyDescent="0.3">
      <c r="L150" s="613" t="s">
        <v>503</v>
      </c>
      <c r="M150" s="613" t="s">
        <v>464</v>
      </c>
      <c r="N150" s="613" t="s">
        <v>464</v>
      </c>
      <c r="O150" s="613"/>
    </row>
    <row r="151" spans="12:15" x14ac:dyDescent="0.3">
      <c r="L151" s="613" t="s">
        <v>1267</v>
      </c>
      <c r="M151" s="613" t="s">
        <v>464</v>
      </c>
      <c r="N151" s="613" t="s">
        <v>464</v>
      </c>
      <c r="O151" s="613"/>
    </row>
    <row r="152" spans="12:15" x14ac:dyDescent="0.3">
      <c r="L152" s="613" t="s">
        <v>1268</v>
      </c>
      <c r="M152" s="613" t="s">
        <v>464</v>
      </c>
      <c r="N152" s="613" t="s">
        <v>464</v>
      </c>
      <c r="O152" s="613"/>
    </row>
    <row r="153" spans="12:15" x14ac:dyDescent="0.3">
      <c r="L153" s="613" t="s">
        <v>504</v>
      </c>
      <c r="M153" s="613" t="s">
        <v>464</v>
      </c>
      <c r="N153" s="613" t="s">
        <v>464</v>
      </c>
      <c r="O153" s="613" t="s">
        <v>1625</v>
      </c>
    </row>
    <row r="154" spans="12:15" x14ac:dyDescent="0.3">
      <c r="L154" s="613" t="s">
        <v>829</v>
      </c>
      <c r="M154" s="613" t="s">
        <v>464</v>
      </c>
      <c r="N154" s="613" t="s">
        <v>464</v>
      </c>
      <c r="O154" s="613"/>
    </row>
    <row r="155" spans="12:15" x14ac:dyDescent="0.3">
      <c r="L155" s="613" t="s">
        <v>830</v>
      </c>
      <c r="M155" s="613" t="s">
        <v>464</v>
      </c>
      <c r="N155" s="613" t="s">
        <v>464</v>
      </c>
      <c r="O155" s="613"/>
    </row>
    <row r="156" spans="12:15" x14ac:dyDescent="0.3">
      <c r="L156" s="613" t="s">
        <v>506</v>
      </c>
      <c r="M156" s="613" t="s">
        <v>464</v>
      </c>
      <c r="N156" s="613" t="s">
        <v>464</v>
      </c>
      <c r="O156" s="613"/>
    </row>
    <row r="157" spans="12:15" x14ac:dyDescent="0.3">
      <c r="L157" s="613" t="s">
        <v>507</v>
      </c>
      <c r="M157" s="613" t="s">
        <v>464</v>
      </c>
      <c r="N157" s="613" t="s">
        <v>464</v>
      </c>
      <c r="O157" s="613"/>
    </row>
    <row r="158" spans="12:15" x14ac:dyDescent="0.3">
      <c r="L158" s="613" t="s">
        <v>508</v>
      </c>
      <c r="M158" s="613" t="s">
        <v>464</v>
      </c>
      <c r="N158" s="613" t="s">
        <v>464</v>
      </c>
      <c r="O158" s="613"/>
    </row>
    <row r="159" spans="12:15" x14ac:dyDescent="0.3">
      <c r="L159" s="613" t="s">
        <v>1269</v>
      </c>
      <c r="M159" s="613" t="s">
        <v>464</v>
      </c>
      <c r="N159" s="613" t="s">
        <v>464</v>
      </c>
      <c r="O159" s="613"/>
    </row>
    <row r="160" spans="12:15" x14ac:dyDescent="0.3">
      <c r="L160" s="613" t="s">
        <v>1270</v>
      </c>
      <c r="M160" s="613" t="s">
        <v>464</v>
      </c>
      <c r="N160" s="613" t="s">
        <v>464</v>
      </c>
      <c r="O160" s="613"/>
    </row>
    <row r="161" spans="12:16" x14ac:dyDescent="0.3">
      <c r="L161" s="613" t="s">
        <v>1271</v>
      </c>
      <c r="M161" s="613" t="s">
        <v>464</v>
      </c>
      <c r="N161" s="613" t="s">
        <v>464</v>
      </c>
      <c r="O161" s="613"/>
    </row>
    <row r="162" spans="12:16" x14ac:dyDescent="0.3">
      <c r="L162" s="613" t="s">
        <v>1272</v>
      </c>
      <c r="M162" s="613" t="s">
        <v>464</v>
      </c>
      <c r="N162" s="613" t="s">
        <v>464</v>
      </c>
      <c r="O162" s="613"/>
    </row>
    <row r="163" spans="12:16" x14ac:dyDescent="0.3">
      <c r="L163" s="613" t="s">
        <v>1273</v>
      </c>
      <c r="M163" s="613" t="s">
        <v>464</v>
      </c>
      <c r="N163" s="613" t="s">
        <v>464</v>
      </c>
      <c r="O163" s="613"/>
    </row>
    <row r="164" spans="12:16" x14ac:dyDescent="0.3">
      <c r="L164" s="613" t="s">
        <v>1274</v>
      </c>
      <c r="M164" s="613" t="s">
        <v>464</v>
      </c>
      <c r="N164" s="613" t="s">
        <v>464</v>
      </c>
      <c r="O164" s="613"/>
    </row>
    <row r="165" spans="12:16" x14ac:dyDescent="0.3">
      <c r="L165" s="615" t="s">
        <v>1275</v>
      </c>
      <c r="M165" s="615">
        <v>0.03</v>
      </c>
      <c r="N165" s="615">
        <v>0.05</v>
      </c>
      <c r="O165" s="613" t="s">
        <v>1531</v>
      </c>
      <c r="P165" s="622" t="s">
        <v>1527</v>
      </c>
    </row>
    <row r="166" spans="12:16" x14ac:dyDescent="0.3">
      <c r="L166" s="613" t="s">
        <v>1276</v>
      </c>
      <c r="M166" s="613" t="s">
        <v>464</v>
      </c>
      <c r="N166" s="613" t="s">
        <v>464</v>
      </c>
      <c r="O166" s="613" t="s">
        <v>1625</v>
      </c>
    </row>
    <row r="167" spans="12:16" x14ac:dyDescent="0.3">
      <c r="L167" s="613" t="s">
        <v>1277</v>
      </c>
      <c r="M167" s="613" t="s">
        <v>464</v>
      </c>
      <c r="N167" s="613" t="s">
        <v>464</v>
      </c>
      <c r="O167" s="613"/>
    </row>
    <row r="168" spans="12:16" x14ac:dyDescent="0.3">
      <c r="L168" s="613" t="s">
        <v>1278</v>
      </c>
      <c r="M168" s="613" t="s">
        <v>464</v>
      </c>
      <c r="N168" s="613" t="s">
        <v>464</v>
      </c>
      <c r="O168" s="613"/>
    </row>
    <row r="169" spans="12:16" x14ac:dyDescent="0.3">
      <c r="L169" s="613" t="s">
        <v>509</v>
      </c>
      <c r="M169" s="613" t="s">
        <v>464</v>
      </c>
      <c r="N169" s="613" t="s">
        <v>464</v>
      </c>
      <c r="O169" s="613"/>
    </row>
    <row r="170" spans="12:16" x14ac:dyDescent="0.3">
      <c r="L170" s="613" t="s">
        <v>1279</v>
      </c>
      <c r="M170" s="613" t="s">
        <v>464</v>
      </c>
      <c r="N170" s="613" t="s">
        <v>464</v>
      </c>
      <c r="O170" s="613" t="s">
        <v>1625</v>
      </c>
    </row>
    <row r="171" spans="12:16" x14ac:dyDescent="0.3">
      <c r="L171" s="613" t="s">
        <v>1280</v>
      </c>
      <c r="M171" s="613" t="s">
        <v>464</v>
      </c>
      <c r="N171" s="613" t="s">
        <v>464</v>
      </c>
      <c r="O171" s="613"/>
    </row>
    <row r="172" spans="12:16" x14ac:dyDescent="0.3">
      <c r="L172" s="613" t="s">
        <v>1281</v>
      </c>
      <c r="M172" s="613" t="s">
        <v>464</v>
      </c>
      <c r="N172" s="613" t="s">
        <v>464</v>
      </c>
      <c r="O172" s="613" t="s">
        <v>1625</v>
      </c>
    </row>
    <row r="173" spans="12:16" x14ac:dyDescent="0.3">
      <c r="L173" s="613" t="s">
        <v>510</v>
      </c>
      <c r="M173" s="613" t="s">
        <v>464</v>
      </c>
      <c r="N173" s="613" t="s">
        <v>464</v>
      </c>
      <c r="O173" s="613"/>
    </row>
    <row r="174" spans="12:16" x14ac:dyDescent="0.3">
      <c r="L174" s="613" t="s">
        <v>1282</v>
      </c>
      <c r="M174" s="613" t="s">
        <v>464</v>
      </c>
      <c r="N174" s="613" t="s">
        <v>464</v>
      </c>
      <c r="O174" s="613"/>
    </row>
    <row r="175" spans="12:16" x14ac:dyDescent="0.3">
      <c r="L175" s="613" t="s">
        <v>1283</v>
      </c>
      <c r="M175" s="613" t="s">
        <v>464</v>
      </c>
      <c r="N175" s="613" t="s">
        <v>464</v>
      </c>
      <c r="O175" s="613"/>
    </row>
    <row r="176" spans="12:16" x14ac:dyDescent="0.3">
      <c r="L176" s="613" t="s">
        <v>1284</v>
      </c>
      <c r="M176" s="613" t="s">
        <v>464</v>
      </c>
      <c r="N176" s="613" t="s">
        <v>464</v>
      </c>
      <c r="O176" s="613"/>
    </row>
    <row r="177" spans="12:16" x14ac:dyDescent="0.3">
      <c r="L177" s="613" t="s">
        <v>511</v>
      </c>
      <c r="M177" s="613" t="s">
        <v>464</v>
      </c>
      <c r="N177" s="613" t="s">
        <v>464</v>
      </c>
      <c r="O177" s="613"/>
    </row>
    <row r="178" spans="12:16" x14ac:dyDescent="0.3">
      <c r="L178" s="615" t="s">
        <v>512</v>
      </c>
      <c r="M178" s="615">
        <v>0.03</v>
      </c>
      <c r="N178" s="615">
        <v>0.05</v>
      </c>
      <c r="O178" s="613" t="s">
        <v>1531</v>
      </c>
      <c r="P178" s="622" t="s">
        <v>1527</v>
      </c>
    </row>
    <row r="179" spans="12:16" x14ac:dyDescent="0.3">
      <c r="L179" s="613" t="s">
        <v>1285</v>
      </c>
      <c r="M179" s="613" t="s">
        <v>464</v>
      </c>
      <c r="N179" s="613" t="s">
        <v>464</v>
      </c>
      <c r="O179" s="613"/>
    </row>
    <row r="180" spans="12:16" x14ac:dyDescent="0.3">
      <c r="L180" s="613" t="s">
        <v>1286</v>
      </c>
      <c r="M180" s="613" t="s">
        <v>464</v>
      </c>
      <c r="N180" s="613" t="s">
        <v>464</v>
      </c>
      <c r="O180" s="613"/>
    </row>
    <row r="181" spans="12:16" x14ac:dyDescent="0.3">
      <c r="L181" s="613" t="s">
        <v>1287</v>
      </c>
      <c r="M181" s="613" t="s">
        <v>464</v>
      </c>
      <c r="N181" s="613" t="s">
        <v>464</v>
      </c>
      <c r="O181" s="613"/>
    </row>
    <row r="182" spans="12:16" x14ac:dyDescent="0.3">
      <c r="L182" s="613" t="s">
        <v>1288</v>
      </c>
      <c r="M182" s="613" t="s">
        <v>464</v>
      </c>
      <c r="N182" s="613" t="s">
        <v>464</v>
      </c>
      <c r="O182" s="613"/>
    </row>
    <row r="183" spans="12:16" x14ac:dyDescent="0.3">
      <c r="L183" s="613" t="s">
        <v>1289</v>
      </c>
      <c r="M183" s="613" t="s">
        <v>464</v>
      </c>
      <c r="N183" s="613" t="s">
        <v>464</v>
      </c>
      <c r="O183" s="613"/>
    </row>
    <row r="184" spans="12:16" x14ac:dyDescent="0.3">
      <c r="L184" s="613" t="s">
        <v>390</v>
      </c>
      <c r="M184" s="613" t="s">
        <v>464</v>
      </c>
      <c r="N184" s="613" t="s">
        <v>464</v>
      </c>
      <c r="O184" s="613"/>
    </row>
    <row r="185" spans="12:16" x14ac:dyDescent="0.3">
      <c r="L185" s="616" t="s">
        <v>1290</v>
      </c>
      <c r="M185" s="616">
        <v>0.03</v>
      </c>
      <c r="N185" s="616" t="s">
        <v>464</v>
      </c>
      <c r="O185" s="613" t="s">
        <v>1526</v>
      </c>
    </row>
    <row r="186" spans="12:16" x14ac:dyDescent="0.3">
      <c r="L186" s="613" t="s">
        <v>1291</v>
      </c>
      <c r="M186" s="613" t="s">
        <v>464</v>
      </c>
      <c r="N186" s="613" t="s">
        <v>464</v>
      </c>
      <c r="O186" s="613"/>
    </row>
    <row r="187" spans="12:16" x14ac:dyDescent="0.3">
      <c r="L187" s="613" t="s">
        <v>831</v>
      </c>
      <c r="M187" s="613" t="s">
        <v>464</v>
      </c>
      <c r="N187" s="613" t="s">
        <v>464</v>
      </c>
      <c r="O187" s="613"/>
    </row>
    <row r="188" spans="12:16" x14ac:dyDescent="0.3">
      <c r="L188" s="613" t="s">
        <v>1292</v>
      </c>
      <c r="M188" s="613" t="s">
        <v>464</v>
      </c>
      <c r="N188" s="613" t="s">
        <v>464</v>
      </c>
      <c r="O188" s="613"/>
    </row>
    <row r="189" spans="12:16" x14ac:dyDescent="0.3">
      <c r="L189" s="613" t="s">
        <v>513</v>
      </c>
      <c r="M189" s="613" t="s">
        <v>464</v>
      </c>
      <c r="N189" s="613" t="s">
        <v>464</v>
      </c>
      <c r="O189" s="613"/>
    </row>
    <row r="190" spans="12:16" x14ac:dyDescent="0.3">
      <c r="L190" s="613" t="s">
        <v>1293</v>
      </c>
      <c r="M190" s="613" t="s">
        <v>464</v>
      </c>
      <c r="N190" s="613" t="s">
        <v>464</v>
      </c>
      <c r="O190" s="613"/>
    </row>
    <row r="191" spans="12:16" x14ac:dyDescent="0.3">
      <c r="L191" s="613" t="s">
        <v>514</v>
      </c>
      <c r="M191" s="613" t="s">
        <v>464</v>
      </c>
      <c r="N191" s="613" t="s">
        <v>464</v>
      </c>
      <c r="O191" s="613"/>
    </row>
    <row r="192" spans="12:16" x14ac:dyDescent="0.3">
      <c r="L192" s="613" t="s">
        <v>1294</v>
      </c>
      <c r="M192" s="613" t="s">
        <v>464</v>
      </c>
      <c r="N192" s="613" t="s">
        <v>464</v>
      </c>
      <c r="O192" s="613"/>
    </row>
    <row r="193" spans="12:16" x14ac:dyDescent="0.3">
      <c r="L193" s="613" t="s">
        <v>1134</v>
      </c>
      <c r="M193" s="613" t="s">
        <v>464</v>
      </c>
      <c r="N193" s="613" t="s">
        <v>464</v>
      </c>
      <c r="O193" s="613"/>
    </row>
    <row r="194" spans="12:16" x14ac:dyDescent="0.3">
      <c r="L194" s="613" t="s">
        <v>1295</v>
      </c>
      <c r="M194" s="613" t="s">
        <v>464</v>
      </c>
      <c r="N194" s="613" t="s">
        <v>464</v>
      </c>
      <c r="O194" s="613"/>
    </row>
    <row r="195" spans="12:16" x14ac:dyDescent="0.3">
      <c r="L195" s="616" t="s">
        <v>1296</v>
      </c>
      <c r="M195" s="616">
        <v>0.03</v>
      </c>
      <c r="N195" s="616" t="s">
        <v>464</v>
      </c>
      <c r="O195" s="613" t="s">
        <v>1526</v>
      </c>
    </row>
    <row r="196" spans="12:16" x14ac:dyDescent="0.3">
      <c r="L196" s="613" t="s">
        <v>1297</v>
      </c>
      <c r="M196" s="613" t="s">
        <v>464</v>
      </c>
      <c r="N196" s="613" t="s">
        <v>464</v>
      </c>
      <c r="O196" s="613"/>
    </row>
    <row r="197" spans="12:16" x14ac:dyDescent="0.3">
      <c r="L197" s="613" t="s">
        <v>1298</v>
      </c>
      <c r="M197" s="613" t="s">
        <v>464</v>
      </c>
      <c r="N197" s="613" t="s">
        <v>464</v>
      </c>
      <c r="O197" s="613"/>
    </row>
    <row r="198" spans="12:16" x14ac:dyDescent="0.3">
      <c r="L198" s="613" t="s">
        <v>832</v>
      </c>
      <c r="M198" s="613" t="s">
        <v>464</v>
      </c>
      <c r="N198" s="613" t="s">
        <v>464</v>
      </c>
      <c r="O198" s="613"/>
    </row>
    <row r="199" spans="12:16" x14ac:dyDescent="0.3">
      <c r="L199" s="613" t="s">
        <v>515</v>
      </c>
      <c r="M199" s="613" t="s">
        <v>464</v>
      </c>
      <c r="N199" s="613" t="s">
        <v>464</v>
      </c>
      <c r="O199" s="613"/>
    </row>
    <row r="200" spans="12:16" x14ac:dyDescent="0.3">
      <c r="L200" s="613" t="s">
        <v>396</v>
      </c>
      <c r="M200" s="613" t="s">
        <v>464</v>
      </c>
      <c r="N200" s="613" t="s">
        <v>464</v>
      </c>
      <c r="O200" s="613"/>
    </row>
    <row r="201" spans="12:16" x14ac:dyDescent="0.3">
      <c r="L201" s="615" t="s">
        <v>397</v>
      </c>
      <c r="M201" s="615">
        <v>0.03</v>
      </c>
      <c r="N201" s="615">
        <v>0.05</v>
      </c>
      <c r="O201" s="613" t="s">
        <v>1531</v>
      </c>
      <c r="P201" s="622" t="s">
        <v>1527</v>
      </c>
    </row>
    <row r="202" spans="12:16" x14ac:dyDescent="0.3">
      <c r="L202" s="613" t="s">
        <v>1299</v>
      </c>
      <c r="M202" s="613" t="s">
        <v>464</v>
      </c>
      <c r="N202" s="613" t="s">
        <v>464</v>
      </c>
      <c r="O202" s="613"/>
    </row>
    <row r="203" spans="12:16" x14ac:dyDescent="0.3">
      <c r="L203" s="613" t="s">
        <v>1300</v>
      </c>
      <c r="M203" s="613" t="s">
        <v>464</v>
      </c>
      <c r="N203" s="613" t="s">
        <v>464</v>
      </c>
      <c r="O203" s="613"/>
    </row>
    <row r="204" spans="12:16" x14ac:dyDescent="0.3">
      <c r="L204" s="613" t="s">
        <v>516</v>
      </c>
      <c r="M204" s="613" t="s">
        <v>464</v>
      </c>
      <c r="N204" s="613" t="s">
        <v>464</v>
      </c>
      <c r="O204" s="613"/>
    </row>
    <row r="205" spans="12:16" x14ac:dyDescent="0.3">
      <c r="L205" s="613" t="s">
        <v>517</v>
      </c>
      <c r="M205" s="613" t="s">
        <v>464</v>
      </c>
      <c r="N205" s="613" t="s">
        <v>464</v>
      </c>
      <c r="O205" s="613"/>
    </row>
    <row r="206" spans="12:16" x14ac:dyDescent="0.3">
      <c r="L206" s="615" t="s">
        <v>518</v>
      </c>
      <c r="M206" s="615">
        <v>0.03</v>
      </c>
      <c r="N206" s="615">
        <v>0.05</v>
      </c>
      <c r="O206" s="613" t="s">
        <v>1531</v>
      </c>
      <c r="P206" s="622" t="s">
        <v>1527</v>
      </c>
    </row>
    <row r="207" spans="12:16" x14ac:dyDescent="0.3">
      <c r="L207" s="613" t="s">
        <v>519</v>
      </c>
      <c r="M207" s="613" t="s">
        <v>464</v>
      </c>
      <c r="N207" s="613" t="s">
        <v>464</v>
      </c>
      <c r="O207" s="613"/>
    </row>
    <row r="208" spans="12:16" x14ac:dyDescent="0.3">
      <c r="L208" s="613" t="s">
        <v>1301</v>
      </c>
      <c r="M208" s="613" t="s">
        <v>464</v>
      </c>
      <c r="N208" s="613" t="s">
        <v>464</v>
      </c>
      <c r="O208" s="613"/>
    </row>
    <row r="209" spans="12:16" x14ac:dyDescent="0.3">
      <c r="L209" s="613" t="s">
        <v>1302</v>
      </c>
      <c r="M209" s="613" t="s">
        <v>464</v>
      </c>
      <c r="N209" s="613" t="s">
        <v>464</v>
      </c>
      <c r="O209" s="613"/>
    </row>
    <row r="210" spans="12:16" x14ac:dyDescent="0.3">
      <c r="L210" s="613" t="s">
        <v>1303</v>
      </c>
      <c r="M210" s="613" t="s">
        <v>464</v>
      </c>
      <c r="N210" s="613" t="s">
        <v>464</v>
      </c>
      <c r="O210" s="613"/>
    </row>
    <row r="211" spans="12:16" x14ac:dyDescent="0.3">
      <c r="L211" s="613" t="s">
        <v>1304</v>
      </c>
      <c r="M211" s="613" t="s">
        <v>464</v>
      </c>
      <c r="N211" s="613" t="s">
        <v>464</v>
      </c>
      <c r="O211" s="613"/>
    </row>
    <row r="212" spans="12:16" x14ac:dyDescent="0.3">
      <c r="L212" s="613" t="s">
        <v>833</v>
      </c>
      <c r="M212" s="613" t="s">
        <v>464</v>
      </c>
      <c r="N212" s="613" t="s">
        <v>464</v>
      </c>
      <c r="O212" s="613"/>
    </row>
    <row r="213" spans="12:16" x14ac:dyDescent="0.3">
      <c r="L213" s="613" t="s">
        <v>1305</v>
      </c>
      <c r="M213" s="613" t="s">
        <v>464</v>
      </c>
      <c r="N213" s="613" t="s">
        <v>464</v>
      </c>
      <c r="O213" s="613"/>
    </row>
    <row r="214" spans="12:16" x14ac:dyDescent="0.3">
      <c r="L214" s="613" t="s">
        <v>834</v>
      </c>
      <c r="M214" s="613" t="s">
        <v>464</v>
      </c>
      <c r="N214" s="613" t="s">
        <v>464</v>
      </c>
      <c r="O214" s="613"/>
    </row>
    <row r="215" spans="12:16" x14ac:dyDescent="0.3">
      <c r="L215" s="613" t="s">
        <v>1306</v>
      </c>
      <c r="M215" s="613" t="s">
        <v>464</v>
      </c>
      <c r="N215" s="613" t="s">
        <v>464</v>
      </c>
      <c r="O215" s="613"/>
    </row>
    <row r="216" spans="12:16" x14ac:dyDescent="0.3">
      <c r="L216" s="613" t="s">
        <v>1307</v>
      </c>
      <c r="M216" s="613" t="s">
        <v>464</v>
      </c>
      <c r="N216" s="613" t="s">
        <v>464</v>
      </c>
      <c r="O216" s="613"/>
    </row>
    <row r="217" spans="12:16" x14ac:dyDescent="0.3">
      <c r="L217" s="613" t="s">
        <v>391</v>
      </c>
      <c r="M217" s="613" t="s">
        <v>464</v>
      </c>
      <c r="N217" s="613" t="s">
        <v>464</v>
      </c>
      <c r="O217" s="613"/>
    </row>
    <row r="218" spans="12:16" x14ac:dyDescent="0.3">
      <c r="L218" s="613" t="s">
        <v>1308</v>
      </c>
      <c r="M218" s="613" t="s">
        <v>464</v>
      </c>
      <c r="N218" s="613" t="s">
        <v>464</v>
      </c>
      <c r="O218" s="613"/>
    </row>
    <row r="219" spans="12:16" x14ac:dyDescent="0.3">
      <c r="L219" s="615" t="s">
        <v>835</v>
      </c>
      <c r="M219" s="615">
        <v>0.03</v>
      </c>
      <c r="N219" s="615">
        <v>0.05</v>
      </c>
      <c r="O219" s="613" t="s">
        <v>1531</v>
      </c>
      <c r="P219" s="622" t="s">
        <v>1527</v>
      </c>
    </row>
    <row r="220" spans="12:16" x14ac:dyDescent="0.3">
      <c r="L220" s="613" t="s">
        <v>1309</v>
      </c>
      <c r="M220" s="613" t="s">
        <v>464</v>
      </c>
      <c r="N220" s="613" t="s">
        <v>464</v>
      </c>
      <c r="O220" s="613"/>
    </row>
    <row r="221" spans="12:16" x14ac:dyDescent="0.3">
      <c r="L221" s="616" t="s">
        <v>398</v>
      </c>
      <c r="M221" s="616" t="s">
        <v>464</v>
      </c>
      <c r="N221" s="616" t="s">
        <v>464</v>
      </c>
      <c r="O221" s="613" t="s">
        <v>1526</v>
      </c>
    </row>
    <row r="222" spans="12:16" x14ac:dyDescent="0.3">
      <c r="L222" s="613" t="s">
        <v>1310</v>
      </c>
      <c r="M222" s="613" t="s">
        <v>464</v>
      </c>
      <c r="N222" s="613" t="s">
        <v>464</v>
      </c>
      <c r="O222" s="613"/>
    </row>
    <row r="223" spans="12:16" x14ac:dyDescent="0.3">
      <c r="L223" s="613" t="s">
        <v>1311</v>
      </c>
      <c r="M223" s="613" t="s">
        <v>464</v>
      </c>
      <c r="N223" s="613" t="s">
        <v>464</v>
      </c>
      <c r="O223" s="613" t="s">
        <v>1625</v>
      </c>
    </row>
    <row r="224" spans="12:16" x14ac:dyDescent="0.3">
      <c r="L224" s="613" t="s">
        <v>1312</v>
      </c>
      <c r="M224" s="613" t="s">
        <v>464</v>
      </c>
      <c r="N224" s="613" t="s">
        <v>464</v>
      </c>
      <c r="O224" s="613"/>
    </row>
    <row r="225" spans="12:16" x14ac:dyDescent="0.3">
      <c r="L225" s="613" t="s">
        <v>1313</v>
      </c>
      <c r="M225" s="613" t="s">
        <v>464</v>
      </c>
      <c r="N225" s="613" t="s">
        <v>464</v>
      </c>
      <c r="O225" s="613"/>
    </row>
    <row r="226" spans="12:16" x14ac:dyDescent="0.3">
      <c r="L226" s="615" t="s">
        <v>1314</v>
      </c>
      <c r="M226" s="615">
        <v>0.03</v>
      </c>
      <c r="N226" s="615">
        <v>0.05</v>
      </c>
      <c r="O226" s="613" t="s">
        <v>1531</v>
      </c>
      <c r="P226" s="622" t="s">
        <v>1527</v>
      </c>
    </row>
    <row r="227" spans="12:16" x14ac:dyDescent="0.3">
      <c r="L227" s="613" t="s">
        <v>520</v>
      </c>
      <c r="M227" s="613" t="s">
        <v>464</v>
      </c>
      <c r="N227" s="613" t="s">
        <v>464</v>
      </c>
      <c r="O227" s="613"/>
    </row>
    <row r="228" spans="12:16" x14ac:dyDescent="0.3">
      <c r="L228" s="613" t="s">
        <v>1315</v>
      </c>
      <c r="M228" s="613" t="s">
        <v>464</v>
      </c>
      <c r="N228" s="613" t="s">
        <v>464</v>
      </c>
      <c r="O228" s="613"/>
    </row>
    <row r="229" spans="12:16" x14ac:dyDescent="0.3">
      <c r="L229" s="613" t="s">
        <v>521</v>
      </c>
      <c r="M229" s="613" t="s">
        <v>464</v>
      </c>
      <c r="N229" s="613" t="s">
        <v>464</v>
      </c>
      <c r="O229" s="613"/>
    </row>
    <row r="230" spans="12:16" x14ac:dyDescent="0.3">
      <c r="L230" s="613" t="s">
        <v>1316</v>
      </c>
      <c r="M230" s="613" t="s">
        <v>464</v>
      </c>
      <c r="N230" s="613" t="s">
        <v>464</v>
      </c>
      <c r="O230" s="613"/>
    </row>
    <row r="231" spans="12:16" x14ac:dyDescent="0.3">
      <c r="L231" s="615" t="s">
        <v>522</v>
      </c>
      <c r="M231" s="615">
        <v>0.03</v>
      </c>
      <c r="N231" s="615">
        <v>0.05</v>
      </c>
      <c r="O231" s="613" t="s">
        <v>1531</v>
      </c>
      <c r="P231" s="622" t="s">
        <v>1527</v>
      </c>
    </row>
    <row r="232" spans="12:16" x14ac:dyDescent="0.3">
      <c r="L232" s="613" t="s">
        <v>1317</v>
      </c>
      <c r="M232" s="613" t="s">
        <v>464</v>
      </c>
      <c r="N232" s="613" t="s">
        <v>464</v>
      </c>
      <c r="O232" s="613"/>
    </row>
    <row r="233" spans="12:16" x14ac:dyDescent="0.3">
      <c r="L233" s="613" t="s">
        <v>1318</v>
      </c>
      <c r="M233" s="613" t="s">
        <v>464</v>
      </c>
      <c r="N233" s="613" t="s">
        <v>464</v>
      </c>
      <c r="O233" s="613"/>
    </row>
    <row r="234" spans="12:16" x14ac:dyDescent="0.3">
      <c r="L234" s="613" t="s">
        <v>1135</v>
      </c>
      <c r="M234" s="613" t="s">
        <v>464</v>
      </c>
      <c r="N234" s="613" t="s">
        <v>464</v>
      </c>
      <c r="O234" s="613"/>
    </row>
    <row r="235" spans="12:16" x14ac:dyDescent="0.3">
      <c r="L235" s="616" t="s">
        <v>1319</v>
      </c>
      <c r="M235" s="616" t="s">
        <v>464</v>
      </c>
      <c r="N235" s="616" t="s">
        <v>464</v>
      </c>
      <c r="O235" s="613" t="s">
        <v>1526</v>
      </c>
    </row>
    <row r="236" spans="12:16" x14ac:dyDescent="0.3">
      <c r="L236" s="613" t="s">
        <v>436</v>
      </c>
      <c r="M236" s="613" t="s">
        <v>464</v>
      </c>
      <c r="N236" s="613" t="s">
        <v>464</v>
      </c>
      <c r="O236" s="613"/>
    </row>
    <row r="237" spans="12:16" x14ac:dyDescent="0.3">
      <c r="L237" s="613" t="s">
        <v>1320</v>
      </c>
      <c r="M237" s="613" t="s">
        <v>464</v>
      </c>
      <c r="N237" s="613" t="s">
        <v>464</v>
      </c>
      <c r="O237" s="613"/>
    </row>
    <row r="238" spans="12:16" x14ac:dyDescent="0.3">
      <c r="L238" s="613" t="s">
        <v>437</v>
      </c>
      <c r="M238" s="613" t="s">
        <v>464</v>
      </c>
      <c r="N238" s="613" t="s">
        <v>464</v>
      </c>
      <c r="O238" s="613"/>
    </row>
    <row r="239" spans="12:16" x14ac:dyDescent="0.3">
      <c r="L239" s="613" t="s">
        <v>1321</v>
      </c>
      <c r="M239" s="613" t="s">
        <v>464</v>
      </c>
      <c r="N239" s="613" t="s">
        <v>464</v>
      </c>
      <c r="O239" s="613"/>
    </row>
    <row r="240" spans="12:16" x14ac:dyDescent="0.3">
      <c r="L240" s="613" t="s">
        <v>1322</v>
      </c>
      <c r="M240" s="613" t="s">
        <v>464</v>
      </c>
      <c r="N240" s="613" t="s">
        <v>464</v>
      </c>
      <c r="O240" s="613"/>
    </row>
    <row r="241" spans="12:16" x14ac:dyDescent="0.3">
      <c r="L241" s="613" t="s">
        <v>1323</v>
      </c>
      <c r="M241" s="613" t="s">
        <v>464</v>
      </c>
      <c r="N241" s="613" t="s">
        <v>464</v>
      </c>
      <c r="O241" s="613"/>
    </row>
    <row r="242" spans="12:16" x14ac:dyDescent="0.3">
      <c r="L242" s="613" t="s">
        <v>1324</v>
      </c>
      <c r="M242" s="613" t="s">
        <v>464</v>
      </c>
      <c r="N242" s="613" t="s">
        <v>464</v>
      </c>
      <c r="O242" s="613"/>
    </row>
    <row r="243" spans="12:16" x14ac:dyDescent="0.3">
      <c r="L243" s="613" t="s">
        <v>1325</v>
      </c>
      <c r="M243" s="613" t="s">
        <v>464</v>
      </c>
      <c r="N243" s="613" t="s">
        <v>464</v>
      </c>
      <c r="O243" s="613"/>
    </row>
    <row r="244" spans="12:16" x14ac:dyDescent="0.3">
      <c r="L244" s="613" t="s">
        <v>1326</v>
      </c>
      <c r="M244" s="613" t="s">
        <v>464</v>
      </c>
      <c r="N244" s="613" t="s">
        <v>464</v>
      </c>
      <c r="O244" s="613"/>
    </row>
    <row r="245" spans="12:16" x14ac:dyDescent="0.3">
      <c r="L245" s="613" t="s">
        <v>1327</v>
      </c>
      <c r="M245" s="613" t="s">
        <v>464</v>
      </c>
      <c r="N245" s="613" t="s">
        <v>464</v>
      </c>
      <c r="O245" s="613"/>
    </row>
    <row r="246" spans="12:16" x14ac:dyDescent="0.3">
      <c r="L246" s="613" t="s">
        <v>1328</v>
      </c>
      <c r="M246" s="613" t="s">
        <v>464</v>
      </c>
      <c r="N246" s="613" t="s">
        <v>464</v>
      </c>
      <c r="O246" s="613"/>
    </row>
    <row r="247" spans="12:16" x14ac:dyDescent="0.3">
      <c r="L247" s="613" t="s">
        <v>1329</v>
      </c>
      <c r="M247" s="613" t="s">
        <v>464</v>
      </c>
      <c r="N247" s="613" t="s">
        <v>464</v>
      </c>
      <c r="O247" s="613"/>
    </row>
    <row r="248" spans="12:16" x14ac:dyDescent="0.3">
      <c r="L248" s="613" t="s">
        <v>1330</v>
      </c>
      <c r="M248" s="613" t="s">
        <v>464</v>
      </c>
      <c r="N248" s="613" t="s">
        <v>464</v>
      </c>
      <c r="O248" s="613"/>
    </row>
    <row r="249" spans="12:16" x14ac:dyDescent="0.3">
      <c r="L249" s="613" t="s">
        <v>1331</v>
      </c>
      <c r="M249" s="613" t="s">
        <v>464</v>
      </c>
      <c r="N249" s="613" t="s">
        <v>464</v>
      </c>
      <c r="O249" s="613"/>
    </row>
    <row r="250" spans="12:16" x14ac:dyDescent="0.3">
      <c r="L250" s="613" t="s">
        <v>1332</v>
      </c>
      <c r="M250" s="613" t="s">
        <v>464</v>
      </c>
      <c r="N250" s="613" t="s">
        <v>464</v>
      </c>
      <c r="O250" s="613"/>
    </row>
    <row r="251" spans="12:16" x14ac:dyDescent="0.3">
      <c r="L251" s="613" t="s">
        <v>1333</v>
      </c>
      <c r="M251" s="613" t="s">
        <v>464</v>
      </c>
      <c r="N251" s="613" t="s">
        <v>464</v>
      </c>
      <c r="O251" s="613" t="s">
        <v>1625</v>
      </c>
    </row>
    <row r="252" spans="12:16" x14ac:dyDescent="0.3">
      <c r="L252" s="613" t="s">
        <v>438</v>
      </c>
      <c r="M252" s="613" t="s">
        <v>464</v>
      </c>
      <c r="N252" s="613" t="s">
        <v>464</v>
      </c>
      <c r="O252" s="613"/>
    </row>
    <row r="253" spans="12:16" x14ac:dyDescent="0.3">
      <c r="L253" s="615" t="s">
        <v>1334</v>
      </c>
      <c r="M253" s="615">
        <v>0.03</v>
      </c>
      <c r="N253" s="615">
        <v>0.05</v>
      </c>
      <c r="O253" s="613" t="s">
        <v>1531</v>
      </c>
      <c r="P253" s="622" t="s">
        <v>1527</v>
      </c>
    </row>
    <row r="254" spans="12:16" x14ac:dyDescent="0.3">
      <c r="L254" s="613" t="s">
        <v>1335</v>
      </c>
      <c r="M254" s="613" t="s">
        <v>464</v>
      </c>
      <c r="N254" s="613" t="s">
        <v>464</v>
      </c>
      <c r="O254" s="613"/>
    </row>
    <row r="255" spans="12:16" x14ac:dyDescent="0.3">
      <c r="L255" s="613" t="s">
        <v>1336</v>
      </c>
      <c r="M255" s="613" t="s">
        <v>464</v>
      </c>
      <c r="N255" s="613" t="s">
        <v>464</v>
      </c>
      <c r="O255" s="613"/>
    </row>
    <row r="256" spans="12:16" x14ac:dyDescent="0.3">
      <c r="L256" s="613" t="s">
        <v>1337</v>
      </c>
      <c r="M256" s="613" t="s">
        <v>464</v>
      </c>
      <c r="N256" s="613" t="s">
        <v>464</v>
      </c>
      <c r="O256" s="613"/>
    </row>
    <row r="257" spans="12:16" x14ac:dyDescent="0.3">
      <c r="L257" s="613" t="s">
        <v>1338</v>
      </c>
      <c r="M257" s="613" t="s">
        <v>464</v>
      </c>
      <c r="N257" s="613" t="s">
        <v>464</v>
      </c>
      <c r="O257" s="613"/>
    </row>
    <row r="258" spans="12:16" x14ac:dyDescent="0.3">
      <c r="L258" s="615" t="s">
        <v>1339</v>
      </c>
      <c r="M258" s="615">
        <v>0.03</v>
      </c>
      <c r="N258" s="615">
        <v>0.05</v>
      </c>
      <c r="O258" s="613" t="s">
        <v>1531</v>
      </c>
      <c r="P258" s="622" t="s">
        <v>1527</v>
      </c>
    </row>
    <row r="259" spans="12:16" x14ac:dyDescent="0.3">
      <c r="L259" s="613" t="s">
        <v>1340</v>
      </c>
      <c r="M259" s="613" t="s">
        <v>464</v>
      </c>
      <c r="N259" s="613" t="s">
        <v>464</v>
      </c>
      <c r="O259" s="613"/>
    </row>
    <row r="260" spans="12:16" x14ac:dyDescent="0.3">
      <c r="L260" s="613" t="s">
        <v>1341</v>
      </c>
      <c r="M260" s="613" t="s">
        <v>464</v>
      </c>
      <c r="N260" s="613" t="s">
        <v>464</v>
      </c>
      <c r="O260" s="613"/>
    </row>
    <row r="261" spans="12:16" x14ac:dyDescent="0.3">
      <c r="L261" s="613" t="s">
        <v>1342</v>
      </c>
      <c r="M261" s="613" t="s">
        <v>464</v>
      </c>
      <c r="N261" s="613" t="s">
        <v>464</v>
      </c>
      <c r="O261" s="613"/>
    </row>
    <row r="262" spans="12:16" x14ac:dyDescent="0.3">
      <c r="L262" s="613" t="s">
        <v>1343</v>
      </c>
      <c r="M262" s="613" t="s">
        <v>464</v>
      </c>
      <c r="N262" s="613" t="s">
        <v>464</v>
      </c>
      <c r="O262" s="613"/>
    </row>
    <row r="263" spans="12:16" x14ac:dyDescent="0.3">
      <c r="L263" s="616" t="s">
        <v>1344</v>
      </c>
      <c r="M263" s="616" t="s">
        <v>464</v>
      </c>
      <c r="N263" s="616" t="s">
        <v>464</v>
      </c>
      <c r="O263" s="613" t="s">
        <v>1526</v>
      </c>
    </row>
    <row r="264" spans="12:16" x14ac:dyDescent="0.3">
      <c r="L264" s="613" t="s">
        <v>1345</v>
      </c>
      <c r="M264" s="613" t="s">
        <v>464</v>
      </c>
      <c r="N264" s="613" t="s">
        <v>464</v>
      </c>
      <c r="O264" s="613"/>
    </row>
    <row r="265" spans="12:16" x14ac:dyDescent="0.3">
      <c r="L265" s="613" t="s">
        <v>1346</v>
      </c>
      <c r="M265" s="613" t="s">
        <v>464</v>
      </c>
      <c r="N265" s="613" t="s">
        <v>464</v>
      </c>
      <c r="O265" s="613"/>
    </row>
    <row r="266" spans="12:16" x14ac:dyDescent="0.3">
      <c r="L266" s="613" t="s">
        <v>1347</v>
      </c>
      <c r="M266" s="613" t="s">
        <v>464</v>
      </c>
      <c r="N266" s="613" t="s">
        <v>464</v>
      </c>
      <c r="O266" s="613"/>
    </row>
    <row r="267" spans="12:16" x14ac:dyDescent="0.3">
      <c r="L267" s="613" t="s">
        <v>1348</v>
      </c>
      <c r="M267" s="613" t="s">
        <v>464</v>
      </c>
      <c r="N267" s="613" t="s">
        <v>464</v>
      </c>
      <c r="O267" s="613"/>
    </row>
    <row r="268" spans="12:16" x14ac:dyDescent="0.3">
      <c r="L268" s="615" t="s">
        <v>1349</v>
      </c>
      <c r="M268" s="615">
        <v>0.03</v>
      </c>
      <c r="N268" s="615">
        <v>0.05</v>
      </c>
      <c r="O268" s="613" t="s">
        <v>1531</v>
      </c>
      <c r="P268" s="622" t="s">
        <v>1527</v>
      </c>
    </row>
    <row r="269" spans="12:16" x14ac:dyDescent="0.3">
      <c r="L269" s="613" t="s">
        <v>1350</v>
      </c>
      <c r="M269" s="613" t="s">
        <v>464</v>
      </c>
      <c r="N269" s="613" t="s">
        <v>464</v>
      </c>
      <c r="O269" s="613"/>
    </row>
    <row r="270" spans="12:16" x14ac:dyDescent="0.3">
      <c r="L270" s="613" t="s">
        <v>1351</v>
      </c>
      <c r="M270" s="613" t="s">
        <v>464</v>
      </c>
      <c r="N270" s="613" t="s">
        <v>464</v>
      </c>
      <c r="O270" s="613"/>
    </row>
    <row r="271" spans="12:16" x14ac:dyDescent="0.3">
      <c r="L271" s="613" t="s">
        <v>1352</v>
      </c>
      <c r="M271" s="613" t="s">
        <v>464</v>
      </c>
      <c r="N271" s="613" t="s">
        <v>464</v>
      </c>
      <c r="O271" s="613"/>
    </row>
    <row r="272" spans="12:16" x14ac:dyDescent="0.3">
      <c r="L272" s="613" t="s">
        <v>1353</v>
      </c>
      <c r="M272" s="613" t="s">
        <v>464</v>
      </c>
      <c r="N272" s="613" t="s">
        <v>464</v>
      </c>
      <c r="O272" s="613"/>
    </row>
    <row r="273" spans="12:16" x14ac:dyDescent="0.3">
      <c r="L273" s="613" t="s">
        <v>1354</v>
      </c>
      <c r="M273" s="613" t="s">
        <v>464</v>
      </c>
      <c r="N273" s="613" t="s">
        <v>464</v>
      </c>
      <c r="O273" s="613"/>
    </row>
    <row r="274" spans="12:16" x14ac:dyDescent="0.3">
      <c r="L274" s="613" t="s">
        <v>1355</v>
      </c>
      <c r="M274" s="613" t="s">
        <v>464</v>
      </c>
      <c r="N274" s="613" t="s">
        <v>464</v>
      </c>
      <c r="O274" s="613"/>
    </row>
    <row r="275" spans="12:16" x14ac:dyDescent="0.3">
      <c r="L275" s="616" t="s">
        <v>1356</v>
      </c>
      <c r="M275" s="616">
        <v>0.03</v>
      </c>
      <c r="N275" s="616">
        <v>0.03</v>
      </c>
      <c r="O275" s="613" t="s">
        <v>1526</v>
      </c>
    </row>
    <row r="276" spans="12:16" x14ac:dyDescent="0.3">
      <c r="L276" s="613" t="s">
        <v>1357</v>
      </c>
      <c r="M276" s="613" t="s">
        <v>464</v>
      </c>
      <c r="N276" s="613" t="s">
        <v>464</v>
      </c>
      <c r="O276" s="613"/>
    </row>
    <row r="277" spans="12:16" x14ac:dyDescent="0.3">
      <c r="L277" s="613" t="s">
        <v>1358</v>
      </c>
      <c r="M277" s="613" t="s">
        <v>464</v>
      </c>
      <c r="N277" s="613" t="s">
        <v>464</v>
      </c>
      <c r="O277" s="613"/>
    </row>
    <row r="278" spans="12:16" x14ac:dyDescent="0.3">
      <c r="L278" s="613" t="s">
        <v>1359</v>
      </c>
      <c r="M278" s="613" t="s">
        <v>464</v>
      </c>
      <c r="N278" s="613" t="s">
        <v>464</v>
      </c>
      <c r="O278" s="613"/>
    </row>
    <row r="279" spans="12:16" x14ac:dyDescent="0.3">
      <c r="L279" s="616" t="s">
        <v>1360</v>
      </c>
      <c r="M279" s="616" t="s">
        <v>464</v>
      </c>
      <c r="N279" s="616" t="s">
        <v>464</v>
      </c>
      <c r="O279" s="613" t="s">
        <v>1526</v>
      </c>
    </row>
    <row r="280" spans="12:16" x14ac:dyDescent="0.3">
      <c r="L280" s="613" t="s">
        <v>1361</v>
      </c>
      <c r="M280" s="613" t="s">
        <v>464</v>
      </c>
      <c r="N280" s="613" t="s">
        <v>464</v>
      </c>
      <c r="O280" s="613"/>
    </row>
    <row r="281" spans="12:16" x14ac:dyDescent="0.3">
      <c r="L281" s="613" t="s">
        <v>1362</v>
      </c>
      <c r="M281" s="613" t="s">
        <v>464</v>
      </c>
      <c r="N281" s="613" t="s">
        <v>464</v>
      </c>
      <c r="O281" s="613"/>
    </row>
    <row r="282" spans="12:16" x14ac:dyDescent="0.3">
      <c r="L282" s="613" t="s">
        <v>1363</v>
      </c>
      <c r="M282" s="613" t="s">
        <v>464</v>
      </c>
      <c r="N282" s="613" t="s">
        <v>464</v>
      </c>
      <c r="O282" s="613"/>
    </row>
    <row r="283" spans="12:16" x14ac:dyDescent="0.3">
      <c r="L283" s="613" t="s">
        <v>1364</v>
      </c>
      <c r="M283" s="613" t="s">
        <v>464</v>
      </c>
      <c r="N283" s="613" t="s">
        <v>464</v>
      </c>
      <c r="O283" s="613"/>
    </row>
    <row r="284" spans="12:16" x14ac:dyDescent="0.3">
      <c r="L284" s="615" t="s">
        <v>1365</v>
      </c>
      <c r="M284" s="615">
        <v>0.03</v>
      </c>
      <c r="N284" s="615">
        <v>0.05</v>
      </c>
      <c r="O284" s="613" t="s">
        <v>1531</v>
      </c>
      <c r="P284" s="622" t="s">
        <v>1527</v>
      </c>
    </row>
    <row r="285" spans="12:16" x14ac:dyDescent="0.3">
      <c r="L285" s="613" t="s">
        <v>439</v>
      </c>
      <c r="M285" s="613" t="s">
        <v>464</v>
      </c>
      <c r="N285" s="613" t="s">
        <v>464</v>
      </c>
      <c r="O285" s="613"/>
    </row>
    <row r="286" spans="12:16" x14ac:dyDescent="0.3">
      <c r="L286" s="613" t="s">
        <v>1366</v>
      </c>
      <c r="M286" s="613" t="s">
        <v>464</v>
      </c>
      <c r="N286" s="613" t="s">
        <v>464</v>
      </c>
      <c r="O286" s="613" t="s">
        <v>1625</v>
      </c>
    </row>
    <row r="287" spans="12:16" x14ac:dyDescent="0.3">
      <c r="L287" s="613" t="s">
        <v>440</v>
      </c>
      <c r="M287" s="613" t="s">
        <v>464</v>
      </c>
      <c r="N287" s="613" t="s">
        <v>464</v>
      </c>
      <c r="O287" s="613"/>
    </row>
    <row r="288" spans="12:16" x14ac:dyDescent="0.3">
      <c r="L288" s="613" t="s">
        <v>1367</v>
      </c>
      <c r="M288" s="613" t="s">
        <v>464</v>
      </c>
      <c r="N288" s="613" t="s">
        <v>464</v>
      </c>
      <c r="O288" s="613"/>
    </row>
    <row r="289" spans="12:16" x14ac:dyDescent="0.3">
      <c r="L289" s="615" t="s">
        <v>441</v>
      </c>
      <c r="M289" s="615">
        <v>0.03</v>
      </c>
      <c r="N289" s="615">
        <v>0.05</v>
      </c>
      <c r="O289" s="613" t="s">
        <v>1531</v>
      </c>
      <c r="P289" s="622" t="s">
        <v>1527</v>
      </c>
    </row>
    <row r="290" spans="12:16" x14ac:dyDescent="0.3">
      <c r="L290" s="613" t="s">
        <v>442</v>
      </c>
      <c r="M290" s="613" t="s">
        <v>464</v>
      </c>
      <c r="N290" s="613" t="s">
        <v>464</v>
      </c>
      <c r="O290" s="613" t="s">
        <v>1625</v>
      </c>
    </row>
    <row r="291" spans="12:16" x14ac:dyDescent="0.3">
      <c r="L291" s="613" t="s">
        <v>392</v>
      </c>
      <c r="M291" s="613" t="s">
        <v>464</v>
      </c>
      <c r="N291" s="613" t="s">
        <v>464</v>
      </c>
      <c r="O291" s="613"/>
    </row>
    <row r="292" spans="12:16" x14ac:dyDescent="0.3">
      <c r="L292" s="613" t="s">
        <v>1368</v>
      </c>
      <c r="M292" s="613" t="s">
        <v>464</v>
      </c>
      <c r="N292" s="613" t="s">
        <v>464</v>
      </c>
      <c r="O292" s="613"/>
    </row>
    <row r="293" spans="12:16" x14ac:dyDescent="0.3">
      <c r="L293" s="613" t="s">
        <v>1369</v>
      </c>
      <c r="M293" s="613" t="s">
        <v>464</v>
      </c>
      <c r="N293" s="613" t="s">
        <v>464</v>
      </c>
      <c r="O293" s="613"/>
    </row>
    <row r="294" spans="12:16" x14ac:dyDescent="0.3">
      <c r="L294" s="613" t="s">
        <v>443</v>
      </c>
      <c r="M294" s="613" t="s">
        <v>464</v>
      </c>
      <c r="N294" s="613" t="s">
        <v>464</v>
      </c>
      <c r="O294" s="613"/>
    </row>
    <row r="295" spans="12:16" x14ac:dyDescent="0.3">
      <c r="L295" s="616" t="s">
        <v>1370</v>
      </c>
      <c r="M295" s="616">
        <v>0.03</v>
      </c>
      <c r="N295" s="616" t="s">
        <v>464</v>
      </c>
      <c r="O295" s="613" t="s">
        <v>1526</v>
      </c>
    </row>
    <row r="296" spans="12:16" x14ac:dyDescent="0.3">
      <c r="L296" s="613" t="s">
        <v>1371</v>
      </c>
      <c r="M296" s="613" t="s">
        <v>464</v>
      </c>
      <c r="N296" s="613" t="s">
        <v>464</v>
      </c>
      <c r="O296" s="613"/>
    </row>
    <row r="297" spans="12:16" x14ac:dyDescent="0.3">
      <c r="L297" s="613" t="s">
        <v>1372</v>
      </c>
      <c r="M297" s="613" t="s">
        <v>464</v>
      </c>
      <c r="N297" s="613" t="s">
        <v>464</v>
      </c>
      <c r="O297" s="613"/>
    </row>
    <row r="298" spans="12:16" x14ac:dyDescent="0.3">
      <c r="L298" s="613" t="s">
        <v>1373</v>
      </c>
      <c r="M298" s="613" t="s">
        <v>464</v>
      </c>
      <c r="N298" s="613" t="s">
        <v>464</v>
      </c>
      <c r="O298" s="613"/>
    </row>
    <row r="299" spans="12:16" x14ac:dyDescent="0.3">
      <c r="L299" s="613" t="s">
        <v>1374</v>
      </c>
      <c r="M299" s="613" t="s">
        <v>464</v>
      </c>
      <c r="N299" s="613" t="s">
        <v>464</v>
      </c>
      <c r="O299" s="613"/>
    </row>
    <row r="300" spans="12:16" x14ac:dyDescent="0.3">
      <c r="L300" s="613" t="s">
        <v>1375</v>
      </c>
      <c r="M300" s="613" t="s">
        <v>464</v>
      </c>
      <c r="N300" s="613" t="s">
        <v>464</v>
      </c>
      <c r="O300" s="613"/>
    </row>
    <row r="301" spans="12:16" x14ac:dyDescent="0.3">
      <c r="L301" s="613" t="s">
        <v>1376</v>
      </c>
      <c r="M301" s="613" t="s">
        <v>464</v>
      </c>
      <c r="N301" s="613" t="s">
        <v>464</v>
      </c>
      <c r="O301" s="613"/>
    </row>
    <row r="302" spans="12:16" x14ac:dyDescent="0.3">
      <c r="L302" s="613" t="s">
        <v>1377</v>
      </c>
      <c r="M302" s="613" t="s">
        <v>464</v>
      </c>
      <c r="N302" s="613" t="s">
        <v>464</v>
      </c>
      <c r="O302" s="613"/>
    </row>
    <row r="303" spans="12:16" x14ac:dyDescent="0.3">
      <c r="L303" s="613" t="s">
        <v>1378</v>
      </c>
      <c r="M303" s="613" t="s">
        <v>464</v>
      </c>
      <c r="N303" s="613" t="s">
        <v>464</v>
      </c>
      <c r="O303" s="613"/>
    </row>
    <row r="304" spans="12:16" x14ac:dyDescent="0.3">
      <c r="L304" s="613" t="s">
        <v>1379</v>
      </c>
      <c r="M304" s="613" t="s">
        <v>464</v>
      </c>
      <c r="N304" s="613" t="s">
        <v>464</v>
      </c>
      <c r="O304" s="613"/>
    </row>
    <row r="305" spans="12:15" x14ac:dyDescent="0.3">
      <c r="L305" s="613" t="s">
        <v>1380</v>
      </c>
      <c r="M305" s="613" t="s">
        <v>464</v>
      </c>
      <c r="N305" s="613" t="s">
        <v>464</v>
      </c>
      <c r="O305" s="613"/>
    </row>
    <row r="306" spans="12:15" x14ac:dyDescent="0.3">
      <c r="L306" s="613" t="s">
        <v>444</v>
      </c>
      <c r="M306" s="613" t="s">
        <v>464</v>
      </c>
      <c r="N306" s="613" t="s">
        <v>464</v>
      </c>
      <c r="O306" s="613"/>
    </row>
    <row r="307" spans="12:15" x14ac:dyDescent="0.3">
      <c r="L307" s="613" t="s">
        <v>1381</v>
      </c>
      <c r="M307" s="613" t="s">
        <v>464</v>
      </c>
      <c r="N307" s="613" t="s">
        <v>464</v>
      </c>
      <c r="O307" s="613"/>
    </row>
    <row r="308" spans="12:15" x14ac:dyDescent="0.3">
      <c r="L308" s="613" t="s">
        <v>1382</v>
      </c>
      <c r="M308" s="613" t="s">
        <v>464</v>
      </c>
      <c r="N308" s="613" t="s">
        <v>464</v>
      </c>
      <c r="O308" s="613"/>
    </row>
    <row r="309" spans="12:15" x14ac:dyDescent="0.3">
      <c r="L309" s="613" t="s">
        <v>1383</v>
      </c>
      <c r="M309" s="613" t="s">
        <v>464</v>
      </c>
      <c r="N309" s="613" t="s">
        <v>464</v>
      </c>
      <c r="O309" s="613"/>
    </row>
    <row r="310" spans="12:15" x14ac:dyDescent="0.3">
      <c r="L310" s="613" t="s">
        <v>1384</v>
      </c>
      <c r="M310" s="613" t="s">
        <v>464</v>
      </c>
      <c r="N310" s="613" t="s">
        <v>464</v>
      </c>
      <c r="O310" s="613"/>
    </row>
    <row r="311" spans="12:15" x14ac:dyDescent="0.3">
      <c r="L311" s="613" t="s">
        <v>1385</v>
      </c>
      <c r="M311" s="613" t="s">
        <v>464</v>
      </c>
      <c r="N311" s="613" t="s">
        <v>464</v>
      </c>
      <c r="O311" s="613"/>
    </row>
    <row r="312" spans="12:15" x14ac:dyDescent="0.3">
      <c r="L312" s="613" t="s">
        <v>836</v>
      </c>
      <c r="M312" s="613" t="s">
        <v>464</v>
      </c>
      <c r="N312" s="613" t="s">
        <v>464</v>
      </c>
      <c r="O312" s="613"/>
    </row>
    <row r="313" spans="12:15" x14ac:dyDescent="0.3">
      <c r="L313" s="613" t="s">
        <v>837</v>
      </c>
      <c r="M313" s="613" t="s">
        <v>464</v>
      </c>
      <c r="N313" s="613" t="s">
        <v>464</v>
      </c>
      <c r="O313" s="613"/>
    </row>
    <row r="314" spans="12:15" x14ac:dyDescent="0.3">
      <c r="L314" s="613" t="s">
        <v>1386</v>
      </c>
      <c r="M314" s="613" t="s">
        <v>464</v>
      </c>
      <c r="N314" s="613" t="s">
        <v>464</v>
      </c>
      <c r="O314" s="613"/>
    </row>
    <row r="315" spans="12:15" x14ac:dyDescent="0.3">
      <c r="L315" s="613" t="s">
        <v>1387</v>
      </c>
      <c r="M315" s="613" t="s">
        <v>464</v>
      </c>
      <c r="N315" s="613" t="s">
        <v>464</v>
      </c>
      <c r="O315" s="613"/>
    </row>
    <row r="316" spans="12:15" x14ac:dyDescent="0.3">
      <c r="L316" s="613" t="s">
        <v>1388</v>
      </c>
      <c r="M316" s="613" t="s">
        <v>464</v>
      </c>
      <c r="N316" s="613" t="s">
        <v>464</v>
      </c>
      <c r="O316" s="613"/>
    </row>
    <row r="317" spans="12:15" x14ac:dyDescent="0.3">
      <c r="L317" s="613" t="s">
        <v>1389</v>
      </c>
      <c r="M317" s="613" t="s">
        <v>464</v>
      </c>
      <c r="N317" s="613" t="s">
        <v>464</v>
      </c>
      <c r="O317" s="613"/>
    </row>
    <row r="318" spans="12:15" x14ac:dyDescent="0.3">
      <c r="L318" s="613" t="s">
        <v>524</v>
      </c>
      <c r="M318" s="613" t="s">
        <v>464</v>
      </c>
      <c r="N318" s="613" t="s">
        <v>464</v>
      </c>
      <c r="O318" s="613"/>
    </row>
    <row r="319" spans="12:15" x14ac:dyDescent="0.3">
      <c r="L319" s="613" t="s">
        <v>1390</v>
      </c>
      <c r="M319" s="613" t="s">
        <v>464</v>
      </c>
      <c r="N319" s="613" t="s">
        <v>464</v>
      </c>
      <c r="O319" s="613"/>
    </row>
    <row r="320" spans="12:15" x14ac:dyDescent="0.3">
      <c r="L320" s="613" t="s">
        <v>1391</v>
      </c>
      <c r="M320" s="613" t="s">
        <v>464</v>
      </c>
      <c r="N320" s="613" t="s">
        <v>464</v>
      </c>
      <c r="O320" s="613"/>
    </row>
    <row r="321" spans="12:15" x14ac:dyDescent="0.3">
      <c r="L321" s="613" t="s">
        <v>838</v>
      </c>
      <c r="M321" s="613" t="s">
        <v>464</v>
      </c>
      <c r="N321" s="613" t="s">
        <v>464</v>
      </c>
      <c r="O321" s="613"/>
    </row>
    <row r="322" spans="12:15" x14ac:dyDescent="0.3">
      <c r="L322" s="613" t="s">
        <v>1392</v>
      </c>
      <c r="M322" s="613" t="s">
        <v>464</v>
      </c>
      <c r="N322" s="613" t="s">
        <v>464</v>
      </c>
      <c r="O322" s="613"/>
    </row>
    <row r="323" spans="12:15" x14ac:dyDescent="0.3">
      <c r="L323" s="613" t="s">
        <v>1393</v>
      </c>
      <c r="M323" s="613" t="s">
        <v>464</v>
      </c>
      <c r="N323" s="613" t="s">
        <v>464</v>
      </c>
      <c r="O323" s="613"/>
    </row>
    <row r="324" spans="12:15" x14ac:dyDescent="0.3">
      <c r="L324" s="613" t="s">
        <v>1394</v>
      </c>
      <c r="M324" s="613" t="s">
        <v>464</v>
      </c>
      <c r="N324" s="613" t="s">
        <v>464</v>
      </c>
      <c r="O324" s="613"/>
    </row>
    <row r="325" spans="12:15" x14ac:dyDescent="0.3">
      <c r="L325" s="616" t="s">
        <v>1395</v>
      </c>
      <c r="M325" s="616">
        <v>0.01</v>
      </c>
      <c r="N325" s="616" t="s">
        <v>464</v>
      </c>
      <c r="O325" s="613" t="s">
        <v>1526</v>
      </c>
    </row>
    <row r="326" spans="12:15" x14ac:dyDescent="0.3">
      <c r="L326" s="613" t="s">
        <v>525</v>
      </c>
      <c r="M326" s="613" t="s">
        <v>464</v>
      </c>
      <c r="N326" s="613" t="s">
        <v>464</v>
      </c>
      <c r="O326" s="613"/>
    </row>
    <row r="327" spans="12:15" x14ac:dyDescent="0.3">
      <c r="L327" s="613" t="s">
        <v>1396</v>
      </c>
      <c r="M327" s="613" t="s">
        <v>464</v>
      </c>
      <c r="N327" s="613" t="s">
        <v>464</v>
      </c>
      <c r="O327" s="613"/>
    </row>
    <row r="328" spans="12:15" x14ac:dyDescent="0.3">
      <c r="L328" s="613" t="s">
        <v>1397</v>
      </c>
      <c r="M328" s="613" t="s">
        <v>464</v>
      </c>
      <c r="N328" s="613" t="s">
        <v>464</v>
      </c>
      <c r="O328" s="613"/>
    </row>
    <row r="329" spans="12:15" x14ac:dyDescent="0.3">
      <c r="L329" s="613" t="s">
        <v>1398</v>
      </c>
      <c r="M329" s="613" t="s">
        <v>464</v>
      </c>
      <c r="N329" s="613" t="s">
        <v>464</v>
      </c>
      <c r="O329" s="613"/>
    </row>
    <row r="330" spans="12:15" x14ac:dyDescent="0.3">
      <c r="L330" s="616" t="s">
        <v>1399</v>
      </c>
      <c r="M330" s="616" t="s">
        <v>464</v>
      </c>
      <c r="N330" s="616" t="s">
        <v>464</v>
      </c>
      <c r="O330" s="613" t="s">
        <v>1526</v>
      </c>
    </row>
    <row r="331" spans="12:15" x14ac:dyDescent="0.3">
      <c r="L331" s="613" t="s">
        <v>1400</v>
      </c>
      <c r="M331" s="613" t="s">
        <v>464</v>
      </c>
      <c r="N331" s="613" t="s">
        <v>464</v>
      </c>
      <c r="O331" s="613"/>
    </row>
    <row r="332" spans="12:15" x14ac:dyDescent="0.3">
      <c r="L332" s="613" t="s">
        <v>1401</v>
      </c>
      <c r="M332" s="613" t="s">
        <v>464</v>
      </c>
      <c r="N332" s="613" t="s">
        <v>464</v>
      </c>
      <c r="O332" s="613"/>
    </row>
    <row r="333" spans="12:15" x14ac:dyDescent="0.3">
      <c r="L333" s="613" t="s">
        <v>1402</v>
      </c>
      <c r="M333" s="613" t="s">
        <v>464</v>
      </c>
      <c r="N333" s="613" t="s">
        <v>464</v>
      </c>
      <c r="O333" s="613"/>
    </row>
    <row r="334" spans="12:15" x14ac:dyDescent="0.3">
      <c r="L334" s="613" t="s">
        <v>1403</v>
      </c>
      <c r="M334" s="613" t="s">
        <v>464</v>
      </c>
      <c r="N334" s="613" t="s">
        <v>464</v>
      </c>
      <c r="O334" s="613"/>
    </row>
    <row r="335" spans="12:15" x14ac:dyDescent="0.3">
      <c r="L335" s="613" t="s">
        <v>839</v>
      </c>
      <c r="M335" s="613" t="s">
        <v>464</v>
      </c>
      <c r="N335" s="613" t="s">
        <v>464</v>
      </c>
      <c r="O335" s="613"/>
    </row>
    <row r="336" spans="12:15" x14ac:dyDescent="0.3">
      <c r="L336" s="613" t="s">
        <v>526</v>
      </c>
      <c r="M336" s="613" t="s">
        <v>464</v>
      </c>
      <c r="N336" s="613" t="s">
        <v>464</v>
      </c>
      <c r="O336" s="613"/>
    </row>
    <row r="337" spans="12:16" x14ac:dyDescent="0.3">
      <c r="L337" s="613" t="s">
        <v>1404</v>
      </c>
      <c r="M337" s="613" t="s">
        <v>464</v>
      </c>
      <c r="N337" s="613" t="s">
        <v>464</v>
      </c>
      <c r="O337" s="613"/>
    </row>
    <row r="338" spans="12:16" x14ac:dyDescent="0.3">
      <c r="L338" s="613" t="s">
        <v>1405</v>
      </c>
      <c r="M338" s="613" t="s">
        <v>464</v>
      </c>
      <c r="N338" s="613" t="s">
        <v>464</v>
      </c>
      <c r="O338" s="613"/>
    </row>
    <row r="339" spans="12:16" x14ac:dyDescent="0.3">
      <c r="L339" s="613" t="s">
        <v>1406</v>
      </c>
      <c r="M339" s="613" t="s">
        <v>464</v>
      </c>
      <c r="N339" s="613" t="s">
        <v>464</v>
      </c>
      <c r="O339" s="613"/>
    </row>
    <row r="340" spans="12:16" x14ac:dyDescent="0.3">
      <c r="L340" s="613" t="s">
        <v>1407</v>
      </c>
      <c r="M340" s="613" t="s">
        <v>464</v>
      </c>
      <c r="N340" s="613" t="s">
        <v>464</v>
      </c>
      <c r="O340" s="613"/>
    </row>
    <row r="341" spans="12:16" x14ac:dyDescent="0.3">
      <c r="L341" s="613" t="s">
        <v>1408</v>
      </c>
      <c r="M341" s="613" t="s">
        <v>464</v>
      </c>
      <c r="N341" s="613" t="s">
        <v>464</v>
      </c>
      <c r="O341" s="613"/>
    </row>
    <row r="342" spans="12:16" x14ac:dyDescent="0.3">
      <c r="L342" s="613" t="s">
        <v>527</v>
      </c>
      <c r="M342" s="613" t="s">
        <v>464</v>
      </c>
      <c r="N342" s="613" t="s">
        <v>464</v>
      </c>
      <c r="O342" s="613"/>
    </row>
    <row r="343" spans="12:16" x14ac:dyDescent="0.3">
      <c r="L343" s="615" t="s">
        <v>1409</v>
      </c>
      <c r="M343" s="615">
        <v>0.03</v>
      </c>
      <c r="N343" s="615">
        <v>0.05</v>
      </c>
      <c r="O343" s="613" t="s">
        <v>1531</v>
      </c>
      <c r="P343" s="622" t="s">
        <v>1527</v>
      </c>
    </row>
    <row r="344" spans="12:16" x14ac:dyDescent="0.3">
      <c r="L344" s="613" t="s">
        <v>1410</v>
      </c>
      <c r="M344" s="613" t="s">
        <v>464</v>
      </c>
      <c r="N344" s="613" t="s">
        <v>464</v>
      </c>
      <c r="O344" s="613"/>
    </row>
    <row r="345" spans="12:16" x14ac:dyDescent="0.3">
      <c r="L345" s="613" t="s">
        <v>1411</v>
      </c>
      <c r="M345" s="613" t="s">
        <v>464</v>
      </c>
      <c r="N345" s="613" t="s">
        <v>464</v>
      </c>
      <c r="O345" s="613"/>
    </row>
    <row r="346" spans="12:16" x14ac:dyDescent="0.3">
      <c r="L346" s="613" t="s">
        <v>528</v>
      </c>
      <c r="M346" s="613" t="s">
        <v>464</v>
      </c>
      <c r="N346" s="613" t="s">
        <v>464</v>
      </c>
      <c r="O346" s="613"/>
    </row>
    <row r="347" spans="12:16" x14ac:dyDescent="0.3">
      <c r="L347" s="616" t="s">
        <v>1412</v>
      </c>
      <c r="M347" s="616" t="s">
        <v>464</v>
      </c>
      <c r="N347" s="616" t="s">
        <v>464</v>
      </c>
      <c r="O347" s="613" t="s">
        <v>1526</v>
      </c>
    </row>
    <row r="348" spans="12:16" x14ac:dyDescent="0.3">
      <c r="L348" s="613" t="s">
        <v>529</v>
      </c>
      <c r="M348" s="613" t="s">
        <v>464</v>
      </c>
      <c r="N348" s="613" t="s">
        <v>464</v>
      </c>
      <c r="O348" s="613"/>
    </row>
    <row r="349" spans="12:16" x14ac:dyDescent="0.3">
      <c r="L349" s="613" t="s">
        <v>530</v>
      </c>
      <c r="M349" s="613" t="s">
        <v>464</v>
      </c>
      <c r="N349" s="613" t="s">
        <v>464</v>
      </c>
      <c r="O349" s="613"/>
    </row>
    <row r="350" spans="12:16" x14ac:dyDescent="0.3">
      <c r="L350" s="613" t="s">
        <v>531</v>
      </c>
      <c r="M350" s="613" t="s">
        <v>464</v>
      </c>
      <c r="N350" s="613" t="s">
        <v>464</v>
      </c>
      <c r="O350" s="613"/>
    </row>
    <row r="351" spans="12:16" x14ac:dyDescent="0.3">
      <c r="L351" s="613" t="s">
        <v>1413</v>
      </c>
      <c r="M351" s="613" t="s">
        <v>464</v>
      </c>
      <c r="N351" s="613" t="s">
        <v>464</v>
      </c>
      <c r="O351" s="613"/>
    </row>
    <row r="352" spans="12:16" x14ac:dyDescent="0.3">
      <c r="L352" s="613" t="s">
        <v>1414</v>
      </c>
      <c r="M352" s="613" t="s">
        <v>464</v>
      </c>
      <c r="N352" s="613" t="s">
        <v>464</v>
      </c>
      <c r="O352" s="613"/>
    </row>
    <row r="353" spans="12:15" x14ac:dyDescent="0.3">
      <c r="L353" s="613" t="s">
        <v>1415</v>
      </c>
      <c r="M353" s="613" t="s">
        <v>464</v>
      </c>
      <c r="N353" s="613" t="s">
        <v>464</v>
      </c>
      <c r="O353" s="613"/>
    </row>
    <row r="354" spans="12:15" x14ac:dyDescent="0.3">
      <c r="L354" s="613" t="s">
        <v>533</v>
      </c>
      <c r="M354" s="613" t="s">
        <v>464</v>
      </c>
      <c r="N354" s="613" t="s">
        <v>464</v>
      </c>
      <c r="O354" s="613"/>
    </row>
    <row r="355" spans="12:15" x14ac:dyDescent="0.3">
      <c r="L355" s="613" t="s">
        <v>534</v>
      </c>
      <c r="M355" s="613" t="s">
        <v>464</v>
      </c>
      <c r="N355" s="613" t="s">
        <v>464</v>
      </c>
      <c r="O355" s="613" t="s">
        <v>1625</v>
      </c>
    </row>
    <row r="356" spans="12:15" x14ac:dyDescent="0.3">
      <c r="L356" s="613" t="s">
        <v>1416</v>
      </c>
      <c r="M356" s="613" t="s">
        <v>464</v>
      </c>
      <c r="N356" s="613" t="s">
        <v>464</v>
      </c>
      <c r="O356" s="613"/>
    </row>
    <row r="357" spans="12:15" x14ac:dyDescent="0.3">
      <c r="L357" s="613" t="s">
        <v>1417</v>
      </c>
      <c r="M357" s="613" t="s">
        <v>464</v>
      </c>
      <c r="N357" s="613" t="s">
        <v>464</v>
      </c>
      <c r="O357" s="613"/>
    </row>
    <row r="358" spans="12:15" x14ac:dyDescent="0.3">
      <c r="L358" s="613" t="s">
        <v>1418</v>
      </c>
      <c r="M358" s="613" t="s">
        <v>464</v>
      </c>
      <c r="N358" s="613" t="s">
        <v>464</v>
      </c>
      <c r="O358" s="613"/>
    </row>
    <row r="359" spans="12:15" x14ac:dyDescent="0.3">
      <c r="L359" s="613" t="s">
        <v>1419</v>
      </c>
      <c r="M359" s="613" t="s">
        <v>464</v>
      </c>
      <c r="N359" s="613" t="s">
        <v>464</v>
      </c>
      <c r="O359" s="613"/>
    </row>
    <row r="360" spans="12:15" x14ac:dyDescent="0.3">
      <c r="L360" s="613" t="s">
        <v>1420</v>
      </c>
      <c r="M360" s="613" t="s">
        <v>464</v>
      </c>
      <c r="N360" s="613" t="s">
        <v>464</v>
      </c>
      <c r="O360" s="613"/>
    </row>
    <row r="361" spans="12:15" x14ac:dyDescent="0.3">
      <c r="L361" s="613" t="s">
        <v>1421</v>
      </c>
      <c r="M361" s="613" t="s">
        <v>464</v>
      </c>
      <c r="N361" s="613" t="s">
        <v>464</v>
      </c>
      <c r="O361" s="613"/>
    </row>
    <row r="362" spans="12:15" x14ac:dyDescent="0.3">
      <c r="L362" s="613" t="s">
        <v>1422</v>
      </c>
      <c r="M362" s="613" t="s">
        <v>464</v>
      </c>
      <c r="N362" s="613" t="s">
        <v>464</v>
      </c>
      <c r="O362" s="613"/>
    </row>
    <row r="363" spans="12:15" x14ac:dyDescent="0.3">
      <c r="L363" s="613" t="s">
        <v>1423</v>
      </c>
      <c r="M363" s="613" t="s">
        <v>464</v>
      </c>
      <c r="N363" s="613" t="s">
        <v>464</v>
      </c>
      <c r="O363" s="613"/>
    </row>
    <row r="364" spans="12:15" x14ac:dyDescent="0.3">
      <c r="L364" s="613" t="s">
        <v>1424</v>
      </c>
      <c r="M364" s="613" t="s">
        <v>464</v>
      </c>
      <c r="N364" s="613" t="s">
        <v>464</v>
      </c>
      <c r="O364" s="613"/>
    </row>
    <row r="365" spans="12:15" x14ac:dyDescent="0.3">
      <c r="L365" s="613" t="s">
        <v>1425</v>
      </c>
      <c r="M365" s="613" t="s">
        <v>464</v>
      </c>
      <c r="N365" s="613" t="s">
        <v>464</v>
      </c>
      <c r="O365" s="613"/>
    </row>
    <row r="366" spans="12:15" x14ac:dyDescent="0.3">
      <c r="L366" s="613" t="s">
        <v>1426</v>
      </c>
      <c r="M366" s="613" t="s">
        <v>464</v>
      </c>
      <c r="N366" s="613" t="s">
        <v>464</v>
      </c>
      <c r="O366" s="613"/>
    </row>
    <row r="367" spans="12:15" x14ac:dyDescent="0.3">
      <c r="L367" s="613" t="s">
        <v>1427</v>
      </c>
      <c r="M367" s="613" t="s">
        <v>464</v>
      </c>
      <c r="N367" s="613" t="s">
        <v>464</v>
      </c>
      <c r="O367" s="613"/>
    </row>
    <row r="368" spans="12:15" x14ac:dyDescent="0.3">
      <c r="L368" s="613" t="s">
        <v>1428</v>
      </c>
      <c r="M368" s="613" t="s">
        <v>464</v>
      </c>
      <c r="N368" s="613" t="s">
        <v>464</v>
      </c>
      <c r="O368" s="613"/>
    </row>
    <row r="369" spans="12:16" x14ac:dyDescent="0.3">
      <c r="L369" s="613" t="s">
        <v>1429</v>
      </c>
      <c r="M369" s="613" t="s">
        <v>464</v>
      </c>
      <c r="N369" s="613" t="s">
        <v>464</v>
      </c>
      <c r="O369" s="613"/>
    </row>
    <row r="370" spans="12:16" x14ac:dyDescent="0.3">
      <c r="L370" s="613" t="s">
        <v>1430</v>
      </c>
      <c r="M370" s="613" t="s">
        <v>464</v>
      </c>
      <c r="N370" s="613" t="s">
        <v>464</v>
      </c>
      <c r="O370" s="613"/>
    </row>
    <row r="371" spans="12:16" x14ac:dyDescent="0.3">
      <c r="L371" s="613" t="s">
        <v>1431</v>
      </c>
      <c r="M371" s="613" t="s">
        <v>464</v>
      </c>
      <c r="N371" s="613" t="s">
        <v>464</v>
      </c>
      <c r="O371" s="613"/>
    </row>
    <row r="372" spans="12:16" x14ac:dyDescent="0.3">
      <c r="L372" s="615" t="s">
        <v>536</v>
      </c>
      <c r="M372" s="615">
        <v>0.03</v>
      </c>
      <c r="N372" s="615">
        <v>0.05</v>
      </c>
      <c r="O372" s="613" t="s">
        <v>1531</v>
      </c>
      <c r="P372" s="622" t="s">
        <v>1527</v>
      </c>
    </row>
    <row r="373" spans="12:16" x14ac:dyDescent="0.3">
      <c r="L373" s="613" t="s">
        <v>537</v>
      </c>
      <c r="M373" s="613" t="s">
        <v>464</v>
      </c>
      <c r="N373" s="613" t="s">
        <v>464</v>
      </c>
      <c r="O373" s="613"/>
    </row>
    <row r="374" spans="12:16" x14ac:dyDescent="0.3">
      <c r="L374" s="613" t="s">
        <v>1432</v>
      </c>
      <c r="M374" s="613" t="s">
        <v>464</v>
      </c>
      <c r="N374" s="613" t="s">
        <v>464</v>
      </c>
      <c r="O374" s="613"/>
    </row>
    <row r="375" spans="12:16" x14ac:dyDescent="0.3">
      <c r="L375" s="613" t="s">
        <v>1433</v>
      </c>
      <c r="M375" s="613" t="s">
        <v>464</v>
      </c>
      <c r="N375" s="613" t="s">
        <v>464</v>
      </c>
      <c r="O375" s="613"/>
    </row>
    <row r="376" spans="12:16" x14ac:dyDescent="0.3">
      <c r="L376" s="613" t="s">
        <v>1434</v>
      </c>
      <c r="M376" s="613" t="s">
        <v>464</v>
      </c>
      <c r="N376" s="613" t="s">
        <v>464</v>
      </c>
      <c r="O376" s="613"/>
    </row>
    <row r="377" spans="12:16" x14ac:dyDescent="0.3">
      <c r="L377" s="613" t="s">
        <v>1435</v>
      </c>
      <c r="M377" s="613" t="s">
        <v>464</v>
      </c>
      <c r="N377" s="613" t="s">
        <v>464</v>
      </c>
      <c r="O377" s="613"/>
    </row>
    <row r="378" spans="12:16" x14ac:dyDescent="0.3">
      <c r="L378" s="613" t="s">
        <v>1436</v>
      </c>
      <c r="M378" s="613" t="s">
        <v>464</v>
      </c>
      <c r="N378" s="613" t="s">
        <v>464</v>
      </c>
      <c r="O378" s="613" t="s">
        <v>1625</v>
      </c>
    </row>
    <row r="379" spans="12:16" x14ac:dyDescent="0.3">
      <c r="L379" s="616" t="s">
        <v>1437</v>
      </c>
      <c r="M379" s="616" t="s">
        <v>464</v>
      </c>
      <c r="N379" s="616" t="s">
        <v>464</v>
      </c>
      <c r="O379" s="613" t="s">
        <v>1526</v>
      </c>
    </row>
    <row r="380" spans="12:16" x14ac:dyDescent="0.3">
      <c r="L380" s="613" t="s">
        <v>1438</v>
      </c>
      <c r="M380" s="613" t="s">
        <v>464</v>
      </c>
      <c r="N380" s="613" t="s">
        <v>464</v>
      </c>
      <c r="O380" s="613"/>
    </row>
    <row r="381" spans="12:16" x14ac:dyDescent="0.3">
      <c r="L381" s="613" t="s">
        <v>1439</v>
      </c>
      <c r="M381" s="613" t="s">
        <v>464</v>
      </c>
      <c r="N381" s="613" t="s">
        <v>464</v>
      </c>
      <c r="O381" s="613"/>
    </row>
    <row r="382" spans="12:16" x14ac:dyDescent="0.3">
      <c r="L382" s="613" t="s">
        <v>1440</v>
      </c>
      <c r="M382" s="613" t="s">
        <v>464</v>
      </c>
      <c r="N382" s="613" t="s">
        <v>464</v>
      </c>
      <c r="O382" s="613"/>
    </row>
    <row r="383" spans="12:16" x14ac:dyDescent="0.3">
      <c r="L383" s="613" t="s">
        <v>840</v>
      </c>
      <c r="M383" s="613" t="s">
        <v>464</v>
      </c>
      <c r="N383" s="613" t="s">
        <v>464</v>
      </c>
      <c r="O383" s="613"/>
    </row>
    <row r="384" spans="12:16" x14ac:dyDescent="0.3">
      <c r="L384" s="613" t="s">
        <v>1441</v>
      </c>
      <c r="M384" s="613" t="s">
        <v>464</v>
      </c>
      <c r="N384" s="613" t="s">
        <v>464</v>
      </c>
      <c r="O384" s="613"/>
    </row>
    <row r="385" spans="12:16" x14ac:dyDescent="0.3">
      <c r="L385" s="613" t="s">
        <v>538</v>
      </c>
      <c r="M385" s="613" t="s">
        <v>464</v>
      </c>
      <c r="N385" s="613" t="s">
        <v>464</v>
      </c>
      <c r="O385" s="613"/>
    </row>
    <row r="386" spans="12:16" x14ac:dyDescent="0.3">
      <c r="L386" s="613" t="s">
        <v>539</v>
      </c>
      <c r="M386" s="613" t="s">
        <v>464</v>
      </c>
      <c r="N386" s="613" t="s">
        <v>464</v>
      </c>
      <c r="O386" s="613"/>
    </row>
    <row r="387" spans="12:16" x14ac:dyDescent="0.3">
      <c r="L387" s="613" t="s">
        <v>1442</v>
      </c>
      <c r="M387" s="613" t="s">
        <v>464</v>
      </c>
      <c r="N387" s="613" t="s">
        <v>464</v>
      </c>
      <c r="O387" s="613"/>
    </row>
    <row r="388" spans="12:16" x14ac:dyDescent="0.3">
      <c r="L388" s="613" t="s">
        <v>1443</v>
      </c>
      <c r="M388" s="613" t="s">
        <v>464</v>
      </c>
      <c r="N388" s="613" t="s">
        <v>464</v>
      </c>
      <c r="O388" s="613"/>
    </row>
    <row r="389" spans="12:16" x14ac:dyDescent="0.3">
      <c r="L389" s="613" t="s">
        <v>540</v>
      </c>
      <c r="M389" s="613" t="s">
        <v>464</v>
      </c>
      <c r="N389" s="613" t="s">
        <v>464</v>
      </c>
      <c r="O389" s="613"/>
    </row>
    <row r="390" spans="12:16" x14ac:dyDescent="0.3">
      <c r="L390" s="613" t="s">
        <v>541</v>
      </c>
      <c r="M390" s="613" t="s">
        <v>464</v>
      </c>
      <c r="N390" s="613" t="s">
        <v>464</v>
      </c>
      <c r="O390" s="613"/>
    </row>
    <row r="391" spans="12:16" x14ac:dyDescent="0.3">
      <c r="L391" s="613" t="s">
        <v>1444</v>
      </c>
      <c r="M391" s="613" t="s">
        <v>464</v>
      </c>
      <c r="N391" s="613" t="s">
        <v>464</v>
      </c>
      <c r="O391" s="613"/>
    </row>
    <row r="392" spans="12:16" x14ac:dyDescent="0.3">
      <c r="L392" s="613" t="s">
        <v>1445</v>
      </c>
      <c r="M392" s="613" t="s">
        <v>464</v>
      </c>
      <c r="N392" s="613" t="s">
        <v>464</v>
      </c>
      <c r="O392" s="613"/>
    </row>
    <row r="393" spans="12:16" x14ac:dyDescent="0.3">
      <c r="L393" s="613" t="s">
        <v>542</v>
      </c>
      <c r="M393" s="613" t="s">
        <v>464</v>
      </c>
      <c r="N393" s="613" t="s">
        <v>464</v>
      </c>
      <c r="O393" s="613"/>
    </row>
    <row r="394" spans="12:16" x14ac:dyDescent="0.3">
      <c r="L394" s="613" t="s">
        <v>1446</v>
      </c>
      <c r="M394" s="613" t="s">
        <v>464</v>
      </c>
      <c r="N394" s="613" t="s">
        <v>464</v>
      </c>
      <c r="O394" s="613"/>
    </row>
    <row r="395" spans="12:16" x14ac:dyDescent="0.3">
      <c r="L395" s="613" t="s">
        <v>543</v>
      </c>
      <c r="M395" s="613" t="s">
        <v>464</v>
      </c>
      <c r="N395" s="613" t="s">
        <v>464</v>
      </c>
      <c r="O395" s="613"/>
    </row>
    <row r="396" spans="12:16" x14ac:dyDescent="0.3">
      <c r="L396" s="613" t="s">
        <v>1447</v>
      </c>
      <c r="M396" s="613" t="s">
        <v>464</v>
      </c>
      <c r="N396" s="613" t="s">
        <v>464</v>
      </c>
      <c r="O396" s="613"/>
    </row>
    <row r="397" spans="12:16" x14ac:dyDescent="0.3">
      <c r="L397" s="613" t="s">
        <v>1448</v>
      </c>
      <c r="M397" s="613" t="s">
        <v>464</v>
      </c>
      <c r="N397" s="613" t="s">
        <v>464</v>
      </c>
      <c r="O397" s="613"/>
    </row>
    <row r="398" spans="12:16" x14ac:dyDescent="0.3">
      <c r="L398" s="613" t="s">
        <v>1449</v>
      </c>
      <c r="M398" s="613" t="s">
        <v>464</v>
      </c>
      <c r="N398" s="613" t="s">
        <v>464</v>
      </c>
      <c r="O398" s="613"/>
    </row>
    <row r="399" spans="12:16" x14ac:dyDescent="0.3">
      <c r="L399" s="615" t="s">
        <v>544</v>
      </c>
      <c r="M399" s="615">
        <v>0.03</v>
      </c>
      <c r="N399" s="615">
        <v>0.05</v>
      </c>
      <c r="O399" s="613" t="s">
        <v>1531</v>
      </c>
      <c r="P399" s="622" t="s">
        <v>1527</v>
      </c>
    </row>
    <row r="400" spans="12:16" x14ac:dyDescent="0.3">
      <c r="L400" s="613" t="s">
        <v>1450</v>
      </c>
      <c r="M400" s="613" t="s">
        <v>464</v>
      </c>
      <c r="N400" s="613" t="s">
        <v>464</v>
      </c>
      <c r="O400" s="613"/>
    </row>
    <row r="401" spans="12:16" x14ac:dyDescent="0.3">
      <c r="L401" s="613" t="s">
        <v>1451</v>
      </c>
      <c r="M401" s="613" t="s">
        <v>464</v>
      </c>
      <c r="N401" s="613" t="s">
        <v>464</v>
      </c>
      <c r="O401" s="613"/>
    </row>
    <row r="402" spans="12:16" x14ac:dyDescent="0.3">
      <c r="L402" s="613" t="s">
        <v>1452</v>
      </c>
      <c r="M402" s="613" t="s">
        <v>464</v>
      </c>
      <c r="N402" s="613" t="s">
        <v>464</v>
      </c>
      <c r="O402" s="613"/>
    </row>
    <row r="403" spans="12:16" x14ac:dyDescent="0.3">
      <c r="L403" s="613" t="s">
        <v>545</v>
      </c>
      <c r="M403" s="613" t="s">
        <v>464</v>
      </c>
      <c r="N403" s="613" t="s">
        <v>464</v>
      </c>
      <c r="O403" s="613"/>
    </row>
    <row r="404" spans="12:16" x14ac:dyDescent="0.3">
      <c r="L404" s="613" t="s">
        <v>841</v>
      </c>
      <c r="M404" s="613" t="s">
        <v>464</v>
      </c>
      <c r="N404" s="613" t="s">
        <v>464</v>
      </c>
      <c r="O404" s="613"/>
    </row>
    <row r="405" spans="12:16" x14ac:dyDescent="0.3">
      <c r="L405" s="613" t="s">
        <v>1453</v>
      </c>
      <c r="M405" s="613" t="s">
        <v>464</v>
      </c>
      <c r="N405" s="613" t="s">
        <v>464</v>
      </c>
      <c r="O405" s="613"/>
    </row>
    <row r="406" spans="12:16" x14ac:dyDescent="0.3">
      <c r="L406" s="613" t="s">
        <v>1454</v>
      </c>
      <c r="M406" s="613" t="s">
        <v>464</v>
      </c>
      <c r="N406" s="613" t="s">
        <v>464</v>
      </c>
      <c r="O406" s="613"/>
    </row>
    <row r="407" spans="12:16" x14ac:dyDescent="0.3">
      <c r="L407" s="613" t="s">
        <v>1455</v>
      </c>
      <c r="M407" s="613" t="s">
        <v>464</v>
      </c>
      <c r="N407" s="613" t="s">
        <v>464</v>
      </c>
      <c r="O407" s="613"/>
    </row>
    <row r="408" spans="12:16" x14ac:dyDescent="0.3">
      <c r="L408" s="613" t="s">
        <v>546</v>
      </c>
      <c r="M408" s="613" t="s">
        <v>464</v>
      </c>
      <c r="N408" s="613" t="s">
        <v>464</v>
      </c>
      <c r="O408" s="613"/>
    </row>
    <row r="409" spans="12:16" x14ac:dyDescent="0.3">
      <c r="L409" s="613" t="s">
        <v>1456</v>
      </c>
      <c r="M409" s="613" t="s">
        <v>464</v>
      </c>
      <c r="N409" s="613" t="s">
        <v>464</v>
      </c>
      <c r="O409" s="613"/>
    </row>
    <row r="410" spans="12:16" x14ac:dyDescent="0.3">
      <c r="L410" s="615" t="s">
        <v>547</v>
      </c>
      <c r="M410" s="615">
        <v>0.03</v>
      </c>
      <c r="N410" s="615">
        <v>0.05</v>
      </c>
      <c r="O410" s="613" t="s">
        <v>1531</v>
      </c>
      <c r="P410" s="622" t="s">
        <v>1527</v>
      </c>
    </row>
    <row r="411" spans="12:16" x14ac:dyDescent="0.3">
      <c r="L411" s="613" t="s">
        <v>393</v>
      </c>
      <c r="M411" s="613" t="s">
        <v>464</v>
      </c>
      <c r="N411" s="613" t="s">
        <v>464</v>
      </c>
      <c r="O411" s="613"/>
    </row>
    <row r="412" spans="12:16" x14ac:dyDescent="0.3">
      <c r="L412" s="613" t="s">
        <v>1457</v>
      </c>
      <c r="M412" s="613" t="s">
        <v>464</v>
      </c>
      <c r="N412" s="613" t="s">
        <v>464</v>
      </c>
      <c r="O412" s="613"/>
    </row>
    <row r="413" spans="12:16" x14ac:dyDescent="0.3">
      <c r="L413" s="615" t="s">
        <v>1458</v>
      </c>
      <c r="M413" s="615">
        <v>0.03</v>
      </c>
      <c r="N413" s="615">
        <v>0.05</v>
      </c>
      <c r="O413" s="613" t="s">
        <v>1531</v>
      </c>
      <c r="P413" s="622" t="s">
        <v>1527</v>
      </c>
    </row>
    <row r="414" spans="12:16" x14ac:dyDescent="0.3">
      <c r="L414" s="613" t="s">
        <v>1459</v>
      </c>
      <c r="M414" s="613" t="s">
        <v>464</v>
      </c>
      <c r="N414" s="613" t="s">
        <v>464</v>
      </c>
      <c r="O414" s="613"/>
    </row>
    <row r="415" spans="12:16" x14ac:dyDescent="0.3">
      <c r="L415" s="613" t="s">
        <v>548</v>
      </c>
      <c r="M415" s="613" t="s">
        <v>464</v>
      </c>
      <c r="N415" s="613" t="s">
        <v>464</v>
      </c>
      <c r="O415" s="613"/>
    </row>
    <row r="416" spans="12:16" x14ac:dyDescent="0.3">
      <c r="L416" s="613" t="s">
        <v>1460</v>
      </c>
      <c r="M416" s="613" t="s">
        <v>464</v>
      </c>
      <c r="N416" s="613" t="s">
        <v>464</v>
      </c>
      <c r="O416" s="613"/>
    </row>
    <row r="417" spans="12:15" x14ac:dyDescent="0.3">
      <c r="L417" s="613" t="s">
        <v>1461</v>
      </c>
      <c r="M417" s="613" t="s">
        <v>464</v>
      </c>
      <c r="N417" s="613" t="s">
        <v>464</v>
      </c>
      <c r="O417" s="613"/>
    </row>
    <row r="418" spans="12:15" x14ac:dyDescent="0.3">
      <c r="L418" s="613" t="s">
        <v>842</v>
      </c>
      <c r="M418" s="613" t="s">
        <v>464</v>
      </c>
      <c r="N418" s="613" t="s">
        <v>464</v>
      </c>
      <c r="O418" s="613"/>
    </row>
    <row r="419" spans="12:15" x14ac:dyDescent="0.3">
      <c r="L419" s="613" t="s">
        <v>843</v>
      </c>
      <c r="M419" s="613" t="s">
        <v>464</v>
      </c>
      <c r="N419" s="613" t="s">
        <v>464</v>
      </c>
      <c r="O419" s="613"/>
    </row>
    <row r="420" spans="12:15" x14ac:dyDescent="0.3">
      <c r="L420" s="613" t="s">
        <v>844</v>
      </c>
      <c r="M420" s="613" t="s">
        <v>464</v>
      </c>
      <c r="N420" s="613" t="s">
        <v>464</v>
      </c>
      <c r="O420" s="613"/>
    </row>
    <row r="421" spans="12:15" x14ac:dyDescent="0.3">
      <c r="L421" s="613" t="s">
        <v>845</v>
      </c>
      <c r="M421" s="613" t="s">
        <v>464</v>
      </c>
      <c r="N421" s="613" t="s">
        <v>464</v>
      </c>
      <c r="O421" s="613"/>
    </row>
    <row r="422" spans="12:15" x14ac:dyDescent="0.3">
      <c r="L422" s="613" t="s">
        <v>1462</v>
      </c>
      <c r="M422" s="613" t="s">
        <v>464</v>
      </c>
      <c r="N422" s="613" t="s">
        <v>464</v>
      </c>
      <c r="O422" s="613"/>
    </row>
    <row r="423" spans="12:15" x14ac:dyDescent="0.3">
      <c r="L423" s="613" t="s">
        <v>1463</v>
      </c>
      <c r="M423" s="613" t="s">
        <v>464</v>
      </c>
      <c r="N423" s="613" t="s">
        <v>464</v>
      </c>
      <c r="O423" s="613"/>
    </row>
    <row r="424" spans="12:15" x14ac:dyDescent="0.3">
      <c r="L424" s="613" t="s">
        <v>846</v>
      </c>
      <c r="M424" s="613" t="s">
        <v>464</v>
      </c>
      <c r="N424" s="613" t="s">
        <v>464</v>
      </c>
      <c r="O424" s="613"/>
    </row>
    <row r="425" spans="12:15" x14ac:dyDescent="0.3">
      <c r="L425" s="613" t="s">
        <v>1464</v>
      </c>
      <c r="M425" s="613" t="s">
        <v>464</v>
      </c>
      <c r="N425" s="613" t="s">
        <v>464</v>
      </c>
      <c r="O425" s="613"/>
    </row>
    <row r="426" spans="12:15" x14ac:dyDescent="0.3">
      <c r="L426" s="613" t="s">
        <v>1465</v>
      </c>
      <c r="M426" s="613" t="s">
        <v>464</v>
      </c>
      <c r="N426" s="613" t="s">
        <v>464</v>
      </c>
      <c r="O426" s="613"/>
    </row>
    <row r="427" spans="12:15" x14ac:dyDescent="0.3">
      <c r="L427" s="613" t="s">
        <v>1466</v>
      </c>
      <c r="M427" s="613" t="s">
        <v>464</v>
      </c>
      <c r="N427" s="613" t="s">
        <v>464</v>
      </c>
      <c r="O427" s="613"/>
    </row>
    <row r="428" spans="12:15" x14ac:dyDescent="0.3">
      <c r="L428" s="613" t="s">
        <v>1467</v>
      </c>
      <c r="M428" s="613" t="s">
        <v>464</v>
      </c>
      <c r="N428" s="613" t="s">
        <v>464</v>
      </c>
      <c r="O428" s="613"/>
    </row>
    <row r="429" spans="12:15" x14ac:dyDescent="0.3">
      <c r="L429" s="613" t="s">
        <v>1468</v>
      </c>
      <c r="M429" s="613" t="s">
        <v>464</v>
      </c>
      <c r="N429" s="613" t="s">
        <v>464</v>
      </c>
      <c r="O429" s="613"/>
    </row>
    <row r="430" spans="12:15" x14ac:dyDescent="0.3">
      <c r="L430" s="613" t="s">
        <v>1469</v>
      </c>
      <c r="M430" s="613" t="s">
        <v>464</v>
      </c>
      <c r="N430" s="613" t="s">
        <v>464</v>
      </c>
      <c r="O430" s="613"/>
    </row>
    <row r="431" spans="12:15" x14ac:dyDescent="0.3">
      <c r="L431" s="613" t="s">
        <v>1470</v>
      </c>
      <c r="M431" s="613" t="s">
        <v>464</v>
      </c>
      <c r="N431" s="613" t="s">
        <v>464</v>
      </c>
      <c r="O431" s="613"/>
    </row>
    <row r="432" spans="12:15" x14ac:dyDescent="0.3">
      <c r="L432" s="613" t="s">
        <v>1471</v>
      </c>
      <c r="M432" s="613" t="s">
        <v>464</v>
      </c>
      <c r="N432" s="613" t="s">
        <v>464</v>
      </c>
      <c r="O432" s="613"/>
    </row>
    <row r="433" spans="12:16" x14ac:dyDescent="0.3">
      <c r="L433" s="613" t="s">
        <v>1472</v>
      </c>
      <c r="M433" s="613" t="s">
        <v>464</v>
      </c>
      <c r="N433" s="613" t="s">
        <v>464</v>
      </c>
      <c r="O433" s="613"/>
    </row>
    <row r="434" spans="12:16" x14ac:dyDescent="0.3">
      <c r="L434" s="613" t="s">
        <v>1473</v>
      </c>
      <c r="M434" s="613" t="s">
        <v>464</v>
      </c>
      <c r="N434" s="613" t="s">
        <v>464</v>
      </c>
      <c r="O434" s="613"/>
    </row>
    <row r="435" spans="12:16" x14ac:dyDescent="0.3">
      <c r="L435" s="615" t="s">
        <v>550</v>
      </c>
      <c r="M435" s="615">
        <v>0.03</v>
      </c>
      <c r="N435" s="615">
        <v>0.05</v>
      </c>
      <c r="O435" s="613" t="s">
        <v>1531</v>
      </c>
      <c r="P435" s="622" t="s">
        <v>1527</v>
      </c>
    </row>
    <row r="436" spans="12:16" x14ac:dyDescent="0.3">
      <c r="L436" s="613" t="s">
        <v>1474</v>
      </c>
      <c r="M436" s="613" t="s">
        <v>464</v>
      </c>
      <c r="N436" s="613" t="s">
        <v>464</v>
      </c>
      <c r="O436" s="613"/>
    </row>
    <row r="437" spans="12:16" x14ac:dyDescent="0.3">
      <c r="L437" s="613" t="s">
        <v>1475</v>
      </c>
      <c r="M437" s="613" t="s">
        <v>464</v>
      </c>
      <c r="N437" s="613" t="s">
        <v>464</v>
      </c>
      <c r="O437" s="613"/>
    </row>
    <row r="438" spans="12:16" x14ac:dyDescent="0.3">
      <c r="L438" s="613" t="s">
        <v>551</v>
      </c>
      <c r="M438" s="613" t="s">
        <v>464</v>
      </c>
      <c r="N438" s="613" t="s">
        <v>464</v>
      </c>
      <c r="O438" s="613"/>
    </row>
    <row r="439" spans="12:16" x14ac:dyDescent="0.3">
      <c r="L439" s="615" t="s">
        <v>1476</v>
      </c>
      <c r="M439" s="615">
        <v>0.03</v>
      </c>
      <c r="N439" s="615">
        <v>0.05</v>
      </c>
      <c r="O439" s="613" t="s">
        <v>1531</v>
      </c>
      <c r="P439" s="622" t="s">
        <v>1527</v>
      </c>
    </row>
    <row r="440" spans="12:16" x14ac:dyDescent="0.3">
      <c r="L440" s="613" t="s">
        <v>1477</v>
      </c>
      <c r="M440" s="613" t="s">
        <v>464</v>
      </c>
      <c r="N440" s="613" t="s">
        <v>464</v>
      </c>
      <c r="O440" s="613"/>
    </row>
    <row r="441" spans="12:16" x14ac:dyDescent="0.3">
      <c r="L441" s="613" t="s">
        <v>1478</v>
      </c>
      <c r="M441" s="613" t="s">
        <v>464</v>
      </c>
      <c r="N441" s="613" t="s">
        <v>464</v>
      </c>
      <c r="O441" s="613"/>
    </row>
    <row r="442" spans="12:16" x14ac:dyDescent="0.3">
      <c r="L442" s="613" t="s">
        <v>1479</v>
      </c>
      <c r="M442" s="613" t="s">
        <v>464</v>
      </c>
      <c r="N442" s="613" t="s">
        <v>464</v>
      </c>
      <c r="O442" s="613"/>
    </row>
    <row r="443" spans="12:16" x14ac:dyDescent="0.3">
      <c r="L443" s="613" t="s">
        <v>1480</v>
      </c>
      <c r="M443" s="613" t="s">
        <v>464</v>
      </c>
      <c r="N443" s="613" t="s">
        <v>464</v>
      </c>
      <c r="O443" s="613"/>
    </row>
    <row r="444" spans="12:16" x14ac:dyDescent="0.3">
      <c r="L444" s="613" t="s">
        <v>552</v>
      </c>
      <c r="M444" s="613" t="s">
        <v>464</v>
      </c>
      <c r="N444" s="613" t="s">
        <v>464</v>
      </c>
      <c r="O444" s="613" t="s">
        <v>1625</v>
      </c>
    </row>
    <row r="445" spans="12:16" x14ac:dyDescent="0.3">
      <c r="L445" s="616" t="s">
        <v>1481</v>
      </c>
      <c r="M445" s="616">
        <v>0.03</v>
      </c>
      <c r="N445" s="617" t="s">
        <v>464</v>
      </c>
      <c r="O445" s="613" t="s">
        <v>1526</v>
      </c>
    </row>
    <row r="446" spans="12:16" x14ac:dyDescent="0.3">
      <c r="L446" s="613" t="s">
        <v>847</v>
      </c>
      <c r="M446" s="613" t="s">
        <v>464</v>
      </c>
      <c r="N446" s="613" t="s">
        <v>464</v>
      </c>
      <c r="O446" s="613"/>
    </row>
    <row r="447" spans="12:16" x14ac:dyDescent="0.3">
      <c r="L447" s="613" t="s">
        <v>1482</v>
      </c>
      <c r="M447" s="613" t="s">
        <v>464</v>
      </c>
      <c r="N447" s="613" t="s">
        <v>464</v>
      </c>
      <c r="O447" s="613"/>
    </row>
    <row r="448" spans="12:16" x14ac:dyDescent="0.3">
      <c r="L448" s="613" t="s">
        <v>1483</v>
      </c>
      <c r="M448" s="613" t="s">
        <v>464</v>
      </c>
      <c r="N448" s="613" t="s">
        <v>464</v>
      </c>
      <c r="O448" s="613"/>
    </row>
    <row r="449" spans="12:16" x14ac:dyDescent="0.3">
      <c r="L449" s="615" t="s">
        <v>1484</v>
      </c>
      <c r="M449" s="615">
        <v>0.03</v>
      </c>
      <c r="N449" s="615">
        <v>0.05</v>
      </c>
      <c r="O449" s="613" t="s">
        <v>1531</v>
      </c>
      <c r="P449" s="622" t="s">
        <v>1527</v>
      </c>
    </row>
    <row r="450" spans="12:16" x14ac:dyDescent="0.3">
      <c r="L450" s="613" t="s">
        <v>553</v>
      </c>
      <c r="M450" s="613" t="s">
        <v>464</v>
      </c>
      <c r="N450" s="613" t="s">
        <v>464</v>
      </c>
      <c r="O450" s="613"/>
    </row>
    <row r="451" spans="12:16" x14ac:dyDescent="0.3">
      <c r="L451" s="613" t="s">
        <v>1485</v>
      </c>
      <c r="M451" s="613" t="s">
        <v>464</v>
      </c>
      <c r="N451" s="613" t="s">
        <v>464</v>
      </c>
      <c r="O451" s="613"/>
    </row>
    <row r="452" spans="12:16" x14ac:dyDescent="0.3">
      <c r="L452" s="613" t="s">
        <v>1486</v>
      </c>
      <c r="M452" s="613" t="s">
        <v>464</v>
      </c>
      <c r="N452" s="613" t="s">
        <v>464</v>
      </c>
      <c r="O452" s="613"/>
    </row>
    <row r="453" spans="12:16" x14ac:dyDescent="0.3">
      <c r="L453" s="615" t="s">
        <v>1487</v>
      </c>
      <c r="M453" s="615">
        <v>0.03</v>
      </c>
      <c r="N453" s="615">
        <v>0.05</v>
      </c>
      <c r="O453" s="613" t="s">
        <v>1531</v>
      </c>
      <c r="P453" s="622" t="s">
        <v>1527</v>
      </c>
    </row>
    <row r="454" spans="12:16" x14ac:dyDescent="0.3">
      <c r="L454" s="613" t="s">
        <v>1488</v>
      </c>
      <c r="M454" s="613" t="s">
        <v>464</v>
      </c>
      <c r="N454" s="613" t="s">
        <v>464</v>
      </c>
      <c r="O454" s="613"/>
    </row>
    <row r="455" spans="12:16" x14ac:dyDescent="0.3">
      <c r="L455" s="613" t="s">
        <v>1489</v>
      </c>
      <c r="M455" s="613" t="s">
        <v>464</v>
      </c>
      <c r="N455" s="613" t="s">
        <v>464</v>
      </c>
      <c r="O455" s="613"/>
    </row>
    <row r="456" spans="12:16" x14ac:dyDescent="0.3">
      <c r="L456" s="613" t="s">
        <v>1490</v>
      </c>
      <c r="M456" s="613" t="s">
        <v>464</v>
      </c>
      <c r="N456" s="613" t="s">
        <v>464</v>
      </c>
      <c r="O456" s="613"/>
    </row>
    <row r="457" spans="12:16" x14ac:dyDescent="0.3">
      <c r="L457" s="613" t="s">
        <v>1501</v>
      </c>
      <c r="M457" s="613" t="s">
        <v>464</v>
      </c>
      <c r="N457" s="613" t="s">
        <v>464</v>
      </c>
      <c r="O457" s="613"/>
    </row>
    <row r="458" spans="12:16" x14ac:dyDescent="0.3">
      <c r="L458" s="613" t="s">
        <v>1491</v>
      </c>
      <c r="M458" s="613" t="s">
        <v>464</v>
      </c>
      <c r="N458" s="613" t="s">
        <v>464</v>
      </c>
      <c r="O458" s="613"/>
    </row>
    <row r="459" spans="12:16" x14ac:dyDescent="0.3">
      <c r="L459" s="613" t="s">
        <v>1492</v>
      </c>
      <c r="M459" s="613" t="s">
        <v>464</v>
      </c>
      <c r="N459" s="613" t="s">
        <v>464</v>
      </c>
      <c r="O459" s="613"/>
    </row>
    <row r="460" spans="12:16" x14ac:dyDescent="0.3">
      <c r="L460" s="613" t="s">
        <v>554</v>
      </c>
      <c r="M460" s="613" t="s">
        <v>464</v>
      </c>
      <c r="N460" s="613" t="s">
        <v>464</v>
      </c>
      <c r="O460" s="613"/>
    </row>
    <row r="461" spans="12:16" x14ac:dyDescent="0.3">
      <c r="L461" s="613" t="s">
        <v>1493</v>
      </c>
      <c r="M461" s="613" t="s">
        <v>464</v>
      </c>
      <c r="N461" s="613" t="s">
        <v>464</v>
      </c>
      <c r="O461" s="613"/>
    </row>
    <row r="462" spans="12:16" x14ac:dyDescent="0.3">
      <c r="L462" s="613" t="s">
        <v>1060</v>
      </c>
      <c r="M462" s="613" t="s">
        <v>464</v>
      </c>
      <c r="N462" s="613" t="s">
        <v>464</v>
      </c>
      <c r="O462" s="613"/>
    </row>
    <row r="463" spans="12:16" x14ac:dyDescent="0.3">
      <c r="L463" s="613" t="s">
        <v>1061</v>
      </c>
      <c r="M463" s="613" t="s">
        <v>464</v>
      </c>
      <c r="N463" s="613" t="s">
        <v>464</v>
      </c>
      <c r="O463" s="613"/>
    </row>
    <row r="464" spans="12:16" x14ac:dyDescent="0.3">
      <c r="L464" s="613" t="s">
        <v>1062</v>
      </c>
      <c r="M464" s="613" t="s">
        <v>464</v>
      </c>
      <c r="N464" s="613" t="s">
        <v>464</v>
      </c>
      <c r="O464" s="613"/>
    </row>
    <row r="465" spans="12:15" x14ac:dyDescent="0.3">
      <c r="L465" s="613" t="s">
        <v>1063</v>
      </c>
      <c r="M465" s="613" t="s">
        <v>464</v>
      </c>
      <c r="N465" s="613" t="s">
        <v>464</v>
      </c>
      <c r="O465" s="613"/>
    </row>
    <row r="466" spans="12:15" x14ac:dyDescent="0.3">
      <c r="L466" s="613" t="s">
        <v>1064</v>
      </c>
      <c r="M466" s="613" t="s">
        <v>464</v>
      </c>
      <c r="N466" s="613" t="s">
        <v>464</v>
      </c>
      <c r="O466" s="613"/>
    </row>
    <row r="467" spans="12:15" x14ac:dyDescent="0.3">
      <c r="L467" s="613" t="s">
        <v>1065</v>
      </c>
      <c r="M467" s="613" t="s">
        <v>464</v>
      </c>
      <c r="N467" s="613" t="s">
        <v>464</v>
      </c>
      <c r="O467" s="613"/>
    </row>
    <row r="468" spans="12:15" x14ac:dyDescent="0.3">
      <c r="L468" s="613" t="s">
        <v>848</v>
      </c>
      <c r="M468" s="613" t="s">
        <v>464</v>
      </c>
      <c r="N468" s="613" t="s">
        <v>464</v>
      </c>
      <c r="O468" s="613"/>
    </row>
    <row r="469" spans="12:15" x14ac:dyDescent="0.3">
      <c r="L469" s="613" t="s">
        <v>1066</v>
      </c>
      <c r="M469" s="613" t="s">
        <v>464</v>
      </c>
      <c r="N469" s="613" t="s">
        <v>464</v>
      </c>
      <c r="O469" s="613"/>
    </row>
    <row r="470" spans="12:15" x14ac:dyDescent="0.3">
      <c r="L470" s="613" t="s">
        <v>1067</v>
      </c>
      <c r="M470" s="613" t="s">
        <v>464</v>
      </c>
      <c r="N470" s="613" t="s">
        <v>464</v>
      </c>
      <c r="O470" s="613"/>
    </row>
    <row r="471" spans="12:15" x14ac:dyDescent="0.3">
      <c r="L471" s="616" t="s">
        <v>1068</v>
      </c>
      <c r="M471" s="616" t="s">
        <v>464</v>
      </c>
      <c r="N471" s="616" t="s">
        <v>464</v>
      </c>
      <c r="O471" s="613" t="s">
        <v>1526</v>
      </c>
    </row>
    <row r="472" spans="12:15" x14ac:dyDescent="0.3">
      <c r="L472" s="613" t="s">
        <v>1069</v>
      </c>
      <c r="M472" s="613" t="s">
        <v>464</v>
      </c>
      <c r="N472" s="613" t="s">
        <v>464</v>
      </c>
      <c r="O472" s="613"/>
    </row>
    <row r="473" spans="12:15" x14ac:dyDescent="0.3">
      <c r="L473" s="613" t="s">
        <v>1070</v>
      </c>
      <c r="M473" s="613" t="s">
        <v>464</v>
      </c>
      <c r="N473" s="613" t="s">
        <v>464</v>
      </c>
      <c r="O473" s="613"/>
    </row>
    <row r="474" spans="12:15" x14ac:dyDescent="0.3">
      <c r="L474" s="613" t="s">
        <v>1071</v>
      </c>
      <c r="M474" s="613" t="s">
        <v>464</v>
      </c>
      <c r="N474" s="613" t="s">
        <v>464</v>
      </c>
      <c r="O474" s="613"/>
    </row>
    <row r="475" spans="12:15" x14ac:dyDescent="0.3">
      <c r="L475" s="613" t="s">
        <v>1072</v>
      </c>
      <c r="M475" s="613" t="s">
        <v>464</v>
      </c>
      <c r="N475" s="613" t="s">
        <v>464</v>
      </c>
      <c r="O475" s="613"/>
    </row>
    <row r="476" spans="12:15" x14ac:dyDescent="0.3">
      <c r="L476" s="613" t="s">
        <v>849</v>
      </c>
      <c r="M476" s="613" t="s">
        <v>464</v>
      </c>
      <c r="N476" s="613" t="s">
        <v>464</v>
      </c>
      <c r="O476" s="613"/>
    </row>
    <row r="477" spans="12:15" x14ac:dyDescent="0.3">
      <c r="L477" s="613" t="s">
        <v>1073</v>
      </c>
      <c r="M477" s="613" t="s">
        <v>464</v>
      </c>
      <c r="N477" s="613" t="s">
        <v>464</v>
      </c>
      <c r="O477" s="613"/>
    </row>
    <row r="478" spans="12:15" x14ac:dyDescent="0.3">
      <c r="L478" s="613" t="s">
        <v>1074</v>
      </c>
      <c r="M478" s="613" t="s">
        <v>464</v>
      </c>
      <c r="N478" s="613" t="s">
        <v>464</v>
      </c>
      <c r="O478" s="613"/>
    </row>
    <row r="479" spans="12:15" x14ac:dyDescent="0.3">
      <c r="L479" s="613" t="s">
        <v>1075</v>
      </c>
      <c r="M479" s="613" t="s">
        <v>464</v>
      </c>
      <c r="N479" s="613" t="s">
        <v>464</v>
      </c>
      <c r="O479" s="613"/>
    </row>
    <row r="480" spans="12:15" x14ac:dyDescent="0.3">
      <c r="L480" s="613" t="s">
        <v>1076</v>
      </c>
      <c r="M480" s="613" t="s">
        <v>464</v>
      </c>
      <c r="N480" s="613" t="s">
        <v>464</v>
      </c>
      <c r="O480" s="613"/>
    </row>
    <row r="481" spans="12:16" x14ac:dyDescent="0.3">
      <c r="L481" s="613" t="s">
        <v>1077</v>
      </c>
      <c r="M481" s="613" t="s">
        <v>464</v>
      </c>
      <c r="N481" s="613" t="s">
        <v>464</v>
      </c>
      <c r="O481" s="613"/>
    </row>
    <row r="482" spans="12:16" x14ac:dyDescent="0.3">
      <c r="L482" s="613" t="s">
        <v>1078</v>
      </c>
      <c r="M482" s="613" t="s">
        <v>464</v>
      </c>
      <c r="N482" s="613" t="s">
        <v>464</v>
      </c>
      <c r="O482" s="613"/>
    </row>
    <row r="483" spans="12:16" x14ac:dyDescent="0.3">
      <c r="L483" s="613" t="s">
        <v>1079</v>
      </c>
      <c r="M483" s="613" t="s">
        <v>464</v>
      </c>
      <c r="N483" s="613" t="s">
        <v>464</v>
      </c>
      <c r="O483" s="613"/>
    </row>
    <row r="484" spans="12:16" x14ac:dyDescent="0.3">
      <c r="L484" s="613" t="s">
        <v>1080</v>
      </c>
      <c r="M484" s="613" t="s">
        <v>464</v>
      </c>
      <c r="N484" s="613" t="s">
        <v>464</v>
      </c>
      <c r="O484" s="613"/>
    </row>
    <row r="485" spans="12:16" x14ac:dyDescent="0.3">
      <c r="L485" s="613" t="s">
        <v>850</v>
      </c>
      <c r="M485" s="613" t="s">
        <v>464</v>
      </c>
      <c r="N485" s="613" t="s">
        <v>464</v>
      </c>
      <c r="O485" s="613"/>
    </row>
    <row r="486" spans="12:16" x14ac:dyDescent="0.3">
      <c r="L486" s="613" t="s">
        <v>1081</v>
      </c>
      <c r="M486" s="613" t="s">
        <v>464</v>
      </c>
      <c r="N486" s="613" t="s">
        <v>464</v>
      </c>
      <c r="O486" s="613"/>
    </row>
    <row r="487" spans="12:16" x14ac:dyDescent="0.3">
      <c r="L487" s="615" t="s">
        <v>1082</v>
      </c>
      <c r="M487" s="615">
        <v>0.03</v>
      </c>
      <c r="N487" s="615">
        <v>0.05</v>
      </c>
      <c r="O487" s="613" t="s">
        <v>1531</v>
      </c>
      <c r="P487" s="622" t="s">
        <v>1527</v>
      </c>
    </row>
    <row r="488" spans="12:16" x14ac:dyDescent="0.3">
      <c r="L488" s="613" t="s">
        <v>555</v>
      </c>
      <c r="M488" s="613" t="s">
        <v>464</v>
      </c>
      <c r="N488" s="613" t="s">
        <v>464</v>
      </c>
      <c r="O488" s="613"/>
    </row>
    <row r="489" spans="12:16" x14ac:dyDescent="0.3">
      <c r="L489" s="613" t="s">
        <v>556</v>
      </c>
      <c r="M489" s="613" t="s">
        <v>464</v>
      </c>
      <c r="N489" s="613" t="s">
        <v>464</v>
      </c>
      <c r="O489" s="613"/>
    </row>
    <row r="490" spans="12:16" x14ac:dyDescent="0.3">
      <c r="L490" s="613" t="s">
        <v>851</v>
      </c>
      <c r="M490" s="613" t="s">
        <v>464</v>
      </c>
      <c r="N490" s="613" t="s">
        <v>464</v>
      </c>
      <c r="O490" s="613"/>
    </row>
    <row r="491" spans="12:16" x14ac:dyDescent="0.3">
      <c r="L491" s="613" t="s">
        <v>1083</v>
      </c>
      <c r="M491" s="613" t="s">
        <v>464</v>
      </c>
      <c r="N491" s="613" t="s">
        <v>464</v>
      </c>
      <c r="O491" s="613"/>
    </row>
    <row r="492" spans="12:16" x14ac:dyDescent="0.3">
      <c r="L492" s="613" t="s">
        <v>1084</v>
      </c>
      <c r="M492" s="613" t="s">
        <v>464</v>
      </c>
      <c r="N492" s="613" t="s">
        <v>464</v>
      </c>
      <c r="O492" s="613"/>
    </row>
    <row r="493" spans="12:16" x14ac:dyDescent="0.3">
      <c r="L493" s="613" t="s">
        <v>1085</v>
      </c>
      <c r="M493" s="613" t="s">
        <v>464</v>
      </c>
      <c r="N493" s="613" t="s">
        <v>464</v>
      </c>
      <c r="O493" s="613"/>
    </row>
    <row r="494" spans="12:16" x14ac:dyDescent="0.3">
      <c r="L494" s="613" t="s">
        <v>1086</v>
      </c>
      <c r="M494" s="613" t="s">
        <v>464</v>
      </c>
      <c r="N494" s="613" t="s">
        <v>464</v>
      </c>
      <c r="O494" s="613"/>
    </row>
    <row r="495" spans="12:16" x14ac:dyDescent="0.3">
      <c r="L495" s="613" t="s">
        <v>1087</v>
      </c>
      <c r="M495" s="613" t="s">
        <v>464</v>
      </c>
      <c r="N495" s="613" t="s">
        <v>464</v>
      </c>
      <c r="O495" s="613"/>
    </row>
    <row r="496" spans="12:16" x14ac:dyDescent="0.3">
      <c r="L496" s="613" t="s">
        <v>1088</v>
      </c>
      <c r="M496" s="613" t="s">
        <v>464</v>
      </c>
      <c r="N496" s="613" t="s">
        <v>464</v>
      </c>
      <c r="O496" s="613"/>
    </row>
    <row r="497" spans="12:16" x14ac:dyDescent="0.3">
      <c r="L497" s="613" t="s">
        <v>1089</v>
      </c>
      <c r="M497" s="613" t="s">
        <v>464</v>
      </c>
      <c r="N497" s="613" t="s">
        <v>464</v>
      </c>
      <c r="O497" s="613"/>
    </row>
    <row r="498" spans="12:16" x14ac:dyDescent="0.3">
      <c r="L498" s="613" t="s">
        <v>1090</v>
      </c>
      <c r="M498" s="613" t="s">
        <v>464</v>
      </c>
      <c r="N498" s="613" t="s">
        <v>464</v>
      </c>
      <c r="O498" s="613"/>
    </row>
    <row r="499" spans="12:16" x14ac:dyDescent="0.3">
      <c r="L499" s="613" t="s">
        <v>557</v>
      </c>
      <c r="M499" s="613" t="s">
        <v>464</v>
      </c>
      <c r="N499" s="613" t="s">
        <v>464</v>
      </c>
      <c r="O499" s="613"/>
    </row>
    <row r="500" spans="12:16" x14ac:dyDescent="0.3">
      <c r="L500" s="613" t="s">
        <v>1091</v>
      </c>
      <c r="M500" s="613" t="s">
        <v>464</v>
      </c>
      <c r="N500" s="613" t="s">
        <v>464</v>
      </c>
      <c r="O500" s="613"/>
    </row>
    <row r="501" spans="12:16" x14ac:dyDescent="0.3">
      <c r="L501" s="613" t="s">
        <v>1092</v>
      </c>
      <c r="M501" s="613" t="s">
        <v>464</v>
      </c>
      <c r="N501" s="613" t="s">
        <v>464</v>
      </c>
      <c r="O501" s="613"/>
    </row>
    <row r="502" spans="12:16" x14ac:dyDescent="0.3">
      <c r="L502" s="613" t="s">
        <v>1093</v>
      </c>
      <c r="M502" s="613" t="s">
        <v>464</v>
      </c>
      <c r="N502" s="613" t="s">
        <v>464</v>
      </c>
      <c r="O502" s="613"/>
    </row>
    <row r="503" spans="12:16" x14ac:dyDescent="0.3">
      <c r="L503" s="613" t="s">
        <v>559</v>
      </c>
      <c r="M503" s="613" t="s">
        <v>464</v>
      </c>
      <c r="N503" s="613" t="s">
        <v>464</v>
      </c>
      <c r="O503" s="613"/>
    </row>
    <row r="504" spans="12:16" x14ac:dyDescent="0.3">
      <c r="L504" s="613" t="s">
        <v>1094</v>
      </c>
      <c r="M504" s="613" t="s">
        <v>464</v>
      </c>
      <c r="N504" s="613" t="s">
        <v>464</v>
      </c>
      <c r="O504" s="613"/>
    </row>
    <row r="505" spans="12:16" x14ac:dyDescent="0.3">
      <c r="L505" s="613" t="s">
        <v>1095</v>
      </c>
      <c r="M505" s="613" t="s">
        <v>464</v>
      </c>
      <c r="N505" s="613" t="s">
        <v>464</v>
      </c>
      <c r="O505" s="613"/>
    </row>
    <row r="506" spans="12:16" x14ac:dyDescent="0.3">
      <c r="L506" s="613" t="s">
        <v>560</v>
      </c>
      <c r="M506" s="613" t="s">
        <v>464</v>
      </c>
      <c r="N506" s="613" t="s">
        <v>464</v>
      </c>
      <c r="O506" s="613"/>
    </row>
    <row r="507" spans="12:16" x14ac:dyDescent="0.3">
      <c r="L507" s="613" t="s">
        <v>852</v>
      </c>
      <c r="M507" s="613" t="s">
        <v>464</v>
      </c>
      <c r="N507" s="613" t="s">
        <v>464</v>
      </c>
      <c r="O507" s="613"/>
    </row>
    <row r="508" spans="12:16" x14ac:dyDescent="0.3">
      <c r="L508" s="613" t="s">
        <v>1096</v>
      </c>
      <c r="M508" s="613" t="s">
        <v>464</v>
      </c>
      <c r="N508" s="613" t="s">
        <v>464</v>
      </c>
      <c r="O508" s="613"/>
    </row>
    <row r="509" spans="12:16" x14ac:dyDescent="0.3">
      <c r="L509" s="613" t="s">
        <v>1097</v>
      </c>
      <c r="M509" s="613" t="s">
        <v>464</v>
      </c>
      <c r="N509" s="613" t="s">
        <v>464</v>
      </c>
      <c r="O509" s="613"/>
    </row>
    <row r="510" spans="12:16" x14ac:dyDescent="0.3">
      <c r="L510" s="613" t="s">
        <v>1098</v>
      </c>
      <c r="M510" s="613" t="s">
        <v>464</v>
      </c>
      <c r="N510" s="613" t="s">
        <v>464</v>
      </c>
      <c r="O510" s="613"/>
    </row>
    <row r="511" spans="12:16" x14ac:dyDescent="0.3">
      <c r="L511" s="615" t="s">
        <v>399</v>
      </c>
      <c r="M511" s="615">
        <v>0.03</v>
      </c>
      <c r="N511" s="615">
        <v>0.05</v>
      </c>
      <c r="O511" s="613" t="s">
        <v>1531</v>
      </c>
      <c r="P511" s="622" t="s">
        <v>1527</v>
      </c>
    </row>
    <row r="512" spans="12:16" x14ac:dyDescent="0.3">
      <c r="L512" s="613" t="s">
        <v>1099</v>
      </c>
      <c r="M512" s="613" t="s">
        <v>464</v>
      </c>
      <c r="N512" s="613" t="s">
        <v>464</v>
      </c>
      <c r="O512" s="613"/>
    </row>
    <row r="513" spans="12:16" x14ac:dyDescent="0.3">
      <c r="L513" s="613" t="s">
        <v>1100</v>
      </c>
      <c r="M513" s="613" t="s">
        <v>464</v>
      </c>
      <c r="N513" s="613" t="s">
        <v>464</v>
      </c>
      <c r="O513" s="613"/>
    </row>
    <row r="514" spans="12:16" x14ac:dyDescent="0.3">
      <c r="L514" s="613" t="s">
        <v>1101</v>
      </c>
      <c r="M514" s="613" t="s">
        <v>464</v>
      </c>
      <c r="N514" s="613" t="s">
        <v>464</v>
      </c>
      <c r="O514" s="613"/>
    </row>
    <row r="515" spans="12:16" x14ac:dyDescent="0.3">
      <c r="L515" s="613" t="s">
        <v>1102</v>
      </c>
      <c r="M515" s="613" t="s">
        <v>464</v>
      </c>
      <c r="N515" s="613" t="s">
        <v>464</v>
      </c>
      <c r="O515" s="613"/>
    </row>
    <row r="516" spans="12:16" x14ac:dyDescent="0.3">
      <c r="L516" s="613" t="s">
        <v>853</v>
      </c>
      <c r="M516" s="613" t="s">
        <v>464</v>
      </c>
      <c r="N516" s="613" t="s">
        <v>464</v>
      </c>
      <c r="O516" s="613"/>
    </row>
    <row r="517" spans="12:16" x14ac:dyDescent="0.3">
      <c r="L517" s="613" t="s">
        <v>1103</v>
      </c>
      <c r="M517" s="613" t="s">
        <v>464</v>
      </c>
      <c r="N517" s="613" t="s">
        <v>464</v>
      </c>
      <c r="O517" s="613" t="s">
        <v>1625</v>
      </c>
    </row>
    <row r="518" spans="12:16" x14ac:dyDescent="0.3">
      <c r="L518" s="613" t="s">
        <v>854</v>
      </c>
      <c r="M518" s="613" t="s">
        <v>464</v>
      </c>
      <c r="N518" s="613" t="s">
        <v>464</v>
      </c>
      <c r="O518" s="613"/>
    </row>
    <row r="519" spans="12:16" x14ac:dyDescent="0.3">
      <c r="L519" s="613" t="s">
        <v>1104</v>
      </c>
      <c r="M519" s="613" t="s">
        <v>464</v>
      </c>
      <c r="N519" s="613" t="s">
        <v>464</v>
      </c>
      <c r="O519" s="613"/>
    </row>
    <row r="520" spans="12:16" x14ac:dyDescent="0.3">
      <c r="L520" s="615" t="s">
        <v>1105</v>
      </c>
      <c r="M520" s="615">
        <v>0.03</v>
      </c>
      <c r="N520" s="615">
        <v>0.05</v>
      </c>
      <c r="O520" s="613" t="s">
        <v>1531</v>
      </c>
      <c r="P520" s="622" t="s">
        <v>1527</v>
      </c>
    </row>
    <row r="521" spans="12:16" x14ac:dyDescent="0.3">
      <c r="L521" s="613" t="s">
        <v>1106</v>
      </c>
      <c r="M521" s="613" t="s">
        <v>464</v>
      </c>
      <c r="N521" s="613" t="s">
        <v>464</v>
      </c>
      <c r="O521" s="613"/>
    </row>
    <row r="522" spans="12:16" x14ac:dyDescent="0.3">
      <c r="L522" s="613" t="s">
        <v>1107</v>
      </c>
      <c r="M522" s="613" t="s">
        <v>464</v>
      </c>
      <c r="N522" s="613" t="s">
        <v>464</v>
      </c>
      <c r="O522" s="613"/>
    </row>
    <row r="523" spans="12:16" x14ac:dyDescent="0.3">
      <c r="L523" s="613" t="s">
        <v>1108</v>
      </c>
      <c r="M523" s="613" t="s">
        <v>464</v>
      </c>
      <c r="N523" s="613" t="s">
        <v>464</v>
      </c>
      <c r="O523" s="613"/>
    </row>
    <row r="524" spans="12:16" x14ac:dyDescent="0.3">
      <c r="L524" s="613" t="s">
        <v>1109</v>
      </c>
      <c r="M524" s="613" t="s">
        <v>464</v>
      </c>
      <c r="N524" s="613" t="s">
        <v>464</v>
      </c>
      <c r="O524" s="613" t="s">
        <v>1625</v>
      </c>
    </row>
    <row r="525" spans="12:16" x14ac:dyDescent="0.3">
      <c r="L525" s="613" t="s">
        <v>1110</v>
      </c>
      <c r="M525" s="613" t="s">
        <v>464</v>
      </c>
      <c r="N525" s="613" t="s">
        <v>464</v>
      </c>
      <c r="O525" s="613"/>
    </row>
    <row r="526" spans="12:16" x14ac:dyDescent="0.3">
      <c r="L526" s="613" t="s">
        <v>1111</v>
      </c>
      <c r="M526" s="613" t="s">
        <v>464</v>
      </c>
      <c r="N526" s="613" t="s">
        <v>464</v>
      </c>
      <c r="O526" s="613"/>
    </row>
    <row r="527" spans="12:16" x14ac:dyDescent="0.3">
      <c r="L527" s="613" t="s">
        <v>1112</v>
      </c>
      <c r="M527" s="613" t="s">
        <v>464</v>
      </c>
      <c r="N527" s="613" t="s">
        <v>464</v>
      </c>
      <c r="O527" s="613"/>
    </row>
    <row r="528" spans="12:16" x14ac:dyDescent="0.3">
      <c r="L528" s="613" t="s">
        <v>1113</v>
      </c>
      <c r="M528" s="613" t="s">
        <v>464</v>
      </c>
      <c r="N528" s="613" t="s">
        <v>464</v>
      </c>
      <c r="O528" s="613"/>
    </row>
    <row r="529" spans="12:16" x14ac:dyDescent="0.3">
      <c r="L529" s="613" t="s">
        <v>1114</v>
      </c>
      <c r="M529" s="613" t="s">
        <v>464</v>
      </c>
      <c r="N529" s="613" t="s">
        <v>464</v>
      </c>
      <c r="O529" s="613"/>
    </row>
    <row r="530" spans="12:16" x14ac:dyDescent="0.3">
      <c r="L530" s="613" t="s">
        <v>1115</v>
      </c>
      <c r="M530" s="613" t="s">
        <v>464</v>
      </c>
      <c r="N530" s="613" t="s">
        <v>464</v>
      </c>
      <c r="O530" s="613"/>
    </row>
    <row r="531" spans="12:16" x14ac:dyDescent="0.3">
      <c r="L531" s="613" t="s">
        <v>1116</v>
      </c>
      <c r="M531" s="613" t="s">
        <v>464</v>
      </c>
      <c r="N531" s="613" t="s">
        <v>464</v>
      </c>
      <c r="O531" s="613"/>
    </row>
    <row r="532" spans="12:16" x14ac:dyDescent="0.3">
      <c r="L532" s="613" t="s">
        <v>1117</v>
      </c>
      <c r="M532" s="613" t="s">
        <v>464</v>
      </c>
      <c r="N532" s="613" t="s">
        <v>464</v>
      </c>
      <c r="O532" s="613"/>
    </row>
    <row r="533" spans="12:16" x14ac:dyDescent="0.3">
      <c r="L533" s="613" t="s">
        <v>1118</v>
      </c>
      <c r="M533" s="613" t="s">
        <v>464</v>
      </c>
      <c r="N533" s="613" t="s">
        <v>464</v>
      </c>
      <c r="O533" s="613"/>
    </row>
    <row r="534" spans="12:16" x14ac:dyDescent="0.3">
      <c r="L534" s="613" t="s">
        <v>561</v>
      </c>
      <c r="M534" s="613" t="s">
        <v>464</v>
      </c>
      <c r="N534" s="613" t="s">
        <v>464</v>
      </c>
      <c r="O534" s="613"/>
    </row>
    <row r="535" spans="12:16" x14ac:dyDescent="0.3">
      <c r="L535" s="613" t="s">
        <v>855</v>
      </c>
      <c r="M535" s="613" t="s">
        <v>464</v>
      </c>
      <c r="N535" s="613" t="s">
        <v>464</v>
      </c>
      <c r="O535" s="613"/>
    </row>
    <row r="536" spans="12:16" x14ac:dyDescent="0.3">
      <c r="L536" s="613" t="s">
        <v>1119</v>
      </c>
      <c r="M536" s="613" t="s">
        <v>464</v>
      </c>
      <c r="N536" s="613" t="s">
        <v>464</v>
      </c>
      <c r="O536" s="613"/>
    </row>
    <row r="537" spans="12:16" x14ac:dyDescent="0.3">
      <c r="L537" s="613" t="s">
        <v>1120</v>
      </c>
      <c r="M537" s="613" t="s">
        <v>464</v>
      </c>
      <c r="N537" s="613" t="s">
        <v>464</v>
      </c>
      <c r="O537" s="613"/>
    </row>
    <row r="538" spans="12:16" x14ac:dyDescent="0.3">
      <c r="L538" s="613" t="s">
        <v>562</v>
      </c>
      <c r="M538" s="613" t="s">
        <v>464</v>
      </c>
      <c r="N538" s="613" t="s">
        <v>464</v>
      </c>
      <c r="O538" s="613"/>
    </row>
    <row r="539" spans="12:16" x14ac:dyDescent="0.3">
      <c r="L539" s="613" t="s">
        <v>1121</v>
      </c>
      <c r="M539" s="613" t="s">
        <v>464</v>
      </c>
      <c r="N539" s="613" t="s">
        <v>464</v>
      </c>
      <c r="O539" s="613"/>
    </row>
    <row r="540" spans="12:16" x14ac:dyDescent="0.3">
      <c r="L540" s="613" t="s">
        <v>400</v>
      </c>
      <c r="M540" s="613" t="s">
        <v>464</v>
      </c>
      <c r="N540" s="613" t="s">
        <v>464</v>
      </c>
      <c r="O540" s="613"/>
    </row>
    <row r="541" spans="12:16" x14ac:dyDescent="0.3">
      <c r="L541" s="615" t="s">
        <v>1122</v>
      </c>
      <c r="M541" s="615">
        <v>0.03</v>
      </c>
      <c r="N541" s="615">
        <v>0.05</v>
      </c>
      <c r="O541" s="613" t="s">
        <v>1531</v>
      </c>
      <c r="P541" s="622" t="s">
        <v>1527</v>
      </c>
    </row>
    <row r="542" spans="12:16" x14ac:dyDescent="0.3">
      <c r="L542" s="613" t="s">
        <v>1123</v>
      </c>
      <c r="M542" s="613" t="s">
        <v>464</v>
      </c>
      <c r="N542" s="613" t="s">
        <v>464</v>
      </c>
      <c r="O542" s="613"/>
    </row>
    <row r="543" spans="12:16" x14ac:dyDescent="0.3">
      <c r="L543" s="613" t="s">
        <v>1124</v>
      </c>
      <c r="M543" s="613" t="s">
        <v>464</v>
      </c>
      <c r="N543" s="613" t="s">
        <v>464</v>
      </c>
      <c r="O543" s="613" t="s">
        <v>1625</v>
      </c>
    </row>
    <row r="544" spans="12:16" x14ac:dyDescent="0.3">
      <c r="L544" s="613" t="s">
        <v>1125</v>
      </c>
      <c r="M544" s="613" t="s">
        <v>464</v>
      </c>
      <c r="N544" s="613" t="s">
        <v>464</v>
      </c>
      <c r="O544" s="613"/>
    </row>
    <row r="545" spans="12:15" x14ac:dyDescent="0.3">
      <c r="L545" s="613" t="s">
        <v>1126</v>
      </c>
      <c r="M545" s="613" t="s">
        <v>464</v>
      </c>
      <c r="N545" s="613" t="s">
        <v>464</v>
      </c>
      <c r="O545" s="613"/>
    </row>
    <row r="546" spans="12:15" x14ac:dyDescent="0.3">
      <c r="L546" s="613" t="s">
        <v>401</v>
      </c>
      <c r="M546" s="613" t="s">
        <v>464</v>
      </c>
      <c r="N546" s="613" t="s">
        <v>464</v>
      </c>
      <c r="O546" s="613"/>
    </row>
    <row r="547" spans="12:15" x14ac:dyDescent="0.3">
      <c r="L547" s="613" t="s">
        <v>1127</v>
      </c>
      <c r="M547" s="613" t="s">
        <v>464</v>
      </c>
      <c r="N547" s="613" t="s">
        <v>464</v>
      </c>
      <c r="O547" s="613" t="s">
        <v>1625</v>
      </c>
    </row>
    <row r="548" spans="12:15" x14ac:dyDescent="0.3">
      <c r="L548" s="613" t="s">
        <v>856</v>
      </c>
      <c r="M548" s="613" t="s">
        <v>464</v>
      </c>
      <c r="N548" s="613" t="s">
        <v>464</v>
      </c>
      <c r="O548" s="613"/>
    </row>
    <row r="549" spans="12:15" x14ac:dyDescent="0.3">
      <c r="L549" s="613" t="s">
        <v>1128</v>
      </c>
      <c r="M549" s="613" t="s">
        <v>464</v>
      </c>
      <c r="N549" s="613" t="s">
        <v>464</v>
      </c>
      <c r="O549" s="613"/>
    </row>
    <row r="550" spans="12:15" x14ac:dyDescent="0.3">
      <c r="L550" s="613" t="s">
        <v>1129</v>
      </c>
      <c r="M550" s="613" t="s">
        <v>464</v>
      </c>
      <c r="N550" s="613" t="s">
        <v>464</v>
      </c>
      <c r="O550" s="613"/>
    </row>
    <row r="551" spans="12:15" x14ac:dyDescent="0.3">
      <c r="L551" s="613" t="s">
        <v>1130</v>
      </c>
      <c r="M551" s="613" t="s">
        <v>464</v>
      </c>
      <c r="N551" s="613" t="s">
        <v>464</v>
      </c>
      <c r="O551" s="613"/>
    </row>
    <row r="552" spans="12:15" x14ac:dyDescent="0.3">
      <c r="L552" s="613" t="s">
        <v>1131</v>
      </c>
      <c r="M552" s="613" t="s">
        <v>464</v>
      </c>
      <c r="N552" s="613" t="s">
        <v>464</v>
      </c>
      <c r="O552" s="613"/>
    </row>
    <row r="553" spans="12:15" x14ac:dyDescent="0.3">
      <c r="L553" s="613" t="s">
        <v>857</v>
      </c>
      <c r="M553" s="613" t="s">
        <v>464</v>
      </c>
      <c r="N553" s="613" t="s">
        <v>464</v>
      </c>
      <c r="O553" s="613"/>
    </row>
    <row r="554" spans="12:15" x14ac:dyDescent="0.3">
      <c r="L554" s="613" t="s">
        <v>1132</v>
      </c>
      <c r="M554" s="613" t="s">
        <v>464</v>
      </c>
      <c r="N554" s="613" t="s">
        <v>464</v>
      </c>
      <c r="O554" s="613"/>
    </row>
    <row r="555" spans="12:15" x14ac:dyDescent="0.3">
      <c r="L555" s="613" t="s">
        <v>1133</v>
      </c>
      <c r="M555" s="613" t="s">
        <v>464</v>
      </c>
      <c r="N555" s="613" t="s">
        <v>464</v>
      </c>
      <c r="O555" s="613"/>
    </row>
  </sheetData>
  <sheetProtection algorithmName="SHA-512" hashValue="4X/+Hm/KBdWbUYc+TeQeHmMzmwIlbTdA2/jrbjp+z+/EeSc8dV1szC78ENGgYwZgpgCvWKXw4GQMDvYRrkRr9A==" saltValue="fYrAojgf9JLlELBFp1Ig2Q=="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1"/>
  <sheetViews>
    <sheetView workbookViewId="0">
      <pane xSplit="3" ySplit="2" topLeftCell="D3" activePane="bottomRight" state="frozen"/>
      <selection pane="topRight" activeCell="D1" sqref="D1"/>
      <selection pane="bottomLeft" activeCell="A3" sqref="A3"/>
      <selection pane="bottomRight" activeCell="CT7" sqref="CT7"/>
    </sheetView>
  </sheetViews>
  <sheetFormatPr defaultRowHeight="14.4" x14ac:dyDescent="0.3"/>
  <cols>
    <col min="1" max="1" width="29.33203125" style="155" customWidth="1"/>
    <col min="2" max="2" width="80.44140625" customWidth="1"/>
    <col min="3" max="3" width="39.44140625" customWidth="1"/>
    <col min="4" max="97" width="20.6640625" customWidth="1"/>
    <col min="98" max="104" width="16.109375" customWidth="1"/>
  </cols>
  <sheetData>
    <row r="1" spans="1:99" ht="15.6" x14ac:dyDescent="0.3">
      <c r="A1" s="554" t="s">
        <v>1720</v>
      </c>
      <c r="B1" s="180" t="s">
        <v>351</v>
      </c>
      <c r="C1" s="180" t="s">
        <v>351</v>
      </c>
      <c r="D1" s="180" t="s">
        <v>1060</v>
      </c>
      <c r="E1" s="180" t="s">
        <v>1061</v>
      </c>
      <c r="F1" s="180" t="s">
        <v>1062</v>
      </c>
      <c r="G1" s="180" t="s">
        <v>1063</v>
      </c>
      <c r="H1" s="180" t="s">
        <v>1064</v>
      </c>
      <c r="I1" s="180" t="s">
        <v>1065</v>
      </c>
      <c r="J1" s="180" t="s">
        <v>848</v>
      </c>
      <c r="K1" s="180" t="s">
        <v>1066</v>
      </c>
      <c r="L1" s="180" t="s">
        <v>1067</v>
      </c>
      <c r="M1" s="180" t="s">
        <v>1068</v>
      </c>
      <c r="N1" s="180" t="s">
        <v>1069</v>
      </c>
      <c r="O1" s="180" t="s">
        <v>1070</v>
      </c>
      <c r="P1" s="180" t="s">
        <v>1071</v>
      </c>
      <c r="Q1" s="180" t="s">
        <v>1072</v>
      </c>
      <c r="R1" s="180" t="s">
        <v>849</v>
      </c>
      <c r="S1" s="180" t="s">
        <v>1073</v>
      </c>
      <c r="T1" s="180" t="s">
        <v>1074</v>
      </c>
      <c r="U1" s="180" t="s">
        <v>1075</v>
      </c>
      <c r="V1" s="180" t="s">
        <v>1076</v>
      </c>
      <c r="W1" s="180" t="s">
        <v>1077</v>
      </c>
      <c r="X1" s="180" t="s">
        <v>1078</v>
      </c>
      <c r="Y1" s="180" t="s">
        <v>1079</v>
      </c>
      <c r="Z1" s="180" t="s">
        <v>1080</v>
      </c>
      <c r="AA1" s="180" t="s">
        <v>850</v>
      </c>
      <c r="AB1" s="180" t="s">
        <v>1081</v>
      </c>
      <c r="AC1" s="180" t="s">
        <v>1082</v>
      </c>
      <c r="AD1" s="180" t="s">
        <v>555</v>
      </c>
      <c r="AE1" s="180" t="s">
        <v>556</v>
      </c>
      <c r="AF1" s="180" t="s">
        <v>851</v>
      </c>
      <c r="AG1" s="180" t="s">
        <v>1083</v>
      </c>
      <c r="AH1" s="180" t="s">
        <v>1084</v>
      </c>
      <c r="AI1" s="180" t="s">
        <v>1085</v>
      </c>
      <c r="AJ1" s="180" t="s">
        <v>1086</v>
      </c>
      <c r="AK1" s="180" t="s">
        <v>1087</v>
      </c>
      <c r="AL1" s="180" t="s">
        <v>1088</v>
      </c>
      <c r="AM1" s="180" t="s">
        <v>1089</v>
      </c>
      <c r="AN1" s="180" t="s">
        <v>1090</v>
      </c>
      <c r="AO1" s="180" t="s">
        <v>557</v>
      </c>
      <c r="AP1" s="180" t="s">
        <v>1091</v>
      </c>
      <c r="AQ1" s="180" t="s">
        <v>1092</v>
      </c>
      <c r="AR1" s="180" t="s">
        <v>1093</v>
      </c>
      <c r="AS1" s="180" t="s">
        <v>559</v>
      </c>
      <c r="AT1" s="180" t="s">
        <v>1094</v>
      </c>
      <c r="AU1" s="180" t="s">
        <v>1095</v>
      </c>
      <c r="AV1" s="180" t="s">
        <v>560</v>
      </c>
      <c r="AW1" s="180" t="s">
        <v>852</v>
      </c>
      <c r="AX1" s="180" t="s">
        <v>1096</v>
      </c>
      <c r="AY1" s="180" t="s">
        <v>1097</v>
      </c>
      <c r="AZ1" s="180" t="s">
        <v>1098</v>
      </c>
      <c r="BA1" s="180" t="s">
        <v>399</v>
      </c>
      <c r="BB1" s="180" t="s">
        <v>1099</v>
      </c>
      <c r="BC1" s="180" t="s">
        <v>1100</v>
      </c>
      <c r="BD1" s="180" t="s">
        <v>1101</v>
      </c>
      <c r="BE1" s="180" t="s">
        <v>1102</v>
      </c>
      <c r="BF1" s="180" t="s">
        <v>853</v>
      </c>
      <c r="BG1" s="180" t="s">
        <v>1103</v>
      </c>
      <c r="BH1" s="180" t="s">
        <v>854</v>
      </c>
      <c r="BI1" s="180" t="s">
        <v>1104</v>
      </c>
      <c r="BJ1" s="180" t="s">
        <v>1105</v>
      </c>
      <c r="BK1" s="180" t="s">
        <v>1106</v>
      </c>
      <c r="BL1" s="180" t="s">
        <v>1107</v>
      </c>
      <c r="BM1" s="180" t="s">
        <v>1108</v>
      </c>
      <c r="BN1" s="180" t="s">
        <v>1109</v>
      </c>
      <c r="BO1" s="180" t="s">
        <v>1110</v>
      </c>
      <c r="BP1" s="180" t="s">
        <v>1111</v>
      </c>
      <c r="BQ1" s="180" t="s">
        <v>1112</v>
      </c>
      <c r="BR1" s="180" t="s">
        <v>1113</v>
      </c>
      <c r="BS1" s="180" t="s">
        <v>1114</v>
      </c>
      <c r="BT1" s="180" t="s">
        <v>1115</v>
      </c>
      <c r="BU1" s="180" t="s">
        <v>1116</v>
      </c>
      <c r="BV1" s="180" t="s">
        <v>1117</v>
      </c>
      <c r="BW1" s="180" t="s">
        <v>1118</v>
      </c>
      <c r="BX1" s="180" t="s">
        <v>561</v>
      </c>
      <c r="BY1" s="180" t="s">
        <v>855</v>
      </c>
      <c r="BZ1" s="180" t="s">
        <v>1119</v>
      </c>
      <c r="CA1" s="180" t="s">
        <v>1120</v>
      </c>
      <c r="CB1" s="180" t="s">
        <v>562</v>
      </c>
      <c r="CC1" s="180" t="s">
        <v>1121</v>
      </c>
      <c r="CD1" s="180" t="s">
        <v>400</v>
      </c>
      <c r="CE1" s="180" t="s">
        <v>1122</v>
      </c>
      <c r="CF1" s="180" t="s">
        <v>1123</v>
      </c>
      <c r="CG1" s="180" t="s">
        <v>1124</v>
      </c>
      <c r="CH1" s="180" t="s">
        <v>1125</v>
      </c>
      <c r="CI1" s="180" t="s">
        <v>1126</v>
      </c>
      <c r="CJ1" s="180" t="s">
        <v>401</v>
      </c>
      <c r="CK1" s="180" t="s">
        <v>1127</v>
      </c>
      <c r="CL1" s="180" t="s">
        <v>856</v>
      </c>
      <c r="CM1" s="180" t="s">
        <v>1128</v>
      </c>
      <c r="CN1" s="180" t="s">
        <v>1129</v>
      </c>
      <c r="CO1" s="180" t="s">
        <v>1130</v>
      </c>
      <c r="CP1" s="180" t="s">
        <v>1131</v>
      </c>
      <c r="CQ1" s="180" t="s">
        <v>857</v>
      </c>
      <c r="CR1" s="180" t="s">
        <v>1132</v>
      </c>
      <c r="CS1" s="180" t="s">
        <v>1133</v>
      </c>
      <c r="CT1" s="180"/>
      <c r="CU1" s="180"/>
    </row>
    <row r="2" spans="1:99" x14ac:dyDescent="0.3">
      <c r="A2" s="155" t="s">
        <v>895</v>
      </c>
      <c r="B2" s="180" t="s">
        <v>41</v>
      </c>
      <c r="C2" s="180" t="s">
        <v>13</v>
      </c>
      <c r="D2" s="801">
        <v>50526</v>
      </c>
      <c r="E2" s="801">
        <v>50554</v>
      </c>
      <c r="F2" s="801">
        <v>50343</v>
      </c>
      <c r="G2" s="801">
        <v>50372</v>
      </c>
      <c r="H2" s="801">
        <v>50457</v>
      </c>
      <c r="I2" s="801">
        <v>50373</v>
      </c>
      <c r="J2" s="801">
        <v>50374</v>
      </c>
      <c r="K2" s="801">
        <v>50375</v>
      </c>
      <c r="L2" s="801">
        <v>50376</v>
      </c>
      <c r="M2" s="801">
        <v>50377</v>
      </c>
      <c r="N2" s="801">
        <v>50378</v>
      </c>
      <c r="O2" s="801">
        <v>50379</v>
      </c>
      <c r="P2" s="801">
        <v>50530</v>
      </c>
      <c r="Q2" s="801">
        <v>50380</v>
      </c>
      <c r="R2" s="801">
        <v>50483</v>
      </c>
      <c r="S2" s="801">
        <v>50381</v>
      </c>
      <c r="T2" s="801">
        <v>50501</v>
      </c>
      <c r="U2" s="801">
        <v>50494</v>
      </c>
      <c r="V2" s="801">
        <v>50382</v>
      </c>
      <c r="W2" s="801">
        <v>50383</v>
      </c>
      <c r="X2" s="801">
        <v>50384</v>
      </c>
      <c r="Y2" s="801">
        <v>50557</v>
      </c>
      <c r="Z2" s="801">
        <v>50385</v>
      </c>
      <c r="AA2" s="801">
        <v>50386</v>
      </c>
      <c r="AB2" s="801">
        <v>50388</v>
      </c>
      <c r="AC2" s="801">
        <v>50387</v>
      </c>
      <c r="AD2" s="801">
        <v>50389</v>
      </c>
      <c r="AE2" s="801">
        <v>50500</v>
      </c>
      <c r="AF2" s="801">
        <v>50390</v>
      </c>
      <c r="AG2" s="801">
        <v>50391</v>
      </c>
      <c r="AH2" s="801">
        <v>50531</v>
      </c>
      <c r="AI2" s="801">
        <v>50392</v>
      </c>
      <c r="AJ2" s="801">
        <v>50458</v>
      </c>
      <c r="AK2" s="801">
        <v>50393</v>
      </c>
      <c r="AL2" s="801">
        <v>50544</v>
      </c>
      <c r="AM2" s="801">
        <v>50394</v>
      </c>
      <c r="AN2" s="801">
        <v>50395</v>
      </c>
      <c r="AO2" s="801">
        <v>50396</v>
      </c>
      <c r="AP2" s="801">
        <v>50397</v>
      </c>
      <c r="AQ2" s="801">
        <v>50550</v>
      </c>
      <c r="AR2" s="801">
        <v>50398</v>
      </c>
      <c r="AS2" s="801">
        <v>50399</v>
      </c>
      <c r="AT2" s="801">
        <v>50400</v>
      </c>
      <c r="AU2" s="801">
        <v>50532</v>
      </c>
      <c r="AV2" s="801">
        <v>50401</v>
      </c>
      <c r="AW2" s="801">
        <v>50402</v>
      </c>
      <c r="AX2" s="801">
        <v>50485</v>
      </c>
      <c r="AY2" s="801">
        <v>50403</v>
      </c>
      <c r="AZ2" s="801">
        <v>50404</v>
      </c>
      <c r="BA2" s="801">
        <v>50405</v>
      </c>
      <c r="BB2" s="801">
        <v>50533</v>
      </c>
      <c r="BC2" s="801">
        <v>50406</v>
      </c>
      <c r="BD2" s="801">
        <v>50565</v>
      </c>
      <c r="BE2" s="801">
        <v>50407</v>
      </c>
      <c r="BF2" s="801">
        <v>50486</v>
      </c>
      <c r="BG2" s="801">
        <v>50408</v>
      </c>
      <c r="BH2" s="801">
        <v>50409</v>
      </c>
      <c r="BI2" s="801">
        <v>50410</v>
      </c>
      <c r="BJ2" s="801">
        <v>50411</v>
      </c>
      <c r="BK2" s="801">
        <v>50412</v>
      </c>
      <c r="BL2" s="801">
        <v>50488</v>
      </c>
      <c r="BM2" s="801">
        <v>50413</v>
      </c>
      <c r="BN2" s="801">
        <v>50414</v>
      </c>
      <c r="BO2" s="801">
        <v>50415</v>
      </c>
      <c r="BP2" s="801">
        <v>50416</v>
      </c>
      <c r="BQ2" s="801">
        <v>50534</v>
      </c>
      <c r="BR2" s="801">
        <v>50417</v>
      </c>
      <c r="BS2" s="180">
        <v>50418</v>
      </c>
      <c r="BT2" s="180">
        <v>50546</v>
      </c>
      <c r="BU2" s="180">
        <v>50552</v>
      </c>
      <c r="BV2" s="180">
        <v>50419</v>
      </c>
      <c r="BW2" s="180">
        <v>50441</v>
      </c>
      <c r="BX2" s="180">
        <v>50420</v>
      </c>
      <c r="BY2" s="180">
        <v>50421</v>
      </c>
      <c r="BZ2" s="180">
        <v>50422</v>
      </c>
      <c r="CA2" s="180">
        <v>50535</v>
      </c>
      <c r="CB2" s="180">
        <v>50423</v>
      </c>
      <c r="CC2" s="180">
        <v>50424</v>
      </c>
      <c r="CD2" s="180">
        <v>50425</v>
      </c>
      <c r="CE2" s="180">
        <v>50426</v>
      </c>
      <c r="CF2" s="180">
        <v>50537</v>
      </c>
      <c r="CG2" s="180">
        <v>50427</v>
      </c>
      <c r="CH2" s="180">
        <v>50428</v>
      </c>
      <c r="CI2" s="180">
        <v>50429</v>
      </c>
      <c r="CJ2" s="180">
        <v>50431</v>
      </c>
      <c r="CK2" s="180">
        <v>50430</v>
      </c>
      <c r="CL2" s="180">
        <v>50432</v>
      </c>
      <c r="CM2" s="180">
        <v>50453</v>
      </c>
      <c r="CN2" s="180">
        <v>50433</v>
      </c>
      <c r="CO2" s="180">
        <v>50435</v>
      </c>
      <c r="CP2" s="180">
        <v>50436</v>
      </c>
      <c r="CQ2" s="180">
        <v>50499</v>
      </c>
      <c r="CR2" s="180">
        <v>50438</v>
      </c>
      <c r="CS2" s="180">
        <v>50439</v>
      </c>
      <c r="CT2" s="180"/>
      <c r="CU2" s="180"/>
    </row>
    <row r="3" spans="1:99" x14ac:dyDescent="0.3">
      <c r="A3" s="155">
        <v>4</v>
      </c>
      <c r="B3" s="180" t="s">
        <v>111</v>
      </c>
      <c r="C3" s="180"/>
      <c r="D3" s="180">
        <v>5898</v>
      </c>
      <c r="E3" s="180">
        <v>1192567</v>
      </c>
      <c r="F3" s="180">
        <v>80183</v>
      </c>
      <c r="G3" s="180">
        <v>55790</v>
      </c>
      <c r="H3" s="180">
        <v>1309640</v>
      </c>
      <c r="I3" s="180">
        <v>20313</v>
      </c>
      <c r="J3" s="180">
        <v>148459</v>
      </c>
      <c r="K3" s="180"/>
      <c r="L3" s="180">
        <v>42521</v>
      </c>
      <c r="M3" s="180">
        <v>989527</v>
      </c>
      <c r="N3" s="180"/>
      <c r="O3" s="180">
        <v>102499</v>
      </c>
      <c r="P3" s="180">
        <v>10819</v>
      </c>
      <c r="Q3" s="180">
        <v>16489</v>
      </c>
      <c r="R3" s="180">
        <v>0</v>
      </c>
      <c r="S3" s="180">
        <v>11451</v>
      </c>
      <c r="T3" s="180">
        <v>68401</v>
      </c>
      <c r="U3" s="180">
        <v>216129</v>
      </c>
      <c r="V3" s="180">
        <v>196884</v>
      </c>
      <c r="W3" s="180">
        <v>607110</v>
      </c>
      <c r="X3" s="180">
        <v>803173</v>
      </c>
      <c r="Y3" s="180">
        <v>8168</v>
      </c>
      <c r="Z3" s="180">
        <v>132859</v>
      </c>
      <c r="AA3" s="180">
        <v>167870</v>
      </c>
      <c r="AB3" s="180">
        <v>1386</v>
      </c>
      <c r="AC3" s="180">
        <v>392910</v>
      </c>
      <c r="AD3" s="180"/>
      <c r="AE3" s="180">
        <v>30931</v>
      </c>
      <c r="AF3" s="180">
        <v>2016</v>
      </c>
      <c r="AG3" s="180">
        <v>1512968</v>
      </c>
      <c r="AH3" s="180">
        <v>24059</v>
      </c>
      <c r="AI3" s="180">
        <v>141110</v>
      </c>
      <c r="AJ3" s="180">
        <v>858617</v>
      </c>
      <c r="AK3" s="180">
        <v>1051</v>
      </c>
      <c r="AL3" s="180">
        <v>570346</v>
      </c>
      <c r="AM3" s="180">
        <v>693750</v>
      </c>
      <c r="AN3" s="180">
        <v>110382</v>
      </c>
      <c r="AO3" s="180">
        <v>126308</v>
      </c>
      <c r="AP3" s="180">
        <v>4715</v>
      </c>
      <c r="AQ3" s="180">
        <v>36006</v>
      </c>
      <c r="AR3" s="180">
        <v>78167</v>
      </c>
      <c r="AS3" s="180">
        <v>53073</v>
      </c>
      <c r="AT3" s="180">
        <v>2356</v>
      </c>
      <c r="AU3" s="180">
        <v>0</v>
      </c>
      <c r="AV3" s="180">
        <v>38547</v>
      </c>
      <c r="AW3" s="180">
        <v>3218</v>
      </c>
      <c r="AX3" s="180">
        <v>6266</v>
      </c>
      <c r="AY3" s="180">
        <v>210367</v>
      </c>
      <c r="AZ3" s="180">
        <v>3103</v>
      </c>
      <c r="BA3" s="180">
        <v>4172285</v>
      </c>
      <c r="BB3" s="180">
        <v>143456</v>
      </c>
      <c r="BC3" s="180">
        <v>146321</v>
      </c>
      <c r="BD3" s="180">
        <v>0</v>
      </c>
      <c r="BE3" s="180">
        <v>45904</v>
      </c>
      <c r="BF3" s="180">
        <v>30979</v>
      </c>
      <c r="BG3" s="180">
        <v>12729</v>
      </c>
      <c r="BH3" s="180">
        <v>35325</v>
      </c>
      <c r="BI3" s="180">
        <v>112118</v>
      </c>
      <c r="BJ3" s="180">
        <v>686281</v>
      </c>
      <c r="BK3" s="180">
        <v>9206</v>
      </c>
      <c r="BL3" s="180">
        <v>0</v>
      </c>
      <c r="BM3" s="180">
        <v>784631</v>
      </c>
      <c r="BN3" s="180">
        <v>1211099</v>
      </c>
      <c r="BO3" s="180">
        <v>428946</v>
      </c>
      <c r="BP3" s="180">
        <v>4247</v>
      </c>
      <c r="BQ3" s="180">
        <v>93043</v>
      </c>
      <c r="BR3" s="180">
        <v>71219</v>
      </c>
      <c r="BS3" s="180">
        <v>2337956</v>
      </c>
      <c r="BT3" s="180">
        <v>46832</v>
      </c>
      <c r="BU3" s="180">
        <v>60610</v>
      </c>
      <c r="BV3" s="180">
        <v>96476</v>
      </c>
      <c r="BW3" s="180">
        <v>118839</v>
      </c>
      <c r="BX3" s="180"/>
      <c r="BY3" s="180"/>
      <c r="BZ3" s="180">
        <v>391845</v>
      </c>
      <c r="CA3" s="180">
        <v>8446</v>
      </c>
      <c r="CB3" s="180"/>
      <c r="CC3" s="180">
        <v>1408413</v>
      </c>
      <c r="CD3" s="180">
        <v>9834093</v>
      </c>
      <c r="CE3" s="180">
        <v>5897539</v>
      </c>
      <c r="CF3" s="180">
        <v>9672</v>
      </c>
      <c r="CG3" s="180">
        <v>34505</v>
      </c>
      <c r="CH3" s="180">
        <v>30643</v>
      </c>
      <c r="CI3" s="180">
        <v>74949</v>
      </c>
      <c r="CJ3" s="180">
        <v>7156359</v>
      </c>
      <c r="CK3" s="180">
        <v>1543062</v>
      </c>
      <c r="CL3" s="180">
        <v>18558</v>
      </c>
      <c r="CM3" s="180">
        <v>189507</v>
      </c>
      <c r="CN3" s="180">
        <v>7511</v>
      </c>
      <c r="CO3" s="180">
        <v>552619</v>
      </c>
      <c r="CP3" s="180">
        <v>116045</v>
      </c>
      <c r="CQ3" s="180">
        <v>59845</v>
      </c>
      <c r="CR3" s="180">
        <v>267112</v>
      </c>
      <c r="CS3" s="180">
        <v>586930</v>
      </c>
      <c r="CT3" s="180"/>
      <c r="CU3" s="180"/>
    </row>
    <row r="4" spans="1:99" x14ac:dyDescent="0.3">
      <c r="A4" s="155">
        <v>5</v>
      </c>
      <c r="B4" s="180" t="s">
        <v>112</v>
      </c>
      <c r="C4" s="180"/>
      <c r="D4" s="180">
        <v>0</v>
      </c>
      <c r="E4" s="180">
        <v>0</v>
      </c>
      <c r="F4" s="180">
        <v>0</v>
      </c>
      <c r="G4" s="180">
        <v>0</v>
      </c>
      <c r="H4" s="180">
        <v>1383</v>
      </c>
      <c r="I4" s="180">
        <v>0</v>
      </c>
      <c r="J4" s="180">
        <v>0</v>
      </c>
      <c r="K4" s="180"/>
      <c r="L4" s="180">
        <v>0</v>
      </c>
      <c r="M4" s="180">
        <v>16815</v>
      </c>
      <c r="N4" s="180"/>
      <c r="O4" s="180">
        <v>0</v>
      </c>
      <c r="P4" s="180">
        <v>0</v>
      </c>
      <c r="Q4" s="180">
        <v>0</v>
      </c>
      <c r="R4" s="180">
        <v>0</v>
      </c>
      <c r="S4" s="180">
        <v>0</v>
      </c>
      <c r="T4" s="180">
        <v>2189</v>
      </c>
      <c r="U4" s="180">
        <v>716081</v>
      </c>
      <c r="V4" s="180">
        <v>0</v>
      </c>
      <c r="W4" s="180">
        <v>0</v>
      </c>
      <c r="X4" s="180">
        <v>0</v>
      </c>
      <c r="Y4" s="180">
        <v>0</v>
      </c>
      <c r="Z4" s="180">
        <v>14964</v>
      </c>
      <c r="AA4" s="180">
        <v>0</v>
      </c>
      <c r="AB4" s="180">
        <v>0</v>
      </c>
      <c r="AC4" s="180">
        <v>13550</v>
      </c>
      <c r="AD4" s="180"/>
      <c r="AE4" s="180">
        <v>0</v>
      </c>
      <c r="AF4" s="180">
        <v>0</v>
      </c>
      <c r="AG4" s="180">
        <v>0</v>
      </c>
      <c r="AH4" s="180">
        <v>0</v>
      </c>
      <c r="AI4" s="180">
        <v>0</v>
      </c>
      <c r="AJ4" s="180">
        <v>318</v>
      </c>
      <c r="AK4" s="180">
        <v>231065</v>
      </c>
      <c r="AL4" s="180">
        <v>0</v>
      </c>
      <c r="AM4" s="180">
        <v>0</v>
      </c>
      <c r="AN4" s="180">
        <v>15056</v>
      </c>
      <c r="AO4" s="180">
        <v>0</v>
      </c>
      <c r="AP4" s="180">
        <v>0</v>
      </c>
      <c r="AQ4" s="180">
        <v>0</v>
      </c>
      <c r="AR4" s="180">
        <v>0</v>
      </c>
      <c r="AS4" s="180">
        <v>7</v>
      </c>
      <c r="AT4" s="180">
        <v>0</v>
      </c>
      <c r="AU4" s="180">
        <v>143012</v>
      </c>
      <c r="AV4" s="180">
        <v>0</v>
      </c>
      <c r="AW4" s="180">
        <v>748</v>
      </c>
      <c r="AX4" s="180">
        <v>0</v>
      </c>
      <c r="AY4" s="180">
        <v>0</v>
      </c>
      <c r="AZ4" s="180">
        <v>2049</v>
      </c>
      <c r="BA4" s="180">
        <v>50597</v>
      </c>
      <c r="BB4" s="180">
        <v>0</v>
      </c>
      <c r="BC4" s="180">
        <v>0</v>
      </c>
      <c r="BD4" s="180">
        <v>0</v>
      </c>
      <c r="BE4" s="180">
        <v>0</v>
      </c>
      <c r="BF4" s="180">
        <v>0</v>
      </c>
      <c r="BG4" s="180">
        <v>0</v>
      </c>
      <c r="BH4" s="180">
        <v>0</v>
      </c>
      <c r="BI4" s="180">
        <v>0</v>
      </c>
      <c r="BJ4" s="180">
        <v>390</v>
      </c>
      <c r="BK4" s="180">
        <v>0</v>
      </c>
      <c r="BL4" s="180">
        <v>0</v>
      </c>
      <c r="BM4" s="180">
        <v>0</v>
      </c>
      <c r="BN4" s="180">
        <v>10627</v>
      </c>
      <c r="BO4" s="180">
        <v>0</v>
      </c>
      <c r="BP4" s="180">
        <v>0</v>
      </c>
      <c r="BQ4" s="180">
        <v>0</v>
      </c>
      <c r="BR4" s="180">
        <v>0</v>
      </c>
      <c r="BS4" s="180">
        <v>0</v>
      </c>
      <c r="BT4" s="180">
        <v>0</v>
      </c>
      <c r="BU4" s="180">
        <v>335</v>
      </c>
      <c r="BV4" s="180">
        <v>5110</v>
      </c>
      <c r="BW4" s="180">
        <v>3851</v>
      </c>
      <c r="BX4" s="180"/>
      <c r="BY4" s="180"/>
      <c r="BZ4" s="180">
        <v>360</v>
      </c>
      <c r="CA4" s="180">
        <v>0</v>
      </c>
      <c r="CB4" s="180"/>
      <c r="CC4" s="180">
        <v>18854</v>
      </c>
      <c r="CD4" s="180">
        <v>0</v>
      </c>
      <c r="CE4" s="180">
        <v>0</v>
      </c>
      <c r="CF4" s="180">
        <v>10</v>
      </c>
      <c r="CG4" s="180">
        <v>0</v>
      </c>
      <c r="CH4" s="180">
        <v>0</v>
      </c>
      <c r="CI4" s="180">
        <v>0</v>
      </c>
      <c r="CJ4" s="180">
        <v>0</v>
      </c>
      <c r="CK4" s="180">
        <v>0</v>
      </c>
      <c r="CL4" s="180">
        <v>0</v>
      </c>
      <c r="CM4" s="180">
        <v>0</v>
      </c>
      <c r="CN4" s="180">
        <v>0</v>
      </c>
      <c r="CO4" s="180">
        <v>0</v>
      </c>
      <c r="CP4" s="180">
        <v>0</v>
      </c>
      <c r="CQ4" s="180">
        <v>0</v>
      </c>
      <c r="CR4" s="180">
        <v>0</v>
      </c>
      <c r="CS4" s="180">
        <v>6050</v>
      </c>
      <c r="CT4" s="180"/>
      <c r="CU4" s="180"/>
    </row>
    <row r="5" spans="1:99" x14ac:dyDescent="0.3">
      <c r="A5" s="155">
        <v>6</v>
      </c>
      <c r="B5" s="180" t="s">
        <v>251</v>
      </c>
      <c r="C5" s="180"/>
      <c r="D5" s="180">
        <v>0</v>
      </c>
      <c r="E5" s="180">
        <v>0</v>
      </c>
      <c r="F5" s="180">
        <v>0</v>
      </c>
      <c r="G5" s="180">
        <v>0</v>
      </c>
      <c r="H5" s="180">
        <v>99019</v>
      </c>
      <c r="I5" s="180">
        <v>0</v>
      </c>
      <c r="J5" s="180">
        <v>0</v>
      </c>
      <c r="K5" s="180"/>
      <c r="L5" s="180">
        <v>0</v>
      </c>
      <c r="M5" s="180">
        <v>2692458</v>
      </c>
      <c r="N5" s="180"/>
      <c r="O5" s="180">
        <v>0</v>
      </c>
      <c r="P5" s="180">
        <v>0</v>
      </c>
      <c r="Q5" s="180">
        <v>0</v>
      </c>
      <c r="R5" s="180">
        <v>0</v>
      </c>
      <c r="S5" s="180">
        <v>0</v>
      </c>
      <c r="T5" s="180">
        <v>0</v>
      </c>
      <c r="U5" s="180">
        <v>0</v>
      </c>
      <c r="V5" s="180">
        <v>0</v>
      </c>
      <c r="W5" s="180">
        <v>0</v>
      </c>
      <c r="X5" s="180">
        <v>0</v>
      </c>
      <c r="Y5" s="180">
        <v>0</v>
      </c>
      <c r="Z5" s="180">
        <v>0</v>
      </c>
      <c r="AA5" s="180">
        <v>0</v>
      </c>
      <c r="AB5" s="180">
        <v>0</v>
      </c>
      <c r="AC5" s="180">
        <v>0</v>
      </c>
      <c r="AD5" s="180"/>
      <c r="AE5" s="180">
        <v>0</v>
      </c>
      <c r="AF5" s="180">
        <v>0</v>
      </c>
      <c r="AG5" s="180">
        <v>845169</v>
      </c>
      <c r="AH5" s="180">
        <v>0</v>
      </c>
      <c r="AI5" s="180">
        <v>0</v>
      </c>
      <c r="AJ5" s="180">
        <v>0</v>
      </c>
      <c r="AK5" s="180">
        <v>0</v>
      </c>
      <c r="AL5" s="180">
        <v>0</v>
      </c>
      <c r="AM5" s="180">
        <v>0</v>
      </c>
      <c r="AN5" s="180">
        <v>0</v>
      </c>
      <c r="AO5" s="180">
        <v>0</v>
      </c>
      <c r="AP5" s="180">
        <v>0</v>
      </c>
      <c r="AQ5" s="180">
        <v>0</v>
      </c>
      <c r="AR5" s="180">
        <v>172117</v>
      </c>
      <c r="AS5" s="180">
        <v>0</v>
      </c>
      <c r="AT5" s="180">
        <v>0</v>
      </c>
      <c r="AU5" s="180">
        <v>0</v>
      </c>
      <c r="AV5" s="180">
        <v>0</v>
      </c>
      <c r="AW5" s="180">
        <v>0</v>
      </c>
      <c r="AX5" s="180">
        <v>0</v>
      </c>
      <c r="AY5" s="180">
        <v>0</v>
      </c>
      <c r="AZ5" s="180">
        <v>0</v>
      </c>
      <c r="BA5" s="180">
        <v>1638855</v>
      </c>
      <c r="BB5" s="180">
        <v>0</v>
      </c>
      <c r="BC5" s="180">
        <v>0</v>
      </c>
      <c r="BD5" s="180">
        <v>0</v>
      </c>
      <c r="BE5" s="180">
        <v>0</v>
      </c>
      <c r="BF5" s="180">
        <v>0</v>
      </c>
      <c r="BG5" s="180">
        <v>0</v>
      </c>
      <c r="BH5" s="180">
        <v>0</v>
      </c>
      <c r="BI5" s="180">
        <v>0</v>
      </c>
      <c r="BJ5" s="180">
        <v>351807</v>
      </c>
      <c r="BK5" s="180">
        <v>0</v>
      </c>
      <c r="BL5" s="180">
        <v>0</v>
      </c>
      <c r="BM5" s="180">
        <v>0</v>
      </c>
      <c r="BN5" s="180">
        <v>778407</v>
      </c>
      <c r="BO5" s="180">
        <v>0</v>
      </c>
      <c r="BP5" s="180">
        <v>0</v>
      </c>
      <c r="BQ5" s="180">
        <v>5000</v>
      </c>
      <c r="BR5" s="180">
        <v>0</v>
      </c>
      <c r="BS5" s="180">
        <v>0</v>
      </c>
      <c r="BT5" s="180">
        <v>0</v>
      </c>
      <c r="BU5" s="180">
        <v>0</v>
      </c>
      <c r="BV5" s="180">
        <v>0</v>
      </c>
      <c r="BW5" s="180">
        <v>0</v>
      </c>
      <c r="BX5" s="180"/>
      <c r="BY5" s="180"/>
      <c r="BZ5" s="180">
        <v>0</v>
      </c>
      <c r="CA5" s="180">
        <v>0</v>
      </c>
      <c r="CB5" s="180"/>
      <c r="CC5" s="180">
        <v>0</v>
      </c>
      <c r="CD5" s="180">
        <v>1834111</v>
      </c>
      <c r="CE5" s="180">
        <v>1392252</v>
      </c>
      <c r="CF5" s="180">
        <v>0</v>
      </c>
      <c r="CG5" s="180">
        <v>0</v>
      </c>
      <c r="CH5" s="180">
        <v>0</v>
      </c>
      <c r="CI5" s="180">
        <v>0</v>
      </c>
      <c r="CJ5" s="180">
        <v>5350577</v>
      </c>
      <c r="CK5" s="180">
        <v>0</v>
      </c>
      <c r="CL5" s="180">
        <v>0</v>
      </c>
      <c r="CM5" s="180">
        <v>0</v>
      </c>
      <c r="CN5" s="180">
        <v>0</v>
      </c>
      <c r="CO5" s="180">
        <v>0</v>
      </c>
      <c r="CP5" s="180">
        <v>0</v>
      </c>
      <c r="CQ5" s="180">
        <v>0</v>
      </c>
      <c r="CR5" s="180">
        <v>0</v>
      </c>
      <c r="CS5" s="180">
        <v>0</v>
      </c>
      <c r="CT5" s="180"/>
      <c r="CU5" s="180"/>
    </row>
    <row r="6" spans="1:99" x14ac:dyDescent="0.3">
      <c r="A6" s="155">
        <v>7</v>
      </c>
      <c r="B6" s="180" t="s">
        <v>193</v>
      </c>
      <c r="C6" s="180"/>
      <c r="D6" s="180">
        <v>0</v>
      </c>
      <c r="E6" s="180">
        <v>0</v>
      </c>
      <c r="F6" s="180">
        <v>0</v>
      </c>
      <c r="G6" s="180">
        <v>3213</v>
      </c>
      <c r="H6" s="180">
        <v>0</v>
      </c>
      <c r="I6" s="180">
        <v>0</v>
      </c>
      <c r="J6" s="180">
        <v>0</v>
      </c>
      <c r="K6" s="180"/>
      <c r="L6" s="180">
        <v>0</v>
      </c>
      <c r="M6" s="180">
        <v>30815</v>
      </c>
      <c r="N6" s="180"/>
      <c r="O6" s="180">
        <v>0</v>
      </c>
      <c r="P6" s="180">
        <v>0</v>
      </c>
      <c r="Q6" s="180">
        <v>0</v>
      </c>
      <c r="R6" s="180">
        <v>0</v>
      </c>
      <c r="S6" s="180">
        <v>4137</v>
      </c>
      <c r="T6" s="180">
        <v>0</v>
      </c>
      <c r="U6" s="180">
        <v>4087</v>
      </c>
      <c r="V6" s="180">
        <v>0</v>
      </c>
      <c r="W6" s="180">
        <v>596006</v>
      </c>
      <c r="X6" s="180">
        <v>0</v>
      </c>
      <c r="Y6" s="180">
        <v>6919</v>
      </c>
      <c r="Z6" s="180">
        <v>0</v>
      </c>
      <c r="AA6" s="180">
        <v>0</v>
      </c>
      <c r="AB6" s="180">
        <v>0</v>
      </c>
      <c r="AC6" s="180">
        <v>156286</v>
      </c>
      <c r="AD6" s="180"/>
      <c r="AE6" s="180">
        <v>15900</v>
      </c>
      <c r="AF6" s="180">
        <v>0</v>
      </c>
      <c r="AG6" s="180">
        <v>105672</v>
      </c>
      <c r="AH6" s="180">
        <v>0</v>
      </c>
      <c r="AI6" s="180">
        <v>21150</v>
      </c>
      <c r="AJ6" s="180">
        <v>1324</v>
      </c>
      <c r="AK6" s="180">
        <v>4536</v>
      </c>
      <c r="AL6" s="180">
        <v>0</v>
      </c>
      <c r="AM6" s="180">
        <v>30684</v>
      </c>
      <c r="AN6" s="180">
        <v>18637</v>
      </c>
      <c r="AO6" s="180">
        <v>0</v>
      </c>
      <c r="AP6" s="180">
        <v>0</v>
      </c>
      <c r="AQ6" s="180">
        <v>2902</v>
      </c>
      <c r="AR6" s="180">
        <v>231358</v>
      </c>
      <c r="AS6" s="180">
        <v>0</v>
      </c>
      <c r="AT6" s="180">
        <v>0</v>
      </c>
      <c r="AU6" s="180">
        <v>0</v>
      </c>
      <c r="AV6" s="180">
        <v>0</v>
      </c>
      <c r="AW6" s="180">
        <v>0</v>
      </c>
      <c r="AX6" s="180">
        <v>0</v>
      </c>
      <c r="AY6" s="180">
        <v>31054</v>
      </c>
      <c r="AZ6" s="180">
        <v>0</v>
      </c>
      <c r="BA6" s="180">
        <v>200958</v>
      </c>
      <c r="BB6" s="180">
        <v>0</v>
      </c>
      <c r="BC6" s="180">
        <v>109</v>
      </c>
      <c r="BD6" s="180">
        <v>49011</v>
      </c>
      <c r="BE6" s="180">
        <v>0</v>
      </c>
      <c r="BF6" s="180">
        <v>0</v>
      </c>
      <c r="BG6" s="180">
        <v>25950</v>
      </c>
      <c r="BH6" s="180">
        <v>0</v>
      </c>
      <c r="BI6" s="180">
        <v>0</v>
      </c>
      <c r="BJ6" s="180">
        <v>100010</v>
      </c>
      <c r="BK6" s="180">
        <v>7617</v>
      </c>
      <c r="BL6" s="180">
        <v>303690</v>
      </c>
      <c r="BM6" s="180">
        <v>2006</v>
      </c>
      <c r="BN6" s="180">
        <v>16782</v>
      </c>
      <c r="BO6" s="180">
        <v>86771</v>
      </c>
      <c r="BP6" s="180">
        <v>0</v>
      </c>
      <c r="BQ6" s="180">
        <v>15826</v>
      </c>
      <c r="BR6" s="180">
        <v>234798</v>
      </c>
      <c r="BS6" s="180">
        <v>0</v>
      </c>
      <c r="BT6" s="180">
        <v>21887</v>
      </c>
      <c r="BU6" s="180">
        <v>495</v>
      </c>
      <c r="BV6" s="180">
        <v>0</v>
      </c>
      <c r="BW6" s="180">
        <v>0</v>
      </c>
      <c r="BX6" s="180"/>
      <c r="BY6" s="180"/>
      <c r="BZ6" s="180">
        <v>4267</v>
      </c>
      <c r="CA6" s="180">
        <v>0</v>
      </c>
      <c r="CB6" s="180"/>
      <c r="CC6" s="180">
        <v>20702</v>
      </c>
      <c r="CD6" s="180">
        <v>1175225</v>
      </c>
      <c r="CE6" s="180">
        <v>615478</v>
      </c>
      <c r="CF6" s="180">
        <v>0</v>
      </c>
      <c r="CG6" s="180">
        <v>22145</v>
      </c>
      <c r="CH6" s="180">
        <v>0</v>
      </c>
      <c r="CI6" s="180">
        <v>17014</v>
      </c>
      <c r="CJ6" s="180">
        <v>664350</v>
      </c>
      <c r="CK6" s="180">
        <v>22663</v>
      </c>
      <c r="CL6" s="180">
        <v>0</v>
      </c>
      <c r="CM6" s="180">
        <v>0</v>
      </c>
      <c r="CN6" s="180">
        <v>0</v>
      </c>
      <c r="CO6" s="180">
        <v>78445</v>
      </c>
      <c r="CP6" s="180">
        <v>0</v>
      </c>
      <c r="CQ6" s="180">
        <v>0</v>
      </c>
      <c r="CR6" s="180">
        <v>0</v>
      </c>
      <c r="CS6" s="180">
        <v>6491</v>
      </c>
      <c r="CT6" s="180"/>
      <c r="CU6" s="180"/>
    </row>
    <row r="7" spans="1:99" x14ac:dyDescent="0.3">
      <c r="A7" s="155">
        <v>9</v>
      </c>
      <c r="B7" s="180" t="s">
        <v>195</v>
      </c>
      <c r="C7" s="180"/>
      <c r="D7" s="180">
        <v>912862</v>
      </c>
      <c r="E7" s="180">
        <v>4906408</v>
      </c>
      <c r="F7" s="180">
        <v>1726084</v>
      </c>
      <c r="G7" s="180">
        <v>764776</v>
      </c>
      <c r="H7" s="180">
        <v>10686174</v>
      </c>
      <c r="I7" s="180">
        <v>1149632</v>
      </c>
      <c r="J7" s="180">
        <v>2150275</v>
      </c>
      <c r="K7" s="180"/>
      <c r="L7" s="180">
        <v>1102726</v>
      </c>
      <c r="M7" s="180">
        <v>38525547</v>
      </c>
      <c r="N7" s="180"/>
      <c r="O7" s="180">
        <v>1090672</v>
      </c>
      <c r="P7" s="180">
        <v>2982618</v>
      </c>
      <c r="Q7" s="180">
        <v>1292795</v>
      </c>
      <c r="R7" s="180">
        <v>333083</v>
      </c>
      <c r="S7" s="180">
        <v>419544</v>
      </c>
      <c r="T7" s="180">
        <v>1365769</v>
      </c>
      <c r="U7" s="180">
        <v>6628489</v>
      </c>
      <c r="V7" s="180">
        <v>12271089</v>
      </c>
      <c r="W7" s="180">
        <v>11109333</v>
      </c>
      <c r="X7" s="180">
        <v>3470977</v>
      </c>
      <c r="Y7" s="180">
        <v>3710741</v>
      </c>
      <c r="Z7" s="180">
        <v>7056801</v>
      </c>
      <c r="AA7" s="180">
        <v>2351103</v>
      </c>
      <c r="AB7" s="180">
        <v>124380</v>
      </c>
      <c r="AC7" s="180">
        <v>6238916</v>
      </c>
      <c r="AD7" s="180"/>
      <c r="AE7" s="180">
        <v>1139893</v>
      </c>
      <c r="AF7" s="180">
        <v>916757</v>
      </c>
      <c r="AG7" s="180">
        <v>19981742</v>
      </c>
      <c r="AH7" s="180">
        <v>2340321</v>
      </c>
      <c r="AI7" s="180">
        <v>3820763</v>
      </c>
      <c r="AJ7" s="180">
        <v>2105136</v>
      </c>
      <c r="AK7" s="180">
        <v>762219</v>
      </c>
      <c r="AL7" s="180">
        <v>10878633</v>
      </c>
      <c r="AM7" s="180">
        <v>4853857</v>
      </c>
      <c r="AN7" s="180">
        <v>1899511</v>
      </c>
      <c r="AO7" s="180">
        <v>1848102</v>
      </c>
      <c r="AP7" s="180">
        <v>232779</v>
      </c>
      <c r="AQ7" s="180">
        <v>3460537</v>
      </c>
      <c r="AR7" s="180">
        <v>7089573</v>
      </c>
      <c r="AS7" s="180">
        <v>976464</v>
      </c>
      <c r="AT7" s="180">
        <v>477369</v>
      </c>
      <c r="AU7" s="180">
        <v>1916192</v>
      </c>
      <c r="AV7" s="180">
        <v>690183</v>
      </c>
      <c r="AW7" s="180">
        <v>188929</v>
      </c>
      <c r="AX7" s="180">
        <v>393251</v>
      </c>
      <c r="AY7" s="180">
        <v>3831508</v>
      </c>
      <c r="AZ7" s="180">
        <v>1366656</v>
      </c>
      <c r="BA7" s="180">
        <v>29755190</v>
      </c>
      <c r="BB7" s="180">
        <v>5910984</v>
      </c>
      <c r="BC7" s="180">
        <v>2981846</v>
      </c>
      <c r="BD7" s="180">
        <v>3386965</v>
      </c>
      <c r="BE7" s="180">
        <v>1838422</v>
      </c>
      <c r="BF7" s="180">
        <v>2191788</v>
      </c>
      <c r="BG7" s="180">
        <v>312716</v>
      </c>
      <c r="BH7" s="180">
        <v>1147039</v>
      </c>
      <c r="BI7" s="180">
        <v>3061273</v>
      </c>
      <c r="BJ7" s="180">
        <v>9338995</v>
      </c>
      <c r="BK7" s="180">
        <v>626389</v>
      </c>
      <c r="BL7" s="180">
        <v>348356</v>
      </c>
      <c r="BM7" s="180">
        <v>18345399</v>
      </c>
      <c r="BN7" s="180">
        <v>12466141</v>
      </c>
      <c r="BO7" s="180">
        <v>7012858</v>
      </c>
      <c r="BP7" s="180">
        <v>268552</v>
      </c>
      <c r="BQ7" s="180">
        <v>4650520</v>
      </c>
      <c r="BR7" s="180">
        <v>1500018</v>
      </c>
      <c r="BS7" s="180">
        <v>21297608</v>
      </c>
      <c r="BT7" s="180">
        <v>2278973</v>
      </c>
      <c r="BU7" s="180">
        <v>1770253</v>
      </c>
      <c r="BV7" s="180">
        <v>2622244</v>
      </c>
      <c r="BW7" s="180">
        <v>4866815</v>
      </c>
      <c r="BX7" s="180"/>
      <c r="BY7" s="180"/>
      <c r="BZ7" s="180">
        <v>3215927</v>
      </c>
      <c r="CA7" s="180">
        <v>744800</v>
      </c>
      <c r="CB7" s="180"/>
      <c r="CC7" s="180">
        <v>4817670</v>
      </c>
      <c r="CD7" s="180">
        <v>73145369</v>
      </c>
      <c r="CE7" s="180">
        <v>28795630</v>
      </c>
      <c r="CF7" s="180">
        <v>1311872</v>
      </c>
      <c r="CG7" s="180">
        <v>4246619</v>
      </c>
      <c r="CH7" s="180">
        <v>287497</v>
      </c>
      <c r="CI7" s="180">
        <v>1974576</v>
      </c>
      <c r="CJ7" s="180">
        <v>87202080</v>
      </c>
      <c r="CK7" s="180">
        <v>13442007</v>
      </c>
      <c r="CL7" s="180">
        <v>1134280</v>
      </c>
      <c r="CM7" s="180">
        <v>6448754</v>
      </c>
      <c r="CN7" s="180">
        <v>1235539</v>
      </c>
      <c r="CO7" s="180">
        <v>21042757</v>
      </c>
      <c r="CP7" s="180">
        <v>3880604</v>
      </c>
      <c r="CQ7" s="180">
        <v>2033410</v>
      </c>
      <c r="CR7" s="180">
        <v>4053268</v>
      </c>
      <c r="CS7" s="180">
        <v>18183986</v>
      </c>
      <c r="CT7" s="180"/>
      <c r="CU7" s="180"/>
    </row>
    <row r="8" spans="1:99" x14ac:dyDescent="0.3">
      <c r="A8" s="155">
        <v>11</v>
      </c>
      <c r="B8" s="180" t="s">
        <v>194</v>
      </c>
      <c r="C8" s="180"/>
      <c r="D8" s="180">
        <v>74306</v>
      </c>
      <c r="E8" s="180">
        <v>0</v>
      </c>
      <c r="F8" s="180">
        <v>135841</v>
      </c>
      <c r="G8" s="180">
        <v>22370</v>
      </c>
      <c r="H8" s="180">
        <v>713769</v>
      </c>
      <c r="I8" s="180">
        <v>6049</v>
      </c>
      <c r="J8" s="180">
        <v>496625</v>
      </c>
      <c r="K8" s="180"/>
      <c r="L8" s="180">
        <v>74328</v>
      </c>
      <c r="M8" s="180">
        <v>1248040</v>
      </c>
      <c r="N8" s="180"/>
      <c r="O8" s="180">
        <v>91289</v>
      </c>
      <c r="P8" s="180">
        <v>0</v>
      </c>
      <c r="Q8" s="180">
        <v>215011</v>
      </c>
      <c r="R8" s="180">
        <v>62116</v>
      </c>
      <c r="S8" s="180">
        <v>43538</v>
      </c>
      <c r="T8" s="180">
        <v>0</v>
      </c>
      <c r="U8" s="180">
        <v>0</v>
      </c>
      <c r="V8" s="180">
        <v>298095</v>
      </c>
      <c r="W8" s="180">
        <v>378067</v>
      </c>
      <c r="X8" s="180">
        <v>41880</v>
      </c>
      <c r="Y8" s="180">
        <v>0</v>
      </c>
      <c r="Z8" s="180">
        <v>187734</v>
      </c>
      <c r="AA8" s="180">
        <v>0</v>
      </c>
      <c r="AB8" s="180">
        <v>14733</v>
      </c>
      <c r="AC8" s="180">
        <v>871235</v>
      </c>
      <c r="AD8" s="180"/>
      <c r="AE8" s="180">
        <v>172723</v>
      </c>
      <c r="AF8" s="180">
        <v>69475</v>
      </c>
      <c r="AG8" s="180">
        <v>1134510</v>
      </c>
      <c r="AH8" s="180">
        <v>468239</v>
      </c>
      <c r="AI8" s="180">
        <v>24264</v>
      </c>
      <c r="AJ8" s="180">
        <v>45293</v>
      </c>
      <c r="AK8" s="180">
        <v>9447</v>
      </c>
      <c r="AL8" s="180">
        <v>637191</v>
      </c>
      <c r="AM8" s="180">
        <v>112950</v>
      </c>
      <c r="AN8" s="180">
        <v>89437</v>
      </c>
      <c r="AO8" s="180">
        <v>84755</v>
      </c>
      <c r="AP8" s="180">
        <v>1000</v>
      </c>
      <c r="AQ8" s="180">
        <v>0</v>
      </c>
      <c r="AR8" s="180">
        <v>67700</v>
      </c>
      <c r="AS8" s="180">
        <v>0</v>
      </c>
      <c r="AT8" s="180">
        <v>95731</v>
      </c>
      <c r="AU8" s="180">
        <v>0</v>
      </c>
      <c r="AV8" s="180">
        <v>71876</v>
      </c>
      <c r="AW8" s="180">
        <v>106834</v>
      </c>
      <c r="AX8" s="180">
        <v>144848</v>
      </c>
      <c r="AY8" s="180">
        <v>167245</v>
      </c>
      <c r="AZ8" s="180">
        <v>91065</v>
      </c>
      <c r="BA8" s="180">
        <v>0</v>
      </c>
      <c r="BB8" s="180">
        <v>397055</v>
      </c>
      <c r="BC8" s="180">
        <v>17044</v>
      </c>
      <c r="BD8" s="180">
        <v>0</v>
      </c>
      <c r="BE8" s="180">
        <v>5205</v>
      </c>
      <c r="BF8" s="180">
        <v>66691</v>
      </c>
      <c r="BG8" s="180">
        <v>29476</v>
      </c>
      <c r="BH8" s="180">
        <v>7174</v>
      </c>
      <c r="BI8" s="180">
        <v>50469</v>
      </c>
      <c r="BJ8" s="180">
        <v>0</v>
      </c>
      <c r="BK8" s="180">
        <v>86125</v>
      </c>
      <c r="BL8" s="180">
        <v>16893</v>
      </c>
      <c r="BM8" s="180">
        <v>0</v>
      </c>
      <c r="BN8" s="180">
        <v>183748</v>
      </c>
      <c r="BO8" s="180">
        <v>228149</v>
      </c>
      <c r="BP8" s="180">
        <v>0</v>
      </c>
      <c r="BQ8" s="180">
        <v>0</v>
      </c>
      <c r="BR8" s="180">
        <v>120000</v>
      </c>
      <c r="BS8" s="180">
        <v>0</v>
      </c>
      <c r="BT8" s="180">
        <v>0</v>
      </c>
      <c r="BU8" s="180">
        <v>0</v>
      </c>
      <c r="BV8" s="180">
        <v>46982</v>
      </c>
      <c r="BW8" s="180">
        <v>0</v>
      </c>
      <c r="BX8" s="180"/>
      <c r="BY8" s="180"/>
      <c r="BZ8" s="180">
        <v>83375</v>
      </c>
      <c r="CA8" s="180">
        <v>0</v>
      </c>
      <c r="CB8" s="180"/>
      <c r="CC8" s="180">
        <v>454042</v>
      </c>
      <c r="CD8" s="180">
        <v>0</v>
      </c>
      <c r="CE8" s="180">
        <v>30875</v>
      </c>
      <c r="CF8" s="180">
        <v>174053</v>
      </c>
      <c r="CG8" s="180">
        <v>0</v>
      </c>
      <c r="CH8" s="180">
        <v>10825</v>
      </c>
      <c r="CI8" s="180">
        <v>337656</v>
      </c>
      <c r="CJ8" s="180">
        <v>0</v>
      </c>
      <c r="CK8" s="180">
        <v>488809</v>
      </c>
      <c r="CL8" s="180">
        <v>98593</v>
      </c>
      <c r="CM8" s="180">
        <v>381120</v>
      </c>
      <c r="CN8" s="180">
        <v>79006</v>
      </c>
      <c r="CO8" s="180">
        <v>247304</v>
      </c>
      <c r="CP8" s="180">
        <v>65269</v>
      </c>
      <c r="CQ8" s="180">
        <v>319518</v>
      </c>
      <c r="CR8" s="180">
        <v>14947</v>
      </c>
      <c r="CS8" s="180">
        <v>445740</v>
      </c>
      <c r="CT8" s="180"/>
      <c r="CU8" s="180"/>
    </row>
    <row r="9" spans="1:99" x14ac:dyDescent="0.3">
      <c r="A9" s="155">
        <v>16</v>
      </c>
      <c r="B9" s="180" t="s">
        <v>197</v>
      </c>
      <c r="C9" s="180"/>
      <c r="D9" s="180">
        <v>289917</v>
      </c>
      <c r="E9" s="180">
        <v>4440153</v>
      </c>
      <c r="F9" s="180">
        <v>3676320</v>
      </c>
      <c r="G9" s="180">
        <v>187924</v>
      </c>
      <c r="H9" s="180">
        <v>10076503</v>
      </c>
      <c r="I9" s="180">
        <v>1289769</v>
      </c>
      <c r="J9" s="180">
        <v>3630190</v>
      </c>
      <c r="K9" s="180"/>
      <c r="L9" s="180">
        <v>838623</v>
      </c>
      <c r="M9" s="180">
        <v>37615490</v>
      </c>
      <c r="N9" s="180"/>
      <c r="O9" s="180">
        <v>742172</v>
      </c>
      <c r="P9" s="180">
        <v>399985</v>
      </c>
      <c r="Q9" s="180">
        <v>1758835</v>
      </c>
      <c r="R9" s="180">
        <v>65334</v>
      </c>
      <c r="S9" s="180">
        <v>275533</v>
      </c>
      <c r="T9" s="180">
        <v>2148912</v>
      </c>
      <c r="U9" s="180">
        <v>1436862</v>
      </c>
      <c r="V9" s="180">
        <v>9246666</v>
      </c>
      <c r="W9" s="180">
        <v>14973808</v>
      </c>
      <c r="X9" s="180">
        <v>4567401</v>
      </c>
      <c r="Y9" s="180">
        <v>939229</v>
      </c>
      <c r="Z9" s="180">
        <v>4708165</v>
      </c>
      <c r="AA9" s="180">
        <v>3383013</v>
      </c>
      <c r="AB9" s="180">
        <v>74605</v>
      </c>
      <c r="AC9" s="180">
        <v>9735109</v>
      </c>
      <c r="AD9" s="180"/>
      <c r="AE9" s="180">
        <v>1097690</v>
      </c>
      <c r="AF9" s="180">
        <v>430107</v>
      </c>
      <c r="AG9" s="180">
        <v>28383346</v>
      </c>
      <c r="AH9" s="180">
        <v>676724</v>
      </c>
      <c r="AI9" s="180">
        <v>3871671</v>
      </c>
      <c r="AJ9" s="180">
        <v>2256997</v>
      </c>
      <c r="AK9" s="180">
        <v>202623</v>
      </c>
      <c r="AL9" s="180">
        <v>4136645</v>
      </c>
      <c r="AM9" s="180">
        <v>5899186</v>
      </c>
      <c r="AN9" s="180">
        <v>3496841</v>
      </c>
      <c r="AO9" s="180">
        <v>1978985</v>
      </c>
      <c r="AP9" s="180">
        <v>316434</v>
      </c>
      <c r="AQ9" s="180">
        <v>478035</v>
      </c>
      <c r="AR9" s="180">
        <v>5567307</v>
      </c>
      <c r="AS9" s="180">
        <v>796647</v>
      </c>
      <c r="AT9" s="180">
        <v>137343</v>
      </c>
      <c r="AU9" s="180">
        <v>299841</v>
      </c>
      <c r="AV9" s="180">
        <v>1147939</v>
      </c>
      <c r="AW9" s="180">
        <v>101225</v>
      </c>
      <c r="AX9" s="180">
        <v>369122</v>
      </c>
      <c r="AY9" s="180">
        <v>5239412</v>
      </c>
      <c r="AZ9" s="180">
        <v>435034</v>
      </c>
      <c r="BA9" s="180">
        <v>64743544</v>
      </c>
      <c r="BB9" s="180">
        <v>2557633</v>
      </c>
      <c r="BC9" s="180">
        <v>4515879</v>
      </c>
      <c r="BD9" s="180">
        <v>1285419</v>
      </c>
      <c r="BE9" s="180">
        <v>1450424</v>
      </c>
      <c r="BF9" s="180">
        <v>1532347</v>
      </c>
      <c r="BG9" s="180">
        <v>245060</v>
      </c>
      <c r="BH9" s="180">
        <v>1208099</v>
      </c>
      <c r="BI9" s="180">
        <v>3386435</v>
      </c>
      <c r="BJ9" s="180">
        <v>13415861</v>
      </c>
      <c r="BK9" s="180">
        <v>356243</v>
      </c>
      <c r="BL9" s="180">
        <v>114180</v>
      </c>
      <c r="BM9" s="180">
        <v>18155045</v>
      </c>
      <c r="BN9" s="180">
        <v>15261726</v>
      </c>
      <c r="BO9" s="180">
        <v>6972638</v>
      </c>
      <c r="BP9" s="180">
        <v>174687</v>
      </c>
      <c r="BQ9" s="180">
        <v>2691777</v>
      </c>
      <c r="BR9" s="180">
        <v>1375082</v>
      </c>
      <c r="BS9" s="180">
        <v>16606204</v>
      </c>
      <c r="BT9" s="180">
        <v>1058124</v>
      </c>
      <c r="BU9" s="180">
        <v>682197</v>
      </c>
      <c r="BV9" s="180">
        <v>2369526</v>
      </c>
      <c r="BW9" s="180">
        <v>5581222</v>
      </c>
      <c r="BX9" s="180"/>
      <c r="BY9" s="180"/>
      <c r="BZ9" s="180">
        <v>5424145</v>
      </c>
      <c r="CA9" s="180">
        <v>289786</v>
      </c>
      <c r="CB9" s="180"/>
      <c r="CC9" s="180">
        <v>7336881</v>
      </c>
      <c r="CD9" s="180">
        <v>129141149</v>
      </c>
      <c r="CE9" s="180">
        <v>55568499</v>
      </c>
      <c r="CF9" s="180">
        <v>1771099</v>
      </c>
      <c r="CG9" s="180">
        <v>2455643</v>
      </c>
      <c r="CH9" s="180">
        <v>733982</v>
      </c>
      <c r="CI9" s="180">
        <v>1866914</v>
      </c>
      <c r="CJ9" s="180">
        <v>226336720</v>
      </c>
      <c r="CK9" s="180">
        <v>10427179</v>
      </c>
      <c r="CL9" s="180">
        <v>453145</v>
      </c>
      <c r="CM9" s="180">
        <v>6279665</v>
      </c>
      <c r="CN9" s="180">
        <v>501649</v>
      </c>
      <c r="CO9" s="180">
        <v>17262062</v>
      </c>
      <c r="CP9" s="180">
        <v>3206902</v>
      </c>
      <c r="CQ9" s="180">
        <v>1061916</v>
      </c>
      <c r="CR9" s="180">
        <v>3911098</v>
      </c>
      <c r="CS9" s="180">
        <v>16567621</v>
      </c>
      <c r="CT9" s="180"/>
      <c r="CU9" s="180"/>
    </row>
    <row r="10" spans="1:99" x14ac:dyDescent="0.3">
      <c r="A10" s="155">
        <v>17</v>
      </c>
      <c r="B10" s="180" t="s">
        <v>200</v>
      </c>
      <c r="C10" s="180"/>
      <c r="D10" s="180">
        <v>0</v>
      </c>
      <c r="E10" s="180">
        <v>0</v>
      </c>
      <c r="F10" s="180">
        <v>0</v>
      </c>
      <c r="G10" s="180">
        <v>520</v>
      </c>
      <c r="H10" s="180">
        <v>0</v>
      </c>
      <c r="I10" s="180">
        <v>0</v>
      </c>
      <c r="J10" s="180">
        <v>20000</v>
      </c>
      <c r="K10" s="180"/>
      <c r="L10" s="180">
        <v>0</v>
      </c>
      <c r="M10" s="180">
        <v>6083044</v>
      </c>
      <c r="N10" s="180"/>
      <c r="O10" s="180">
        <v>0</v>
      </c>
      <c r="P10" s="180">
        <v>0</v>
      </c>
      <c r="Q10" s="180">
        <v>86551</v>
      </c>
      <c r="R10" s="180">
        <v>0</v>
      </c>
      <c r="S10" s="180">
        <v>0</v>
      </c>
      <c r="T10" s="180">
        <v>0</v>
      </c>
      <c r="U10" s="180">
        <v>0</v>
      </c>
      <c r="V10" s="180">
        <v>472072</v>
      </c>
      <c r="W10" s="180">
        <v>917469</v>
      </c>
      <c r="X10" s="180">
        <v>47450</v>
      </c>
      <c r="Y10" s="180">
        <v>0</v>
      </c>
      <c r="Z10" s="180">
        <v>436383</v>
      </c>
      <c r="AA10" s="180">
        <v>0</v>
      </c>
      <c r="AB10" s="180">
        <v>0</v>
      </c>
      <c r="AC10" s="180">
        <v>1801300</v>
      </c>
      <c r="AD10" s="180"/>
      <c r="AE10" s="180">
        <v>0</v>
      </c>
      <c r="AF10" s="180">
        <v>0</v>
      </c>
      <c r="AG10" s="180">
        <v>1891226</v>
      </c>
      <c r="AH10" s="180">
        <v>221744</v>
      </c>
      <c r="AI10" s="180">
        <v>0</v>
      </c>
      <c r="AJ10" s="180">
        <v>475310</v>
      </c>
      <c r="AK10" s="180">
        <v>0</v>
      </c>
      <c r="AL10" s="180">
        <v>0</v>
      </c>
      <c r="AM10" s="180">
        <v>0</v>
      </c>
      <c r="AN10" s="180">
        <v>250000</v>
      </c>
      <c r="AO10" s="180">
        <v>52997</v>
      </c>
      <c r="AP10" s="180">
        <v>0</v>
      </c>
      <c r="AQ10" s="180">
        <v>107634</v>
      </c>
      <c r="AR10" s="180">
        <v>928094</v>
      </c>
      <c r="AS10" s="180">
        <v>0</v>
      </c>
      <c r="AT10" s="180">
        <v>0</v>
      </c>
      <c r="AU10" s="180">
        <v>0</v>
      </c>
      <c r="AV10" s="180">
        <v>0</v>
      </c>
      <c r="AW10" s="180">
        <v>2926</v>
      </c>
      <c r="AX10" s="180">
        <v>0</v>
      </c>
      <c r="AY10" s="180">
        <v>2519</v>
      </c>
      <c r="AZ10" s="180">
        <v>16785</v>
      </c>
      <c r="BA10" s="180">
        <v>258339</v>
      </c>
      <c r="BB10" s="180">
        <v>0</v>
      </c>
      <c r="BC10" s="180">
        <v>753755</v>
      </c>
      <c r="BD10" s="180">
        <v>0</v>
      </c>
      <c r="BE10" s="180">
        <v>0</v>
      </c>
      <c r="BF10" s="180">
        <v>0</v>
      </c>
      <c r="BG10" s="180">
        <v>0</v>
      </c>
      <c r="BH10" s="180">
        <v>27486</v>
      </c>
      <c r="BI10" s="180">
        <v>19875</v>
      </c>
      <c r="BJ10" s="180">
        <v>3799076</v>
      </c>
      <c r="BK10" s="180">
        <v>0</v>
      </c>
      <c r="BL10" s="180">
        <v>0</v>
      </c>
      <c r="BM10" s="180">
        <v>457293</v>
      </c>
      <c r="BN10" s="180">
        <v>1275600</v>
      </c>
      <c r="BO10" s="180">
        <v>0</v>
      </c>
      <c r="BP10" s="180">
        <v>0</v>
      </c>
      <c r="BQ10" s="180">
        <v>156486</v>
      </c>
      <c r="BR10" s="180">
        <v>230000</v>
      </c>
      <c r="BS10" s="180">
        <v>0</v>
      </c>
      <c r="BT10" s="180">
        <v>173422</v>
      </c>
      <c r="BU10" s="180">
        <v>0</v>
      </c>
      <c r="BV10" s="180">
        <v>0</v>
      </c>
      <c r="BW10" s="180">
        <v>553582</v>
      </c>
      <c r="BX10" s="180"/>
      <c r="BY10" s="180"/>
      <c r="BZ10" s="180">
        <v>130000</v>
      </c>
      <c r="CA10" s="180">
        <v>0</v>
      </c>
      <c r="CB10" s="180"/>
      <c r="CC10" s="180">
        <v>0</v>
      </c>
      <c r="CD10" s="180">
        <v>0</v>
      </c>
      <c r="CE10" s="180">
        <v>3468010</v>
      </c>
      <c r="CF10" s="180">
        <v>0</v>
      </c>
      <c r="CG10" s="180">
        <v>1075120</v>
      </c>
      <c r="CH10" s="180">
        <v>0</v>
      </c>
      <c r="CI10" s="180">
        <v>0</v>
      </c>
      <c r="CJ10" s="180">
        <v>39053665</v>
      </c>
      <c r="CK10" s="180">
        <v>650000</v>
      </c>
      <c r="CL10" s="180">
        <v>0</v>
      </c>
      <c r="CM10" s="180">
        <v>0</v>
      </c>
      <c r="CN10" s="180">
        <v>0</v>
      </c>
      <c r="CO10" s="180">
        <v>115500</v>
      </c>
      <c r="CP10" s="180">
        <v>4887</v>
      </c>
      <c r="CQ10" s="180">
        <v>0</v>
      </c>
      <c r="CR10" s="180">
        <v>0</v>
      </c>
      <c r="CS10" s="180">
        <v>0</v>
      </c>
      <c r="CT10" s="180"/>
      <c r="CU10" s="180"/>
    </row>
    <row r="11" spans="1:99" x14ac:dyDescent="0.3">
      <c r="A11" s="155">
        <v>20</v>
      </c>
      <c r="B11" s="180" t="s">
        <v>201</v>
      </c>
      <c r="C11" s="180"/>
      <c r="D11" s="180">
        <v>0</v>
      </c>
      <c r="E11" s="180">
        <v>0</v>
      </c>
      <c r="F11" s="180">
        <v>0</v>
      </c>
      <c r="G11" s="180">
        <v>0</v>
      </c>
      <c r="H11" s="180">
        <v>0</v>
      </c>
      <c r="I11" s="180">
        <v>0</v>
      </c>
      <c r="J11" s="180">
        <v>0</v>
      </c>
      <c r="K11" s="180"/>
      <c r="L11" s="180">
        <v>0</v>
      </c>
      <c r="M11" s="180">
        <v>611525</v>
      </c>
      <c r="N11" s="180"/>
      <c r="O11" s="180">
        <v>0</v>
      </c>
      <c r="P11" s="180">
        <v>0</v>
      </c>
      <c r="Q11" s="180">
        <v>0</v>
      </c>
      <c r="R11" s="180">
        <v>0</v>
      </c>
      <c r="S11" s="180">
        <v>10007</v>
      </c>
      <c r="T11" s="180">
        <v>0</v>
      </c>
      <c r="U11" s="180">
        <v>0</v>
      </c>
      <c r="V11" s="180">
        <v>0</v>
      </c>
      <c r="W11" s="180">
        <v>2394835</v>
      </c>
      <c r="X11" s="180">
        <v>70154</v>
      </c>
      <c r="Y11" s="180">
        <v>0</v>
      </c>
      <c r="Z11" s="180">
        <v>836947</v>
      </c>
      <c r="AA11" s="180">
        <v>414481</v>
      </c>
      <c r="AB11" s="180">
        <v>0</v>
      </c>
      <c r="AC11" s="180">
        <v>76048</v>
      </c>
      <c r="AD11" s="180"/>
      <c r="AE11" s="180">
        <v>0</v>
      </c>
      <c r="AF11" s="180">
        <v>0</v>
      </c>
      <c r="AG11" s="180">
        <v>735268</v>
      </c>
      <c r="AH11" s="180">
        <v>0</v>
      </c>
      <c r="AI11" s="180">
        <v>0</v>
      </c>
      <c r="AJ11" s="180">
        <v>525000</v>
      </c>
      <c r="AK11" s="180">
        <v>0</v>
      </c>
      <c r="AL11" s="180">
        <v>1377413</v>
      </c>
      <c r="AM11" s="180">
        <v>200000</v>
      </c>
      <c r="AN11" s="180">
        <v>18192</v>
      </c>
      <c r="AO11" s="180">
        <v>146604</v>
      </c>
      <c r="AP11" s="180">
        <v>0</v>
      </c>
      <c r="AQ11" s="180">
        <v>0</v>
      </c>
      <c r="AR11" s="180">
        <v>150000</v>
      </c>
      <c r="AS11" s="180">
        <v>0</v>
      </c>
      <c r="AT11" s="180">
        <v>0</v>
      </c>
      <c r="AU11" s="180">
        <v>0</v>
      </c>
      <c r="AV11" s="180">
        <v>0</v>
      </c>
      <c r="AW11" s="180">
        <v>0</v>
      </c>
      <c r="AX11" s="180">
        <v>0</v>
      </c>
      <c r="AY11" s="180">
        <v>100000</v>
      </c>
      <c r="AZ11" s="180">
        <v>0</v>
      </c>
      <c r="BA11" s="180">
        <v>7743323</v>
      </c>
      <c r="BB11" s="180">
        <v>0</v>
      </c>
      <c r="BC11" s="180">
        <v>111082</v>
      </c>
      <c r="BD11" s="180">
        <v>0</v>
      </c>
      <c r="BE11" s="180">
        <v>0</v>
      </c>
      <c r="BF11" s="180">
        <v>0</v>
      </c>
      <c r="BG11" s="180">
        <v>0</v>
      </c>
      <c r="BH11" s="180">
        <v>42000</v>
      </c>
      <c r="BI11" s="180">
        <v>0</v>
      </c>
      <c r="BJ11" s="180">
        <v>837349</v>
      </c>
      <c r="BK11" s="180">
        <v>0</v>
      </c>
      <c r="BL11" s="180">
        <v>0</v>
      </c>
      <c r="BM11" s="180">
        <v>0</v>
      </c>
      <c r="BN11" s="180">
        <v>0</v>
      </c>
      <c r="BO11" s="180">
        <v>1503032</v>
      </c>
      <c r="BP11" s="180">
        <v>0</v>
      </c>
      <c r="BQ11" s="180">
        <v>0</v>
      </c>
      <c r="BR11" s="180">
        <v>268918</v>
      </c>
      <c r="BS11" s="180">
        <v>202178</v>
      </c>
      <c r="BT11" s="180">
        <v>0</v>
      </c>
      <c r="BU11" s="180">
        <v>0</v>
      </c>
      <c r="BV11" s="180">
        <v>0</v>
      </c>
      <c r="BW11" s="180">
        <v>76915</v>
      </c>
      <c r="BX11" s="180"/>
      <c r="BY11" s="180"/>
      <c r="BZ11" s="180">
        <v>86712</v>
      </c>
      <c r="CA11" s="180">
        <v>0</v>
      </c>
      <c r="CB11" s="180"/>
      <c r="CC11" s="180">
        <v>94400</v>
      </c>
      <c r="CD11" s="180">
        <v>23415716</v>
      </c>
      <c r="CE11" s="180">
        <v>1883960</v>
      </c>
      <c r="CF11" s="180">
        <v>0</v>
      </c>
      <c r="CG11" s="180">
        <v>11039</v>
      </c>
      <c r="CH11" s="180">
        <v>0</v>
      </c>
      <c r="CI11" s="180">
        <v>12288</v>
      </c>
      <c r="CJ11" s="180">
        <v>34003200</v>
      </c>
      <c r="CK11" s="180">
        <v>0</v>
      </c>
      <c r="CL11" s="180">
        <v>0</v>
      </c>
      <c r="CM11" s="180">
        <v>0</v>
      </c>
      <c r="CN11" s="180">
        <v>11049</v>
      </c>
      <c r="CO11" s="180">
        <v>2922115</v>
      </c>
      <c r="CP11" s="180">
        <v>4802</v>
      </c>
      <c r="CQ11" s="180">
        <v>0</v>
      </c>
      <c r="CR11" s="180">
        <v>219104</v>
      </c>
      <c r="CS11" s="180">
        <v>1491900</v>
      </c>
      <c r="CT11" s="180"/>
      <c r="CU11" s="180"/>
    </row>
    <row r="12" spans="1:99" x14ac:dyDescent="0.3">
      <c r="A12" s="155">
        <v>22</v>
      </c>
      <c r="B12" s="180" t="s">
        <v>203</v>
      </c>
      <c r="C12" s="180"/>
      <c r="D12" s="180">
        <v>0</v>
      </c>
      <c r="E12" s="180">
        <v>0</v>
      </c>
      <c r="F12" s="180">
        <v>0</v>
      </c>
      <c r="G12" s="180">
        <v>0</v>
      </c>
      <c r="H12" s="180">
        <v>0</v>
      </c>
      <c r="I12" s="180">
        <v>0</v>
      </c>
      <c r="J12" s="180">
        <v>0</v>
      </c>
      <c r="K12" s="180"/>
      <c r="L12" s="180">
        <v>0</v>
      </c>
      <c r="M12" s="180">
        <v>0</v>
      </c>
      <c r="N12" s="180"/>
      <c r="O12" s="180">
        <v>60502</v>
      </c>
      <c r="P12" s="180">
        <v>0</v>
      </c>
      <c r="Q12" s="180">
        <v>0</v>
      </c>
      <c r="R12" s="180">
        <v>0</v>
      </c>
      <c r="S12" s="180">
        <v>0</v>
      </c>
      <c r="T12" s="180">
        <v>13571</v>
      </c>
      <c r="U12" s="180">
        <v>75</v>
      </c>
      <c r="V12" s="180">
        <v>13351</v>
      </c>
      <c r="W12" s="180">
        <v>0</v>
      </c>
      <c r="X12" s="180">
        <v>0</v>
      </c>
      <c r="Y12" s="180">
        <v>0</v>
      </c>
      <c r="Z12" s="180">
        <v>0</v>
      </c>
      <c r="AA12" s="180">
        <v>0</v>
      </c>
      <c r="AB12" s="180">
        <v>0</v>
      </c>
      <c r="AC12" s="180">
        <v>-694</v>
      </c>
      <c r="AD12" s="180"/>
      <c r="AE12" s="180">
        <v>0</v>
      </c>
      <c r="AF12" s="180">
        <v>0</v>
      </c>
      <c r="AG12" s="180">
        <v>0</v>
      </c>
      <c r="AH12" s="180">
        <v>0</v>
      </c>
      <c r="AI12" s="180">
        <v>0</v>
      </c>
      <c r="AJ12" s="180">
        <v>0</v>
      </c>
      <c r="AK12" s="180">
        <v>0</v>
      </c>
      <c r="AL12" s="180">
        <v>0</v>
      </c>
      <c r="AM12" s="180">
        <v>32920</v>
      </c>
      <c r="AN12" s="180">
        <v>0</v>
      </c>
      <c r="AO12" s="180">
        <v>47826</v>
      </c>
      <c r="AP12" s="180">
        <v>0</v>
      </c>
      <c r="AQ12" s="180">
        <v>0</v>
      </c>
      <c r="AR12" s="180">
        <v>0</v>
      </c>
      <c r="AS12" s="180">
        <v>0</v>
      </c>
      <c r="AT12" s="180">
        <v>0</v>
      </c>
      <c r="AU12" s="180">
        <v>0</v>
      </c>
      <c r="AV12" s="180">
        <v>0</v>
      </c>
      <c r="AW12" s="180">
        <v>0</v>
      </c>
      <c r="AX12" s="180">
        <v>0</v>
      </c>
      <c r="AY12" s="180">
        <v>7741</v>
      </c>
      <c r="AZ12" s="180">
        <v>0</v>
      </c>
      <c r="BA12" s="180">
        <v>757976</v>
      </c>
      <c r="BB12" s="180">
        <v>0</v>
      </c>
      <c r="BC12" s="180">
        <v>91648</v>
      </c>
      <c r="BD12" s="180">
        <v>0</v>
      </c>
      <c r="BE12" s="180">
        <v>0</v>
      </c>
      <c r="BF12" s="180">
        <v>0</v>
      </c>
      <c r="BG12" s="180">
        <v>0</v>
      </c>
      <c r="BH12" s="180">
        <v>8713</v>
      </c>
      <c r="BI12" s="180">
        <v>0</v>
      </c>
      <c r="BJ12" s="180">
        <v>0</v>
      </c>
      <c r="BK12" s="180">
        <v>0</v>
      </c>
      <c r="BL12" s="180">
        <v>0</v>
      </c>
      <c r="BM12" s="180">
        <v>122830</v>
      </c>
      <c r="BN12" s="180">
        <v>184837</v>
      </c>
      <c r="BO12" s="180">
        <v>13575</v>
      </c>
      <c r="BP12" s="180">
        <v>0</v>
      </c>
      <c r="BQ12" s="180">
        <v>0</v>
      </c>
      <c r="BR12" s="180">
        <v>0</v>
      </c>
      <c r="BS12" s="180">
        <v>32321</v>
      </c>
      <c r="BT12" s="180">
        <v>0</v>
      </c>
      <c r="BU12" s="180">
        <v>0</v>
      </c>
      <c r="BV12" s="180">
        <v>0</v>
      </c>
      <c r="BW12" s="180">
        <v>0</v>
      </c>
      <c r="BX12" s="180"/>
      <c r="BY12" s="180"/>
      <c r="BZ12" s="180">
        <v>15743</v>
      </c>
      <c r="CA12" s="180">
        <v>0</v>
      </c>
      <c r="CB12" s="180"/>
      <c r="CC12" s="180">
        <v>98431</v>
      </c>
      <c r="CD12" s="180">
        <v>0</v>
      </c>
      <c r="CE12" s="180">
        <v>44019</v>
      </c>
      <c r="CF12" s="180">
        <v>7354</v>
      </c>
      <c r="CG12" s="180">
        <v>0</v>
      </c>
      <c r="CH12" s="180">
        <v>0</v>
      </c>
      <c r="CI12" s="180">
        <v>308239</v>
      </c>
      <c r="CJ12" s="180">
        <v>0</v>
      </c>
      <c r="CK12" s="180">
        <v>0</v>
      </c>
      <c r="CL12" s="180">
        <v>0</v>
      </c>
      <c r="CM12" s="180">
        <v>31610</v>
      </c>
      <c r="CN12" s="180">
        <v>0</v>
      </c>
      <c r="CO12" s="180">
        <v>968294</v>
      </c>
      <c r="CP12" s="180">
        <v>0</v>
      </c>
      <c r="CQ12" s="180">
        <v>0</v>
      </c>
      <c r="CR12" s="180">
        <v>0</v>
      </c>
      <c r="CS12" s="180">
        <v>100474</v>
      </c>
      <c r="CT12" s="180"/>
      <c r="CU12" s="180"/>
    </row>
    <row r="13" spans="1:99" x14ac:dyDescent="0.3">
      <c r="A13" s="155">
        <v>23</v>
      </c>
      <c r="B13" s="180" t="s">
        <v>206</v>
      </c>
      <c r="C13" s="180"/>
      <c r="D13" s="180">
        <v>113919</v>
      </c>
      <c r="E13" s="180">
        <v>867144</v>
      </c>
      <c r="F13" s="180">
        <v>178483</v>
      </c>
      <c r="G13" s="180">
        <v>61335</v>
      </c>
      <c r="H13" s="180">
        <v>226318</v>
      </c>
      <c r="I13" s="180">
        <v>17402</v>
      </c>
      <c r="J13" s="180">
        <v>28535</v>
      </c>
      <c r="K13" s="180"/>
      <c r="L13" s="180">
        <v>-37120</v>
      </c>
      <c r="M13" s="180">
        <v>6237152</v>
      </c>
      <c r="N13" s="180"/>
      <c r="O13" s="180">
        <v>557352</v>
      </c>
      <c r="P13" s="180">
        <v>-129884</v>
      </c>
      <c r="Q13" s="180">
        <v>207124</v>
      </c>
      <c r="R13" s="180">
        <v>-19215</v>
      </c>
      <c r="S13" s="180">
        <v>4245</v>
      </c>
      <c r="T13" s="180">
        <v>-66550</v>
      </c>
      <c r="U13" s="180">
        <v>-520227</v>
      </c>
      <c r="V13" s="180">
        <v>1387118</v>
      </c>
      <c r="W13" s="180">
        <v>2367663</v>
      </c>
      <c r="X13" s="180">
        <v>238377</v>
      </c>
      <c r="Y13" s="180">
        <v>528719</v>
      </c>
      <c r="Z13" s="180">
        <v>891295</v>
      </c>
      <c r="AA13" s="180">
        <v>167056</v>
      </c>
      <c r="AB13" s="180">
        <v>34246</v>
      </c>
      <c r="AC13" s="180">
        <v>269849</v>
      </c>
      <c r="AD13" s="180"/>
      <c r="AE13" s="180">
        <v>131611</v>
      </c>
      <c r="AF13" s="180">
        <v>106071</v>
      </c>
      <c r="AG13" s="180">
        <v>5130040</v>
      </c>
      <c r="AH13" s="180">
        <v>350246</v>
      </c>
      <c r="AI13" s="180">
        <v>368595</v>
      </c>
      <c r="AJ13" s="180">
        <v>-202584</v>
      </c>
      <c r="AK13" s="180">
        <v>53067</v>
      </c>
      <c r="AL13" s="180">
        <v>867456</v>
      </c>
      <c r="AM13" s="180">
        <v>426735</v>
      </c>
      <c r="AN13" s="180">
        <v>-113624</v>
      </c>
      <c r="AO13" s="180">
        <v>65615</v>
      </c>
      <c r="AP13" s="180">
        <v>100738</v>
      </c>
      <c r="AQ13" s="180">
        <v>239495</v>
      </c>
      <c r="AR13" s="180">
        <v>1803095</v>
      </c>
      <c r="AS13" s="180">
        <v>35432</v>
      </c>
      <c r="AT13" s="180">
        <v>24371</v>
      </c>
      <c r="AU13" s="180">
        <v>132805</v>
      </c>
      <c r="AV13" s="180">
        <v>38719</v>
      </c>
      <c r="AW13" s="180">
        <v>2296</v>
      </c>
      <c r="AX13" s="180">
        <v>57392</v>
      </c>
      <c r="AY13" s="180">
        <v>173156</v>
      </c>
      <c r="AZ13" s="180">
        <v>120637</v>
      </c>
      <c r="BA13" s="180">
        <v>7903329</v>
      </c>
      <c r="BB13" s="180">
        <v>553813</v>
      </c>
      <c r="BC13" s="180">
        <v>503721</v>
      </c>
      <c r="BD13" s="180">
        <v>47602</v>
      </c>
      <c r="BE13" s="180">
        <v>201244</v>
      </c>
      <c r="BF13" s="180">
        <v>436625</v>
      </c>
      <c r="BG13" s="180">
        <v>40981</v>
      </c>
      <c r="BH13" s="180">
        <v>71828</v>
      </c>
      <c r="BI13" s="180">
        <v>383370</v>
      </c>
      <c r="BJ13" s="180">
        <v>2167982</v>
      </c>
      <c r="BK13" s="180">
        <v>72612</v>
      </c>
      <c r="BL13" s="180">
        <v>37556</v>
      </c>
      <c r="BM13" s="180">
        <v>6855202</v>
      </c>
      <c r="BN13" s="180">
        <v>1910092</v>
      </c>
      <c r="BO13" s="180">
        <v>778128</v>
      </c>
      <c r="BP13" s="180">
        <v>73987</v>
      </c>
      <c r="BQ13" s="180">
        <v>698962</v>
      </c>
      <c r="BR13" s="180">
        <v>-288349</v>
      </c>
      <c r="BS13" s="180">
        <v>13719852</v>
      </c>
      <c r="BT13" s="180">
        <v>481515</v>
      </c>
      <c r="BU13" s="180">
        <v>50749</v>
      </c>
      <c r="BV13" s="180">
        <v>-464086</v>
      </c>
      <c r="BW13" s="180">
        <v>1856568</v>
      </c>
      <c r="BX13" s="180"/>
      <c r="BY13" s="180"/>
      <c r="BZ13" s="180">
        <v>-59347</v>
      </c>
      <c r="CA13" s="180">
        <v>109246</v>
      </c>
      <c r="CB13" s="180"/>
      <c r="CC13" s="180">
        <v>622527</v>
      </c>
      <c r="CD13" s="180">
        <v>-8096521</v>
      </c>
      <c r="CE13" s="180">
        <v>2020243</v>
      </c>
      <c r="CF13" s="180">
        <v>-275129</v>
      </c>
      <c r="CG13" s="180">
        <v>704226</v>
      </c>
      <c r="CH13" s="180">
        <v>-10051</v>
      </c>
      <c r="CI13" s="180">
        <v>230996</v>
      </c>
      <c r="CJ13" s="180">
        <v>26691981</v>
      </c>
      <c r="CK13" s="180">
        <v>1961318</v>
      </c>
      <c r="CL13" s="180">
        <v>-56925</v>
      </c>
      <c r="CM13" s="180">
        <v>2467240</v>
      </c>
      <c r="CN13" s="180">
        <v>58800</v>
      </c>
      <c r="CO13" s="180">
        <v>4358069</v>
      </c>
      <c r="CP13" s="180">
        <v>298554</v>
      </c>
      <c r="CQ13" s="180">
        <v>-60513</v>
      </c>
      <c r="CR13" s="180">
        <v>1212670</v>
      </c>
      <c r="CS13" s="180">
        <v>3930706</v>
      </c>
      <c r="CT13" s="180"/>
      <c r="CU13" s="180"/>
    </row>
    <row r="14" spans="1:99" s="560" customFormat="1" x14ac:dyDescent="0.3">
      <c r="A14" s="559">
        <v>44</v>
      </c>
      <c r="B14" s="560" t="s">
        <v>908</v>
      </c>
      <c r="D14" s="560">
        <v>0</v>
      </c>
      <c r="E14" s="560">
        <v>0</v>
      </c>
      <c r="F14" s="560">
        <v>634541</v>
      </c>
      <c r="G14" s="560">
        <v>0</v>
      </c>
      <c r="H14" s="560">
        <v>0</v>
      </c>
      <c r="I14" s="560">
        <v>1010535</v>
      </c>
      <c r="J14" s="560">
        <v>1888406</v>
      </c>
      <c r="L14" s="560">
        <v>281578</v>
      </c>
      <c r="M14" s="560">
        <v>21181103</v>
      </c>
      <c r="O14" s="560">
        <v>0</v>
      </c>
      <c r="P14" s="560">
        <v>1676065</v>
      </c>
      <c r="Q14" s="560">
        <v>351397</v>
      </c>
      <c r="R14" s="560">
        <v>0</v>
      </c>
      <c r="S14" s="560">
        <v>144727</v>
      </c>
      <c r="T14" s="560">
        <v>0</v>
      </c>
      <c r="U14" s="560">
        <v>0</v>
      </c>
      <c r="V14" s="560">
        <v>0</v>
      </c>
      <c r="W14" s="560">
        <v>14798263</v>
      </c>
      <c r="X14" s="560">
        <v>0</v>
      </c>
      <c r="Y14" s="560">
        <v>3165089</v>
      </c>
      <c r="Z14" s="560">
        <v>0</v>
      </c>
      <c r="AA14" s="560">
        <v>2738357</v>
      </c>
      <c r="AB14" s="560">
        <v>0</v>
      </c>
      <c r="AC14" s="560">
        <v>2801332</v>
      </c>
      <c r="AE14" s="560">
        <v>755510</v>
      </c>
      <c r="AF14" s="560">
        <v>421499</v>
      </c>
      <c r="AG14" s="560">
        <v>15674006</v>
      </c>
      <c r="AH14" s="560">
        <v>0</v>
      </c>
      <c r="AI14" s="560">
        <v>2195969</v>
      </c>
      <c r="AJ14" s="560">
        <v>0</v>
      </c>
      <c r="AK14" s="560">
        <v>550089</v>
      </c>
      <c r="AL14" s="560">
        <v>2724041</v>
      </c>
      <c r="AM14" s="560">
        <v>2615427</v>
      </c>
      <c r="AN14" s="560">
        <v>755518</v>
      </c>
      <c r="AO14" s="560">
        <v>463499</v>
      </c>
      <c r="AP14" s="560">
        <v>81863</v>
      </c>
      <c r="AQ14" s="560">
        <v>0</v>
      </c>
      <c r="AR14" s="560">
        <v>3296489</v>
      </c>
      <c r="AS14" s="560">
        <v>296083</v>
      </c>
      <c r="AT14" s="560">
        <v>0</v>
      </c>
      <c r="AU14" s="560">
        <v>0</v>
      </c>
      <c r="AV14" s="560">
        <v>0</v>
      </c>
      <c r="AW14" s="560">
        <v>0</v>
      </c>
      <c r="AX14" s="560">
        <v>215123</v>
      </c>
      <c r="AY14" s="560">
        <v>3612137</v>
      </c>
      <c r="AZ14" s="560">
        <v>490863</v>
      </c>
      <c r="BA14" s="560">
        <v>0</v>
      </c>
      <c r="BB14" s="560">
        <v>456225</v>
      </c>
      <c r="BC14" s="560">
        <v>3774864</v>
      </c>
      <c r="BD14" s="560">
        <v>0</v>
      </c>
      <c r="BE14" s="560">
        <v>1662036</v>
      </c>
      <c r="BF14" s="560">
        <v>1090647</v>
      </c>
      <c r="BG14" s="560">
        <v>212597</v>
      </c>
      <c r="BH14" s="560">
        <v>842376</v>
      </c>
      <c r="BI14" s="560">
        <v>3151090</v>
      </c>
      <c r="BJ14" s="560">
        <v>8436213</v>
      </c>
      <c r="BK14" s="560">
        <v>0</v>
      </c>
      <c r="BL14" s="560">
        <v>0</v>
      </c>
      <c r="BM14" s="560">
        <v>0</v>
      </c>
      <c r="BN14" s="560">
        <v>7296415</v>
      </c>
      <c r="BO14" s="560">
        <v>5250875</v>
      </c>
      <c r="BP14" s="560">
        <v>0</v>
      </c>
      <c r="BQ14" s="560">
        <v>0</v>
      </c>
      <c r="BR14" s="560">
        <v>3159500</v>
      </c>
      <c r="BS14" s="560">
        <v>381886</v>
      </c>
      <c r="BT14" s="560">
        <v>0</v>
      </c>
      <c r="BU14" s="560">
        <v>0</v>
      </c>
      <c r="BV14" s="560">
        <v>1166365</v>
      </c>
      <c r="BW14" s="560">
        <v>0</v>
      </c>
      <c r="BZ14" s="560">
        <v>3240101</v>
      </c>
      <c r="CA14" s="560">
        <v>91041</v>
      </c>
      <c r="CC14" s="560">
        <v>8103275</v>
      </c>
      <c r="CD14" s="560">
        <v>0</v>
      </c>
      <c r="CE14" s="560">
        <v>26545214</v>
      </c>
      <c r="CF14" s="560">
        <v>89521</v>
      </c>
      <c r="CG14" s="560">
        <v>2598406</v>
      </c>
      <c r="CH14" s="560">
        <v>94786</v>
      </c>
      <c r="CI14" s="560">
        <v>1596785</v>
      </c>
      <c r="CJ14" s="560">
        <v>100967580</v>
      </c>
      <c r="CK14" s="560">
        <v>3587574</v>
      </c>
      <c r="CL14" s="560">
        <v>1183566</v>
      </c>
      <c r="CM14" s="560">
        <v>0</v>
      </c>
      <c r="CN14" s="560">
        <v>1063942</v>
      </c>
      <c r="CO14" s="560">
        <v>10619653</v>
      </c>
      <c r="CP14" s="560">
        <v>4163384</v>
      </c>
      <c r="CQ14" s="560">
        <v>2062626</v>
      </c>
      <c r="CR14" s="560">
        <v>0</v>
      </c>
      <c r="CS14" s="560">
        <v>0</v>
      </c>
    </row>
    <row r="15" spans="1:99" s="560" customFormat="1" x14ac:dyDescent="0.3">
      <c r="A15" s="559">
        <v>45</v>
      </c>
      <c r="B15" s="560" t="s">
        <v>909</v>
      </c>
      <c r="D15" s="560">
        <v>0</v>
      </c>
      <c r="E15" s="560">
        <v>0</v>
      </c>
      <c r="F15" s="560">
        <v>510459</v>
      </c>
      <c r="G15" s="560">
        <v>0</v>
      </c>
      <c r="H15" s="560">
        <v>0</v>
      </c>
      <c r="I15" s="560">
        <v>47473</v>
      </c>
      <c r="J15" s="560">
        <v>572811</v>
      </c>
      <c r="L15" s="560">
        <v>110041</v>
      </c>
      <c r="M15" s="560">
        <v>3483329</v>
      </c>
      <c r="O15" s="560">
        <v>0</v>
      </c>
      <c r="P15" s="560">
        <v>70346</v>
      </c>
      <c r="Q15" s="560">
        <v>139448</v>
      </c>
      <c r="R15" s="560">
        <v>0</v>
      </c>
      <c r="S15" s="560">
        <v>50704</v>
      </c>
      <c r="T15" s="560">
        <v>0</v>
      </c>
      <c r="U15" s="560">
        <v>0</v>
      </c>
      <c r="V15" s="560">
        <v>0</v>
      </c>
      <c r="W15" s="560">
        <v>2012242</v>
      </c>
      <c r="X15" s="560">
        <v>0</v>
      </c>
      <c r="Y15" s="560">
        <v>146894</v>
      </c>
      <c r="Z15" s="560">
        <v>0</v>
      </c>
      <c r="AA15" s="560">
        <v>359573</v>
      </c>
      <c r="AB15" s="560">
        <v>0</v>
      </c>
      <c r="AC15" s="560">
        <v>136081</v>
      </c>
      <c r="AE15" s="560">
        <v>392466</v>
      </c>
      <c r="AF15" s="560">
        <v>38382</v>
      </c>
      <c r="AG15" s="560">
        <v>4031224</v>
      </c>
      <c r="AH15" s="560">
        <v>0</v>
      </c>
      <c r="AI15" s="560">
        <v>374648</v>
      </c>
      <c r="AJ15" s="560">
        <v>0</v>
      </c>
      <c r="AK15" s="560">
        <v>127811</v>
      </c>
      <c r="AL15" s="560">
        <v>2203843</v>
      </c>
      <c r="AM15" s="560">
        <v>638724</v>
      </c>
      <c r="AN15" s="560">
        <v>315202</v>
      </c>
      <c r="AO15" s="560">
        <v>298504</v>
      </c>
      <c r="AP15" s="560">
        <v>1815</v>
      </c>
      <c r="AQ15" s="560">
        <v>0</v>
      </c>
      <c r="AR15" s="560">
        <v>325889</v>
      </c>
      <c r="AS15" s="560">
        <v>199291</v>
      </c>
      <c r="AT15" s="560">
        <v>0</v>
      </c>
      <c r="AU15" s="560">
        <v>0</v>
      </c>
      <c r="AV15" s="560">
        <v>0</v>
      </c>
      <c r="AW15" s="560">
        <v>0</v>
      </c>
      <c r="AX15" s="560">
        <v>29766</v>
      </c>
      <c r="AY15" s="560">
        <v>104861</v>
      </c>
      <c r="AZ15" s="560">
        <v>27603</v>
      </c>
      <c r="BA15" s="560">
        <v>0</v>
      </c>
      <c r="BB15" s="560">
        <v>0</v>
      </c>
      <c r="BC15" s="560">
        <v>464995</v>
      </c>
      <c r="BD15" s="560">
        <v>0</v>
      </c>
      <c r="BE15" s="560">
        <v>167484</v>
      </c>
      <c r="BF15" s="560">
        <v>133808</v>
      </c>
      <c r="BG15" s="560">
        <v>-90853</v>
      </c>
      <c r="BH15" s="560">
        <v>249743</v>
      </c>
      <c r="BI15" s="560">
        <v>544354</v>
      </c>
      <c r="BJ15" s="560">
        <v>560943</v>
      </c>
      <c r="BK15" s="560">
        <v>0</v>
      </c>
      <c r="BL15" s="560">
        <v>0</v>
      </c>
      <c r="BM15" s="560">
        <v>0</v>
      </c>
      <c r="BN15" s="560">
        <v>482359</v>
      </c>
      <c r="BO15" s="560">
        <v>274885</v>
      </c>
      <c r="BP15" s="560">
        <v>0</v>
      </c>
      <c r="BQ15" s="560">
        <v>0</v>
      </c>
      <c r="BR15" s="560">
        <v>72608</v>
      </c>
      <c r="BS15" s="560">
        <v>381886</v>
      </c>
      <c r="BT15" s="560">
        <v>0</v>
      </c>
      <c r="BU15" s="560">
        <v>0</v>
      </c>
      <c r="BV15" s="560">
        <v>37042</v>
      </c>
      <c r="BW15" s="560">
        <v>0</v>
      </c>
      <c r="BZ15" s="560">
        <v>654256</v>
      </c>
      <c r="CA15" s="560">
        <v>2185</v>
      </c>
      <c r="CC15" s="560">
        <v>429392</v>
      </c>
      <c r="CD15" s="560">
        <v>0</v>
      </c>
      <c r="CE15" s="560">
        <v>2679979</v>
      </c>
      <c r="CF15" s="560">
        <v>411</v>
      </c>
      <c r="CG15" s="560">
        <v>725729</v>
      </c>
      <c r="CH15" s="560">
        <v>95828</v>
      </c>
      <c r="CI15" s="560">
        <v>384288</v>
      </c>
      <c r="CJ15" s="560">
        <v>33644673</v>
      </c>
      <c r="CK15" s="560">
        <v>2646846</v>
      </c>
      <c r="CL15" s="560">
        <v>7222</v>
      </c>
      <c r="CM15" s="560">
        <v>0</v>
      </c>
      <c r="CN15" s="560">
        <v>443987</v>
      </c>
      <c r="CO15" s="560">
        <v>280086</v>
      </c>
      <c r="CP15" s="560">
        <v>33752</v>
      </c>
      <c r="CQ15" s="560">
        <v>376359</v>
      </c>
      <c r="CR15" s="560">
        <v>0</v>
      </c>
      <c r="CS15" s="560">
        <v>0</v>
      </c>
    </row>
    <row r="16" spans="1:99" s="560" customFormat="1" x14ac:dyDescent="0.3">
      <c r="A16" s="559">
        <v>47</v>
      </c>
      <c r="B16" s="560" t="s">
        <v>910</v>
      </c>
      <c r="D16" s="560">
        <v>0</v>
      </c>
      <c r="E16" s="560">
        <v>0</v>
      </c>
      <c r="F16" s="560">
        <v>0</v>
      </c>
      <c r="G16" s="560">
        <v>0</v>
      </c>
      <c r="H16" s="560">
        <v>0</v>
      </c>
      <c r="I16" s="560">
        <v>0</v>
      </c>
      <c r="J16" s="560">
        <v>0</v>
      </c>
      <c r="L16" s="560">
        <v>0</v>
      </c>
      <c r="M16" s="560">
        <v>33409424</v>
      </c>
      <c r="O16" s="560">
        <v>0</v>
      </c>
      <c r="P16" s="560">
        <v>0</v>
      </c>
      <c r="Q16" s="560">
        <v>0</v>
      </c>
      <c r="R16" s="560">
        <v>0</v>
      </c>
      <c r="S16" s="560">
        <v>0</v>
      </c>
      <c r="T16" s="560">
        <v>0</v>
      </c>
      <c r="U16" s="560">
        <v>0</v>
      </c>
      <c r="V16" s="560">
        <v>0</v>
      </c>
      <c r="W16" s="560">
        <v>0</v>
      </c>
      <c r="X16" s="560">
        <v>0</v>
      </c>
      <c r="Y16" s="560">
        <v>0</v>
      </c>
      <c r="Z16" s="560">
        <v>0</v>
      </c>
      <c r="AA16" s="560">
        <v>0</v>
      </c>
      <c r="AB16" s="560">
        <v>0</v>
      </c>
      <c r="AC16" s="560">
        <v>15587999</v>
      </c>
      <c r="AE16" s="560">
        <v>0</v>
      </c>
      <c r="AF16" s="560">
        <v>0</v>
      </c>
      <c r="AG16" s="560">
        <v>0</v>
      </c>
      <c r="AH16" s="560">
        <v>0</v>
      </c>
      <c r="AI16" s="560">
        <v>0</v>
      </c>
      <c r="AJ16" s="560">
        <v>0</v>
      </c>
      <c r="AK16" s="560">
        <v>0</v>
      </c>
      <c r="AL16" s="560">
        <v>0</v>
      </c>
      <c r="AM16" s="560">
        <v>0</v>
      </c>
      <c r="AN16" s="560">
        <v>0</v>
      </c>
      <c r="AO16" s="560">
        <v>0</v>
      </c>
      <c r="AP16" s="560">
        <v>0</v>
      </c>
      <c r="AQ16" s="560">
        <v>0</v>
      </c>
      <c r="AR16" s="560">
        <v>0</v>
      </c>
      <c r="AS16" s="560">
        <v>0</v>
      </c>
      <c r="AT16" s="560">
        <v>0</v>
      </c>
      <c r="AU16" s="560">
        <v>0</v>
      </c>
      <c r="AV16" s="560">
        <v>0</v>
      </c>
      <c r="AW16" s="560">
        <v>0</v>
      </c>
      <c r="AX16" s="560">
        <v>0</v>
      </c>
      <c r="AY16" s="560">
        <v>0</v>
      </c>
      <c r="AZ16" s="560">
        <v>0</v>
      </c>
      <c r="BA16" s="560">
        <v>7326283</v>
      </c>
      <c r="BB16" s="560">
        <v>0</v>
      </c>
      <c r="BC16" s="560">
        <v>0</v>
      </c>
      <c r="BD16" s="560">
        <v>0</v>
      </c>
      <c r="BE16" s="560">
        <v>0</v>
      </c>
      <c r="BF16" s="560">
        <v>0</v>
      </c>
      <c r="BG16" s="560">
        <v>452952</v>
      </c>
      <c r="BH16" s="560">
        <v>0</v>
      </c>
      <c r="BI16" s="560">
        <v>0</v>
      </c>
      <c r="BJ16" s="560">
        <v>23826495</v>
      </c>
      <c r="BK16" s="560">
        <v>0</v>
      </c>
      <c r="BL16" s="560">
        <v>0</v>
      </c>
      <c r="BM16" s="560">
        <v>0</v>
      </c>
      <c r="BN16" s="560">
        <v>3861830</v>
      </c>
      <c r="BO16" s="560">
        <v>0</v>
      </c>
      <c r="BP16" s="560">
        <v>0</v>
      </c>
      <c r="BQ16" s="560">
        <v>0</v>
      </c>
      <c r="BR16" s="560">
        <v>0</v>
      </c>
      <c r="BS16" s="560">
        <v>0</v>
      </c>
      <c r="BT16" s="560">
        <v>0</v>
      </c>
      <c r="BU16" s="560">
        <v>0</v>
      </c>
      <c r="BV16" s="560">
        <v>0</v>
      </c>
      <c r="BW16" s="560">
        <v>0</v>
      </c>
      <c r="BZ16" s="560">
        <v>0</v>
      </c>
      <c r="CA16" s="560">
        <v>0</v>
      </c>
      <c r="CC16" s="560">
        <v>0</v>
      </c>
      <c r="CD16" s="560">
        <v>0</v>
      </c>
      <c r="CE16" s="560">
        <v>67634175</v>
      </c>
      <c r="CF16" s="560">
        <v>0</v>
      </c>
      <c r="CG16" s="560">
        <v>5702232</v>
      </c>
      <c r="CH16" s="560">
        <v>0</v>
      </c>
      <c r="CI16" s="560">
        <v>0</v>
      </c>
      <c r="CJ16" s="560">
        <v>0</v>
      </c>
      <c r="CK16" s="560">
        <v>8050966</v>
      </c>
      <c r="CL16" s="560">
        <v>0</v>
      </c>
      <c r="CM16" s="560">
        <v>0</v>
      </c>
      <c r="CN16" s="560">
        <v>0</v>
      </c>
      <c r="CO16" s="560">
        <v>0</v>
      </c>
      <c r="CP16" s="560">
        <v>0</v>
      </c>
      <c r="CQ16" s="560">
        <v>0</v>
      </c>
      <c r="CR16" s="560">
        <v>0</v>
      </c>
      <c r="CS16" s="560">
        <v>0</v>
      </c>
    </row>
    <row r="17" spans="1:99" s="560" customFormat="1" x14ac:dyDescent="0.3">
      <c r="A17" s="559">
        <v>48</v>
      </c>
      <c r="B17" s="560" t="s">
        <v>115</v>
      </c>
      <c r="D17" s="560">
        <v>0</v>
      </c>
      <c r="E17" s="560">
        <v>0</v>
      </c>
      <c r="F17" s="560">
        <v>0</v>
      </c>
      <c r="G17" s="560">
        <v>0</v>
      </c>
      <c r="H17" s="560">
        <v>0</v>
      </c>
      <c r="I17" s="560">
        <v>0</v>
      </c>
      <c r="J17" s="560">
        <v>0</v>
      </c>
      <c r="L17" s="560">
        <v>0</v>
      </c>
      <c r="M17" s="560">
        <v>4391793</v>
      </c>
      <c r="O17" s="560">
        <v>0</v>
      </c>
      <c r="P17" s="560">
        <v>0</v>
      </c>
      <c r="Q17" s="560">
        <v>0</v>
      </c>
      <c r="R17" s="560">
        <v>0</v>
      </c>
      <c r="S17" s="560">
        <v>0</v>
      </c>
      <c r="T17" s="560">
        <v>0</v>
      </c>
      <c r="U17" s="560">
        <v>0</v>
      </c>
      <c r="V17" s="560">
        <v>0</v>
      </c>
      <c r="W17" s="560">
        <v>0</v>
      </c>
      <c r="X17" s="560">
        <v>0</v>
      </c>
      <c r="Y17" s="560">
        <v>0</v>
      </c>
      <c r="Z17" s="560">
        <v>0</v>
      </c>
      <c r="AA17" s="560">
        <v>0</v>
      </c>
      <c r="AB17" s="560">
        <v>0</v>
      </c>
      <c r="AC17" s="560">
        <v>1438887</v>
      </c>
      <c r="AE17" s="560">
        <v>0</v>
      </c>
      <c r="AF17" s="560">
        <v>0</v>
      </c>
      <c r="AG17" s="560">
        <v>0</v>
      </c>
      <c r="AH17" s="560">
        <v>0</v>
      </c>
      <c r="AI17" s="560">
        <v>0</v>
      </c>
      <c r="AJ17" s="560">
        <v>0</v>
      </c>
      <c r="AK17" s="560">
        <v>0</v>
      </c>
      <c r="AL17" s="560">
        <v>0</v>
      </c>
      <c r="AM17" s="560">
        <v>0</v>
      </c>
      <c r="AN17" s="560">
        <v>0</v>
      </c>
      <c r="AO17" s="560">
        <v>0</v>
      </c>
      <c r="AP17" s="560">
        <v>0</v>
      </c>
      <c r="AQ17" s="560">
        <v>0</v>
      </c>
      <c r="AR17" s="560">
        <v>0</v>
      </c>
      <c r="AS17" s="560">
        <v>0</v>
      </c>
      <c r="AT17" s="560">
        <v>0</v>
      </c>
      <c r="AU17" s="560">
        <v>0</v>
      </c>
      <c r="AV17" s="560">
        <v>0</v>
      </c>
      <c r="AW17" s="560">
        <v>0</v>
      </c>
      <c r="AX17" s="560">
        <v>0</v>
      </c>
      <c r="AY17" s="560">
        <v>0</v>
      </c>
      <c r="AZ17" s="560">
        <v>0</v>
      </c>
      <c r="BA17" s="560">
        <v>2473468</v>
      </c>
      <c r="BB17" s="560">
        <v>0</v>
      </c>
      <c r="BC17" s="560">
        <v>0</v>
      </c>
      <c r="BD17" s="560">
        <v>0</v>
      </c>
      <c r="BE17" s="560">
        <v>0</v>
      </c>
      <c r="BF17" s="560">
        <v>0</v>
      </c>
      <c r="BG17" s="560">
        <v>8326</v>
      </c>
      <c r="BH17" s="560">
        <v>0</v>
      </c>
      <c r="BI17" s="560">
        <v>0</v>
      </c>
      <c r="BJ17" s="560">
        <v>2733257</v>
      </c>
      <c r="BK17" s="560">
        <v>0</v>
      </c>
      <c r="BL17" s="560">
        <v>0</v>
      </c>
      <c r="BM17" s="560">
        <v>0</v>
      </c>
      <c r="BN17" s="560">
        <v>493414</v>
      </c>
      <c r="BO17" s="560">
        <v>0</v>
      </c>
      <c r="BP17" s="560">
        <v>0</v>
      </c>
      <c r="BQ17" s="560">
        <v>0</v>
      </c>
      <c r="BR17" s="560">
        <v>0</v>
      </c>
      <c r="BS17" s="560">
        <v>0</v>
      </c>
      <c r="BT17" s="560">
        <v>0</v>
      </c>
      <c r="BU17" s="560">
        <v>0</v>
      </c>
      <c r="BV17" s="560">
        <v>0</v>
      </c>
      <c r="BW17" s="560">
        <v>0</v>
      </c>
      <c r="BZ17" s="560">
        <v>0</v>
      </c>
      <c r="CA17" s="560">
        <v>0</v>
      </c>
      <c r="CC17" s="560">
        <v>0</v>
      </c>
      <c r="CD17" s="560">
        <v>0</v>
      </c>
      <c r="CE17" s="560">
        <v>10490589</v>
      </c>
      <c r="CF17" s="560">
        <v>0</v>
      </c>
      <c r="CG17" s="560">
        <v>935987</v>
      </c>
      <c r="CH17" s="560">
        <v>0</v>
      </c>
      <c r="CI17" s="560">
        <v>0</v>
      </c>
      <c r="CJ17" s="560">
        <v>0</v>
      </c>
      <c r="CK17" s="560">
        <v>175052</v>
      </c>
      <c r="CL17" s="560">
        <v>0</v>
      </c>
      <c r="CM17" s="560">
        <v>0</v>
      </c>
      <c r="CN17" s="560">
        <v>0</v>
      </c>
      <c r="CO17" s="560">
        <v>0</v>
      </c>
      <c r="CP17" s="560">
        <v>0</v>
      </c>
      <c r="CQ17" s="560">
        <v>0</v>
      </c>
      <c r="CR17" s="560">
        <v>0</v>
      </c>
      <c r="CS17" s="560">
        <v>0</v>
      </c>
    </row>
    <row r="18" spans="1:99" x14ac:dyDescent="0.3">
      <c r="A18" s="155">
        <v>49</v>
      </c>
      <c r="B18" s="180" t="s">
        <v>219</v>
      </c>
      <c r="C18" s="180"/>
      <c r="D18" s="180">
        <v>0</v>
      </c>
      <c r="E18" s="180">
        <v>0</v>
      </c>
      <c r="F18" s="180">
        <v>177130</v>
      </c>
      <c r="G18" s="180">
        <v>0</v>
      </c>
      <c r="H18" s="180">
        <v>0</v>
      </c>
      <c r="I18" s="180">
        <v>130028</v>
      </c>
      <c r="J18" s="180">
        <v>504612</v>
      </c>
      <c r="K18" s="180"/>
      <c r="L18" s="180">
        <v>44722</v>
      </c>
      <c r="M18" s="180">
        <v>3746012</v>
      </c>
      <c r="N18" s="180"/>
      <c r="O18" s="180">
        <v>0</v>
      </c>
      <c r="P18" s="180">
        <v>116321</v>
      </c>
      <c r="Q18" s="180">
        <v>294590</v>
      </c>
      <c r="R18" s="180">
        <v>0</v>
      </c>
      <c r="S18" s="180">
        <v>88281</v>
      </c>
      <c r="T18" s="180">
        <v>0</v>
      </c>
      <c r="U18" s="180">
        <v>0</v>
      </c>
      <c r="V18" s="180">
        <v>0</v>
      </c>
      <c r="W18" s="180">
        <v>1197535</v>
      </c>
      <c r="X18" s="180">
        <v>0</v>
      </c>
      <c r="Y18" s="180">
        <v>109598</v>
      </c>
      <c r="Z18" s="180">
        <v>0</v>
      </c>
      <c r="AA18" s="180">
        <v>357890</v>
      </c>
      <c r="AB18" s="180">
        <v>0</v>
      </c>
      <c r="AC18" s="180">
        <v>1087844</v>
      </c>
      <c r="AD18" s="180"/>
      <c r="AE18" s="180">
        <v>39474</v>
      </c>
      <c r="AF18" s="180">
        <v>108077</v>
      </c>
      <c r="AG18" s="180">
        <v>3638231</v>
      </c>
      <c r="AH18" s="180">
        <v>0</v>
      </c>
      <c r="AI18" s="180">
        <v>140688</v>
      </c>
      <c r="AJ18" s="180">
        <v>0</v>
      </c>
      <c r="AK18" s="180">
        <v>133704</v>
      </c>
      <c r="AL18" s="180">
        <v>779962</v>
      </c>
      <c r="AM18" s="180">
        <v>536726</v>
      </c>
      <c r="AN18" s="180">
        <v>325167</v>
      </c>
      <c r="AO18" s="180">
        <v>262498</v>
      </c>
      <c r="AP18" s="180">
        <v>11707</v>
      </c>
      <c r="AQ18" s="180">
        <v>0</v>
      </c>
      <c r="AR18" s="180">
        <v>1262820</v>
      </c>
      <c r="AS18" s="180">
        <v>168692</v>
      </c>
      <c r="AT18" s="180">
        <v>0</v>
      </c>
      <c r="AU18" s="180">
        <v>0</v>
      </c>
      <c r="AV18" s="180">
        <v>0</v>
      </c>
      <c r="AW18" s="180">
        <v>0</v>
      </c>
      <c r="AX18" s="180">
        <v>27208</v>
      </c>
      <c r="AY18" s="180">
        <v>344181</v>
      </c>
      <c r="AZ18" s="180">
        <v>96022</v>
      </c>
      <c r="BA18" s="180">
        <v>0</v>
      </c>
      <c r="BB18" s="180">
        <v>0</v>
      </c>
      <c r="BC18" s="180">
        <v>754817</v>
      </c>
      <c r="BD18" s="180">
        <v>0</v>
      </c>
      <c r="BE18" s="180">
        <v>129265</v>
      </c>
      <c r="BF18" s="180">
        <v>137298</v>
      </c>
      <c r="BG18" s="180">
        <v>64574</v>
      </c>
      <c r="BH18" s="180">
        <v>429520</v>
      </c>
      <c r="BI18" s="180">
        <v>631723</v>
      </c>
      <c r="BJ18" s="180">
        <v>1713595</v>
      </c>
      <c r="BK18" s="180">
        <v>0</v>
      </c>
      <c r="BL18" s="180">
        <v>0</v>
      </c>
      <c r="BM18" s="180">
        <v>0</v>
      </c>
      <c r="BN18" s="180">
        <v>1117204</v>
      </c>
      <c r="BO18" s="180">
        <v>463666</v>
      </c>
      <c r="BP18" s="180">
        <v>0</v>
      </c>
      <c r="BQ18" s="180">
        <v>0</v>
      </c>
      <c r="BR18" s="180">
        <v>297952</v>
      </c>
      <c r="BS18" s="180">
        <v>0</v>
      </c>
      <c r="BT18" s="180">
        <v>0</v>
      </c>
      <c r="BU18" s="180">
        <v>0</v>
      </c>
      <c r="BV18" s="180">
        <v>351565</v>
      </c>
      <c r="BW18" s="180">
        <v>0</v>
      </c>
      <c r="BX18" s="180"/>
      <c r="BY18" s="180"/>
      <c r="BZ18" s="180">
        <v>479697</v>
      </c>
      <c r="CA18" s="180">
        <v>17217</v>
      </c>
      <c r="CB18" s="180"/>
      <c r="CC18" s="180">
        <v>869935</v>
      </c>
      <c r="CD18" s="180">
        <v>0</v>
      </c>
      <c r="CE18" s="180">
        <v>4580287</v>
      </c>
      <c r="CF18" s="180">
        <v>165196</v>
      </c>
      <c r="CG18" s="180">
        <v>271893</v>
      </c>
      <c r="CH18" s="180">
        <v>154478</v>
      </c>
      <c r="CI18" s="180">
        <v>269647</v>
      </c>
      <c r="CJ18" s="180">
        <v>33669043</v>
      </c>
      <c r="CK18" s="180">
        <v>502675</v>
      </c>
      <c r="CL18" s="180">
        <v>119819</v>
      </c>
      <c r="CM18" s="180">
        <v>0</v>
      </c>
      <c r="CN18" s="180">
        <v>116920</v>
      </c>
      <c r="CO18" s="180">
        <v>274085</v>
      </c>
      <c r="CP18" s="180">
        <v>646639</v>
      </c>
      <c r="CQ18" s="180">
        <v>346532</v>
      </c>
      <c r="CR18" s="180">
        <v>0</v>
      </c>
      <c r="CS18" s="180">
        <v>0</v>
      </c>
      <c r="CT18" s="180"/>
      <c r="CU18" s="180"/>
    </row>
    <row r="19" spans="1:99" x14ac:dyDescent="0.3">
      <c r="A19" s="155">
        <v>50</v>
      </c>
      <c r="B19" s="180" t="s">
        <v>92</v>
      </c>
      <c r="C19" s="180"/>
      <c r="D19" s="180">
        <v>0</v>
      </c>
      <c r="E19" s="180">
        <v>0</v>
      </c>
      <c r="F19" s="180">
        <v>512699</v>
      </c>
      <c r="G19" s="180">
        <v>0</v>
      </c>
      <c r="H19" s="180">
        <v>0</v>
      </c>
      <c r="I19" s="180">
        <v>144949</v>
      </c>
      <c r="J19" s="180">
        <v>180402</v>
      </c>
      <c r="K19" s="180"/>
      <c r="L19" s="180">
        <v>67311</v>
      </c>
      <c r="M19" s="180">
        <v>2610122</v>
      </c>
      <c r="N19" s="180"/>
      <c r="O19" s="180">
        <v>0</v>
      </c>
      <c r="P19" s="180">
        <v>114200</v>
      </c>
      <c r="Q19" s="180">
        <v>-94875</v>
      </c>
      <c r="R19" s="180">
        <v>0</v>
      </c>
      <c r="S19" s="180">
        <v>1971</v>
      </c>
      <c r="T19" s="180">
        <v>0</v>
      </c>
      <c r="U19" s="180">
        <v>0</v>
      </c>
      <c r="V19" s="180">
        <v>0</v>
      </c>
      <c r="W19" s="180">
        <v>4312445</v>
      </c>
      <c r="X19" s="180">
        <v>0</v>
      </c>
      <c r="Y19" s="180">
        <v>1204488</v>
      </c>
      <c r="Z19" s="180">
        <v>0</v>
      </c>
      <c r="AA19" s="180">
        <v>-101176</v>
      </c>
      <c r="AB19" s="180">
        <v>0</v>
      </c>
      <c r="AC19" s="180">
        <v>-878435</v>
      </c>
      <c r="AD19" s="180"/>
      <c r="AE19" s="180">
        <v>2035374</v>
      </c>
      <c r="AF19" s="180">
        <v>134744</v>
      </c>
      <c r="AG19" s="180">
        <v>2603416</v>
      </c>
      <c r="AH19" s="180">
        <v>0</v>
      </c>
      <c r="AI19" s="180">
        <v>113140</v>
      </c>
      <c r="AJ19" s="180">
        <v>0</v>
      </c>
      <c r="AK19" s="180">
        <v>479098</v>
      </c>
      <c r="AL19" s="180">
        <v>279040</v>
      </c>
      <c r="AM19" s="180">
        <v>748323</v>
      </c>
      <c r="AN19" s="180">
        <v>695497</v>
      </c>
      <c r="AO19" s="180">
        <v>433617</v>
      </c>
      <c r="AP19" s="180">
        <v>2034</v>
      </c>
      <c r="AQ19" s="180">
        <v>0</v>
      </c>
      <c r="AR19" s="180">
        <v>117792</v>
      </c>
      <c r="AS19" s="180">
        <v>51277</v>
      </c>
      <c r="AT19" s="180">
        <v>0</v>
      </c>
      <c r="AU19" s="180">
        <v>0</v>
      </c>
      <c r="AV19" s="180">
        <v>0</v>
      </c>
      <c r="AW19" s="180">
        <v>0</v>
      </c>
      <c r="AX19" s="180">
        <v>-17726</v>
      </c>
      <c r="AY19" s="180">
        <v>909646</v>
      </c>
      <c r="AZ19" s="180">
        <v>-77174</v>
      </c>
      <c r="BA19" s="180">
        <v>0</v>
      </c>
      <c r="BB19" s="180">
        <v>247824</v>
      </c>
      <c r="BC19" s="180">
        <v>355696</v>
      </c>
      <c r="BD19" s="180">
        <v>0</v>
      </c>
      <c r="BE19" s="180">
        <v>-20268</v>
      </c>
      <c r="BF19" s="180">
        <v>85060</v>
      </c>
      <c r="BG19" s="180">
        <v>8193</v>
      </c>
      <c r="BH19" s="180">
        <v>-219279</v>
      </c>
      <c r="BI19" s="180">
        <v>977802</v>
      </c>
      <c r="BJ19" s="180">
        <v>98512</v>
      </c>
      <c r="BK19" s="180">
        <v>0</v>
      </c>
      <c r="BL19" s="180">
        <v>0</v>
      </c>
      <c r="BM19" s="180">
        <v>0</v>
      </c>
      <c r="BN19" s="180">
        <v>1374599</v>
      </c>
      <c r="BO19" s="180">
        <v>675420</v>
      </c>
      <c r="BP19" s="180">
        <v>0</v>
      </c>
      <c r="BQ19" s="180">
        <v>0</v>
      </c>
      <c r="BR19" s="180">
        <v>-40728</v>
      </c>
      <c r="BS19" s="180">
        <v>0</v>
      </c>
      <c r="BT19" s="180">
        <v>0</v>
      </c>
      <c r="BU19" s="180">
        <v>0</v>
      </c>
      <c r="BV19" s="180">
        <v>185442</v>
      </c>
      <c r="BW19" s="180">
        <v>0</v>
      </c>
      <c r="BX19" s="180"/>
      <c r="BY19" s="180"/>
      <c r="BZ19" s="180">
        <v>288342</v>
      </c>
      <c r="CA19" s="180">
        <v>-10075</v>
      </c>
      <c r="CB19" s="180"/>
      <c r="CC19" s="180">
        <v>-14253</v>
      </c>
      <c r="CD19" s="180">
        <v>0</v>
      </c>
      <c r="CE19" s="180">
        <v>7248590</v>
      </c>
      <c r="CF19" s="180">
        <v>-85273</v>
      </c>
      <c r="CG19" s="180">
        <v>96242</v>
      </c>
      <c r="CH19" s="180">
        <v>-63423</v>
      </c>
      <c r="CI19" s="180">
        <v>235847</v>
      </c>
      <c r="CJ19" s="180">
        <v>27112031</v>
      </c>
      <c r="CK19" s="180">
        <v>352886</v>
      </c>
      <c r="CL19" s="180">
        <v>-107809</v>
      </c>
      <c r="CM19" s="180">
        <v>0</v>
      </c>
      <c r="CN19" s="180">
        <v>505382</v>
      </c>
      <c r="CO19" s="180">
        <v>1315679</v>
      </c>
      <c r="CP19" s="180">
        <v>-326475</v>
      </c>
      <c r="CQ19" s="180">
        <v>-455974</v>
      </c>
      <c r="CR19" s="180">
        <v>0</v>
      </c>
      <c r="CS19" s="180">
        <v>0</v>
      </c>
      <c r="CT19" s="180"/>
      <c r="CU19" s="180"/>
    </row>
    <row r="20" spans="1:99" x14ac:dyDescent="0.3">
      <c r="A20" s="155">
        <v>51</v>
      </c>
      <c r="B20" s="180" t="s">
        <v>237</v>
      </c>
      <c r="C20" s="180"/>
      <c r="D20" s="180">
        <v>0</v>
      </c>
      <c r="E20" s="180">
        <v>0</v>
      </c>
      <c r="F20" s="180">
        <v>296241</v>
      </c>
      <c r="G20" s="180">
        <v>0</v>
      </c>
      <c r="H20" s="180">
        <v>0</v>
      </c>
      <c r="I20" s="180">
        <v>245472</v>
      </c>
      <c r="J20" s="180">
        <v>817620</v>
      </c>
      <c r="K20" s="180"/>
      <c r="L20" s="180">
        <v>51715</v>
      </c>
      <c r="M20" s="180">
        <v>7174563</v>
      </c>
      <c r="N20" s="180"/>
      <c r="O20" s="180">
        <v>0</v>
      </c>
      <c r="P20" s="180">
        <v>240169</v>
      </c>
      <c r="Q20" s="180">
        <v>149404</v>
      </c>
      <c r="R20" s="180">
        <v>0</v>
      </c>
      <c r="S20" s="180">
        <v>29357</v>
      </c>
      <c r="T20" s="180">
        <v>0</v>
      </c>
      <c r="U20" s="180">
        <v>0</v>
      </c>
      <c r="V20" s="180">
        <v>0</v>
      </c>
      <c r="W20" s="180">
        <v>5436659</v>
      </c>
      <c r="X20" s="180">
        <v>0</v>
      </c>
      <c r="Y20" s="180">
        <v>866745</v>
      </c>
      <c r="Z20" s="180">
        <v>0</v>
      </c>
      <c r="AA20" s="180">
        <v>531531</v>
      </c>
      <c r="AB20" s="180">
        <v>0</v>
      </c>
      <c r="AC20" s="180">
        <v>138168</v>
      </c>
      <c r="AD20" s="180"/>
      <c r="AE20" s="180">
        <v>121641</v>
      </c>
      <c r="AF20" s="180">
        <v>86506</v>
      </c>
      <c r="AG20" s="180">
        <v>5238442</v>
      </c>
      <c r="AH20" s="180">
        <v>0</v>
      </c>
      <c r="AI20" s="180">
        <v>376454</v>
      </c>
      <c r="AJ20" s="180">
        <v>0</v>
      </c>
      <c r="AK20" s="180">
        <v>19141</v>
      </c>
      <c r="AL20" s="180">
        <v>-209735</v>
      </c>
      <c r="AM20" s="180">
        <v>1421323</v>
      </c>
      <c r="AN20" s="180">
        <v>283807</v>
      </c>
      <c r="AO20" s="180">
        <v>472643</v>
      </c>
      <c r="AP20" s="180">
        <v>14751</v>
      </c>
      <c r="AQ20" s="180">
        <v>0</v>
      </c>
      <c r="AR20" s="180">
        <v>1160359</v>
      </c>
      <c r="AS20" s="180">
        <v>174258</v>
      </c>
      <c r="AT20" s="180">
        <v>0</v>
      </c>
      <c r="AU20" s="180">
        <v>0</v>
      </c>
      <c r="AV20" s="180">
        <v>0</v>
      </c>
      <c r="AW20" s="180">
        <v>0</v>
      </c>
      <c r="AX20" s="180">
        <v>12613</v>
      </c>
      <c r="AY20" s="180">
        <v>365868</v>
      </c>
      <c r="AZ20" s="180">
        <v>27778</v>
      </c>
      <c r="BA20" s="180">
        <v>0</v>
      </c>
      <c r="BB20" s="180">
        <v>0</v>
      </c>
      <c r="BC20" s="180">
        <v>1999852</v>
      </c>
      <c r="BD20" s="180">
        <v>0</v>
      </c>
      <c r="BE20" s="180">
        <v>-124269</v>
      </c>
      <c r="BF20" s="180">
        <v>677549</v>
      </c>
      <c r="BG20" s="180">
        <v>-28607</v>
      </c>
      <c r="BH20" s="180">
        <v>235586</v>
      </c>
      <c r="BI20" s="180">
        <v>476567</v>
      </c>
      <c r="BJ20" s="180">
        <v>1575223</v>
      </c>
      <c r="BK20" s="180">
        <v>0</v>
      </c>
      <c r="BL20" s="180">
        <v>0</v>
      </c>
      <c r="BM20" s="180">
        <v>0</v>
      </c>
      <c r="BN20" s="180">
        <v>1904676</v>
      </c>
      <c r="BO20" s="180">
        <v>990378</v>
      </c>
      <c r="BP20" s="180">
        <v>0</v>
      </c>
      <c r="BQ20" s="180">
        <v>0</v>
      </c>
      <c r="BR20" s="180">
        <v>316973</v>
      </c>
      <c r="BS20" s="180">
        <v>-202178</v>
      </c>
      <c r="BT20" s="180">
        <v>0</v>
      </c>
      <c r="BU20" s="180">
        <v>0</v>
      </c>
      <c r="BV20" s="180">
        <v>325356</v>
      </c>
      <c r="BW20" s="180">
        <v>0</v>
      </c>
      <c r="BX20" s="180"/>
      <c r="BY20" s="180"/>
      <c r="BZ20" s="180">
        <v>743463</v>
      </c>
      <c r="CA20" s="180">
        <v>3914</v>
      </c>
      <c r="CB20" s="180"/>
      <c r="CC20" s="180">
        <v>919371</v>
      </c>
      <c r="CD20" s="180">
        <v>0</v>
      </c>
      <c r="CE20" s="180">
        <v>11816224</v>
      </c>
      <c r="CF20" s="180">
        <v>171583</v>
      </c>
      <c r="CG20" s="180">
        <v>608137</v>
      </c>
      <c r="CH20" s="180">
        <v>35237</v>
      </c>
      <c r="CI20" s="180">
        <v>547993</v>
      </c>
      <c r="CJ20" s="180">
        <v>78446515</v>
      </c>
      <c r="CK20" s="180">
        <v>879926</v>
      </c>
      <c r="CL20" s="180">
        <v>21179</v>
      </c>
      <c r="CM20" s="180">
        <v>0</v>
      </c>
      <c r="CN20" s="180">
        <v>47701</v>
      </c>
      <c r="CO20" s="180">
        <v>1565125</v>
      </c>
      <c r="CP20" s="180">
        <v>310690</v>
      </c>
      <c r="CQ20" s="180">
        <v>69553</v>
      </c>
      <c r="CR20" s="180">
        <v>0</v>
      </c>
      <c r="CS20" s="180">
        <v>0</v>
      </c>
      <c r="CT20" s="180"/>
      <c r="CU20" s="180"/>
    </row>
    <row r="21" spans="1:99" x14ac:dyDescent="0.3">
      <c r="A21" s="155">
        <v>52</v>
      </c>
      <c r="B21" s="180" t="s">
        <v>230</v>
      </c>
      <c r="C21" s="180"/>
      <c r="D21" s="180">
        <v>0</v>
      </c>
      <c r="E21" s="180">
        <v>0</v>
      </c>
      <c r="F21" s="180">
        <v>0</v>
      </c>
      <c r="G21" s="180">
        <v>0</v>
      </c>
      <c r="H21" s="180">
        <v>0</v>
      </c>
      <c r="I21" s="180">
        <v>0</v>
      </c>
      <c r="J21" s="180">
        <v>0</v>
      </c>
      <c r="K21" s="180"/>
      <c r="L21" s="180">
        <v>0</v>
      </c>
      <c r="M21" s="180">
        <v>1716901</v>
      </c>
      <c r="N21" s="180"/>
      <c r="O21" s="180">
        <v>0</v>
      </c>
      <c r="P21" s="180">
        <v>0</v>
      </c>
      <c r="Q21" s="180">
        <v>0</v>
      </c>
      <c r="R21" s="180">
        <v>0</v>
      </c>
      <c r="S21" s="180">
        <v>0</v>
      </c>
      <c r="T21" s="180">
        <v>0</v>
      </c>
      <c r="U21" s="180">
        <v>0</v>
      </c>
      <c r="V21" s="180">
        <v>0</v>
      </c>
      <c r="W21" s="180">
        <v>0</v>
      </c>
      <c r="X21" s="180">
        <v>0</v>
      </c>
      <c r="Y21" s="180">
        <v>0</v>
      </c>
      <c r="Z21" s="180">
        <v>0</v>
      </c>
      <c r="AA21" s="180">
        <v>0</v>
      </c>
      <c r="AB21" s="180">
        <v>0</v>
      </c>
      <c r="AC21" s="180">
        <v>1620118</v>
      </c>
      <c r="AD21" s="180"/>
      <c r="AE21" s="180">
        <v>0</v>
      </c>
      <c r="AF21" s="180">
        <v>0</v>
      </c>
      <c r="AG21" s="180">
        <v>0</v>
      </c>
      <c r="AH21" s="180">
        <v>0</v>
      </c>
      <c r="AI21" s="180">
        <v>0</v>
      </c>
      <c r="AJ21" s="180">
        <v>0</v>
      </c>
      <c r="AK21" s="180">
        <v>0</v>
      </c>
      <c r="AL21" s="180">
        <v>0</v>
      </c>
      <c r="AM21" s="180">
        <v>0</v>
      </c>
      <c r="AN21" s="180">
        <v>0</v>
      </c>
      <c r="AO21" s="180">
        <v>0</v>
      </c>
      <c r="AP21" s="180">
        <v>0</v>
      </c>
      <c r="AQ21" s="180">
        <v>0</v>
      </c>
      <c r="AR21" s="180">
        <v>0</v>
      </c>
      <c r="AS21" s="180">
        <v>0</v>
      </c>
      <c r="AT21" s="180">
        <v>0</v>
      </c>
      <c r="AU21" s="180">
        <v>0</v>
      </c>
      <c r="AV21" s="180">
        <v>0</v>
      </c>
      <c r="AW21" s="180">
        <v>0</v>
      </c>
      <c r="AX21" s="180">
        <v>0</v>
      </c>
      <c r="AY21" s="180">
        <v>0</v>
      </c>
      <c r="AZ21" s="180">
        <v>0</v>
      </c>
      <c r="BA21" s="180">
        <v>1501068</v>
      </c>
      <c r="BB21" s="180">
        <v>0</v>
      </c>
      <c r="BC21" s="180">
        <v>0</v>
      </c>
      <c r="BD21" s="180">
        <v>0</v>
      </c>
      <c r="BE21" s="180">
        <v>0</v>
      </c>
      <c r="BF21" s="180">
        <v>0</v>
      </c>
      <c r="BG21" s="180">
        <v>4848</v>
      </c>
      <c r="BH21" s="180">
        <v>0</v>
      </c>
      <c r="BI21" s="180">
        <v>0</v>
      </c>
      <c r="BJ21" s="180">
        <v>1238644</v>
      </c>
      <c r="BK21" s="180">
        <v>0</v>
      </c>
      <c r="BL21" s="180">
        <v>0</v>
      </c>
      <c r="BM21" s="180">
        <v>0</v>
      </c>
      <c r="BN21" s="180">
        <v>271846</v>
      </c>
      <c r="BO21" s="180">
        <v>0</v>
      </c>
      <c r="BP21" s="180">
        <v>0</v>
      </c>
      <c r="BQ21" s="180">
        <v>0</v>
      </c>
      <c r="BR21" s="180">
        <v>0</v>
      </c>
      <c r="BS21" s="180">
        <v>0</v>
      </c>
      <c r="BT21" s="180">
        <v>0</v>
      </c>
      <c r="BU21" s="180">
        <v>0</v>
      </c>
      <c r="BV21" s="180">
        <v>0</v>
      </c>
      <c r="BW21" s="180">
        <v>0</v>
      </c>
      <c r="BX21" s="180"/>
      <c r="BY21" s="180"/>
      <c r="BZ21" s="180">
        <v>0</v>
      </c>
      <c r="CA21" s="180">
        <v>0</v>
      </c>
      <c r="CB21" s="180"/>
      <c r="CC21" s="180">
        <v>0</v>
      </c>
      <c r="CD21" s="180">
        <v>0</v>
      </c>
      <c r="CE21" s="180">
        <v>7220532</v>
      </c>
      <c r="CF21" s="180">
        <v>0</v>
      </c>
      <c r="CG21" s="180">
        <v>208977</v>
      </c>
      <c r="CH21" s="180">
        <v>0</v>
      </c>
      <c r="CI21" s="180">
        <v>0</v>
      </c>
      <c r="CJ21" s="180">
        <v>0</v>
      </c>
      <c r="CK21" s="180">
        <v>428281</v>
      </c>
      <c r="CL21" s="180">
        <v>0</v>
      </c>
      <c r="CM21" s="180">
        <v>0</v>
      </c>
      <c r="CN21" s="180">
        <v>0</v>
      </c>
      <c r="CO21" s="180">
        <v>0</v>
      </c>
      <c r="CP21" s="180">
        <v>0</v>
      </c>
      <c r="CQ21" s="180">
        <v>0</v>
      </c>
      <c r="CR21" s="180">
        <v>0</v>
      </c>
      <c r="CS21" s="180">
        <v>0</v>
      </c>
      <c r="CT21" s="180"/>
      <c r="CU21" s="180"/>
    </row>
    <row r="22" spans="1:99" x14ac:dyDescent="0.3">
      <c r="A22" s="155">
        <v>53</v>
      </c>
      <c r="B22" s="180" t="s">
        <v>93</v>
      </c>
      <c r="C22" s="180"/>
      <c r="D22" s="180">
        <v>0</v>
      </c>
      <c r="E22" s="180">
        <v>0</v>
      </c>
      <c r="F22" s="180">
        <v>0</v>
      </c>
      <c r="G22" s="180">
        <v>0</v>
      </c>
      <c r="H22" s="180">
        <v>0</v>
      </c>
      <c r="I22" s="180">
        <v>0</v>
      </c>
      <c r="J22" s="180">
        <v>0</v>
      </c>
      <c r="K22" s="180"/>
      <c r="L22" s="180">
        <v>0</v>
      </c>
      <c r="M22" s="180">
        <v>3101861</v>
      </c>
      <c r="N22" s="180"/>
      <c r="O22" s="180">
        <v>0</v>
      </c>
      <c r="P22" s="180">
        <v>0</v>
      </c>
      <c r="Q22" s="180">
        <v>0</v>
      </c>
      <c r="R22" s="180">
        <v>0</v>
      </c>
      <c r="S22" s="180">
        <v>0</v>
      </c>
      <c r="T22" s="180">
        <v>0</v>
      </c>
      <c r="U22" s="180">
        <v>0</v>
      </c>
      <c r="V22" s="180">
        <v>0</v>
      </c>
      <c r="W22" s="180">
        <v>0</v>
      </c>
      <c r="X22" s="180">
        <v>0</v>
      </c>
      <c r="Y22" s="180">
        <v>0</v>
      </c>
      <c r="Z22" s="180">
        <v>0</v>
      </c>
      <c r="AA22" s="180">
        <v>0</v>
      </c>
      <c r="AB22" s="180">
        <v>0</v>
      </c>
      <c r="AC22" s="180">
        <v>-1278545</v>
      </c>
      <c r="AD22" s="180"/>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29179</v>
      </c>
      <c r="BB22" s="180">
        <v>0</v>
      </c>
      <c r="BC22" s="180">
        <v>0</v>
      </c>
      <c r="BD22" s="180">
        <v>0</v>
      </c>
      <c r="BE22" s="180">
        <v>0</v>
      </c>
      <c r="BF22" s="180">
        <v>0</v>
      </c>
      <c r="BG22" s="180">
        <v>48181</v>
      </c>
      <c r="BH22" s="180">
        <v>0</v>
      </c>
      <c r="BI22" s="180">
        <v>0</v>
      </c>
      <c r="BJ22" s="180">
        <v>2868608</v>
      </c>
      <c r="BK22" s="180">
        <v>0</v>
      </c>
      <c r="BL22" s="180">
        <v>0</v>
      </c>
      <c r="BM22" s="180">
        <v>0</v>
      </c>
      <c r="BN22" s="180">
        <v>25455</v>
      </c>
      <c r="BO22" s="180">
        <v>0</v>
      </c>
      <c r="BP22" s="180">
        <v>0</v>
      </c>
      <c r="BQ22" s="180">
        <v>0</v>
      </c>
      <c r="BR22" s="180">
        <v>0</v>
      </c>
      <c r="BS22" s="180">
        <v>0</v>
      </c>
      <c r="BT22" s="180">
        <v>0</v>
      </c>
      <c r="BU22" s="180">
        <v>0</v>
      </c>
      <c r="BV22" s="180">
        <v>0</v>
      </c>
      <c r="BW22" s="180">
        <v>0</v>
      </c>
      <c r="BX22" s="180"/>
      <c r="BY22" s="180"/>
      <c r="BZ22" s="180">
        <v>0</v>
      </c>
      <c r="CA22" s="180">
        <v>0</v>
      </c>
      <c r="CB22" s="180"/>
      <c r="CC22" s="180">
        <v>0</v>
      </c>
      <c r="CD22" s="180">
        <v>0</v>
      </c>
      <c r="CE22" s="180">
        <v>4227615</v>
      </c>
      <c r="CF22" s="180">
        <v>0</v>
      </c>
      <c r="CG22" s="180">
        <v>906416</v>
      </c>
      <c r="CH22" s="180">
        <v>0</v>
      </c>
      <c r="CI22" s="180">
        <v>0</v>
      </c>
      <c r="CJ22" s="180">
        <v>0</v>
      </c>
      <c r="CK22" s="180">
        <v>-333269</v>
      </c>
      <c r="CL22" s="180">
        <v>0</v>
      </c>
      <c r="CM22" s="180">
        <v>0</v>
      </c>
      <c r="CN22" s="180">
        <v>0</v>
      </c>
      <c r="CO22" s="180">
        <v>0</v>
      </c>
      <c r="CP22" s="180">
        <v>0</v>
      </c>
      <c r="CQ22" s="180">
        <v>0</v>
      </c>
      <c r="CR22" s="180">
        <v>0</v>
      </c>
      <c r="CS22" s="180">
        <v>0</v>
      </c>
      <c r="CT22" s="180"/>
      <c r="CU22" s="180"/>
    </row>
    <row r="23" spans="1:99" x14ac:dyDescent="0.3">
      <c r="A23" s="155">
        <v>55</v>
      </c>
      <c r="B23" s="180" t="s">
        <v>240</v>
      </c>
      <c r="C23" s="180"/>
      <c r="D23" s="180">
        <v>0</v>
      </c>
      <c r="E23" s="180">
        <v>0</v>
      </c>
      <c r="F23" s="180">
        <v>0</v>
      </c>
      <c r="G23" s="180">
        <v>0</v>
      </c>
      <c r="H23" s="180">
        <v>0</v>
      </c>
      <c r="I23" s="180">
        <v>0</v>
      </c>
      <c r="J23" s="180">
        <v>0</v>
      </c>
      <c r="K23" s="180"/>
      <c r="L23" s="180">
        <v>0</v>
      </c>
      <c r="M23" s="180">
        <v>5978597</v>
      </c>
      <c r="N23" s="180"/>
      <c r="O23" s="180">
        <v>0</v>
      </c>
      <c r="P23" s="180">
        <v>0</v>
      </c>
      <c r="Q23" s="180">
        <v>0</v>
      </c>
      <c r="R23" s="180">
        <v>0</v>
      </c>
      <c r="S23" s="180">
        <v>0</v>
      </c>
      <c r="T23" s="180">
        <v>0</v>
      </c>
      <c r="U23" s="180">
        <v>0</v>
      </c>
      <c r="V23" s="180">
        <v>0</v>
      </c>
      <c r="W23" s="180">
        <v>0</v>
      </c>
      <c r="X23" s="180">
        <v>0</v>
      </c>
      <c r="Y23" s="180">
        <v>0</v>
      </c>
      <c r="Z23" s="180">
        <v>0</v>
      </c>
      <c r="AA23" s="180">
        <v>0</v>
      </c>
      <c r="AB23" s="180">
        <v>0</v>
      </c>
      <c r="AC23" s="180">
        <v>1872534</v>
      </c>
      <c r="AD23" s="180"/>
      <c r="AE23" s="180">
        <v>0</v>
      </c>
      <c r="AF23" s="180">
        <v>0</v>
      </c>
      <c r="AG23" s="180">
        <v>0</v>
      </c>
      <c r="AH23" s="180">
        <v>0</v>
      </c>
      <c r="AI23" s="180">
        <v>0</v>
      </c>
      <c r="AJ23" s="180">
        <v>0</v>
      </c>
      <c r="AK23" s="180">
        <v>0</v>
      </c>
      <c r="AL23" s="180">
        <v>0</v>
      </c>
      <c r="AM23" s="180">
        <v>0</v>
      </c>
      <c r="AN23" s="180">
        <v>0</v>
      </c>
      <c r="AO23" s="180">
        <v>0</v>
      </c>
      <c r="AP23" s="180">
        <v>0</v>
      </c>
      <c r="AQ23" s="180">
        <v>0</v>
      </c>
      <c r="AR23" s="180">
        <v>0</v>
      </c>
      <c r="AS23" s="180">
        <v>0</v>
      </c>
      <c r="AT23" s="180">
        <v>0</v>
      </c>
      <c r="AU23" s="180">
        <v>0</v>
      </c>
      <c r="AV23" s="180">
        <v>0</v>
      </c>
      <c r="AW23" s="180">
        <v>0</v>
      </c>
      <c r="AX23" s="180">
        <v>0</v>
      </c>
      <c r="AY23" s="180">
        <v>0</v>
      </c>
      <c r="AZ23" s="180">
        <v>0</v>
      </c>
      <c r="BA23" s="180">
        <v>1007407</v>
      </c>
      <c r="BB23" s="180">
        <v>0</v>
      </c>
      <c r="BC23" s="180">
        <v>0</v>
      </c>
      <c r="BD23" s="180">
        <v>0</v>
      </c>
      <c r="BE23" s="180">
        <v>0</v>
      </c>
      <c r="BF23" s="180">
        <v>0</v>
      </c>
      <c r="BG23" s="180">
        <v>19704</v>
      </c>
      <c r="BH23" s="180">
        <v>0</v>
      </c>
      <c r="BI23" s="180">
        <v>0</v>
      </c>
      <c r="BJ23" s="180">
        <v>4617856</v>
      </c>
      <c r="BK23" s="180">
        <v>0</v>
      </c>
      <c r="BL23" s="180">
        <v>0</v>
      </c>
      <c r="BM23" s="180">
        <v>0</v>
      </c>
      <c r="BN23" s="180">
        <v>1629913</v>
      </c>
      <c r="BO23" s="180">
        <v>0</v>
      </c>
      <c r="BP23" s="180">
        <v>0</v>
      </c>
      <c r="BQ23" s="180">
        <v>0</v>
      </c>
      <c r="BR23" s="180">
        <v>0</v>
      </c>
      <c r="BS23" s="180">
        <v>0</v>
      </c>
      <c r="BT23" s="180">
        <v>0</v>
      </c>
      <c r="BU23" s="180">
        <v>0</v>
      </c>
      <c r="BV23" s="180">
        <v>0</v>
      </c>
      <c r="BW23" s="180">
        <v>0</v>
      </c>
      <c r="BX23" s="180"/>
      <c r="BY23" s="180"/>
      <c r="BZ23" s="180">
        <v>0</v>
      </c>
      <c r="CA23" s="180">
        <v>0</v>
      </c>
      <c r="CB23" s="180"/>
      <c r="CC23" s="180">
        <v>0</v>
      </c>
      <c r="CD23" s="180">
        <v>0</v>
      </c>
      <c r="CE23" s="180">
        <v>16658381</v>
      </c>
      <c r="CF23" s="180">
        <v>0</v>
      </c>
      <c r="CG23" s="180">
        <v>1087618</v>
      </c>
      <c r="CH23" s="180">
        <v>0</v>
      </c>
      <c r="CI23" s="180">
        <v>0</v>
      </c>
      <c r="CJ23" s="180">
        <v>0</v>
      </c>
      <c r="CK23" s="180">
        <v>441922</v>
      </c>
      <c r="CL23" s="180">
        <v>0</v>
      </c>
      <c r="CM23" s="180">
        <v>0</v>
      </c>
      <c r="CN23" s="180">
        <v>0</v>
      </c>
      <c r="CO23" s="180">
        <v>0</v>
      </c>
      <c r="CP23" s="180">
        <v>0</v>
      </c>
      <c r="CQ23" s="180">
        <v>0</v>
      </c>
      <c r="CR23" s="180">
        <v>0</v>
      </c>
      <c r="CS23" s="180">
        <v>0</v>
      </c>
      <c r="CT23" s="180"/>
      <c r="CU23" s="180"/>
    </row>
    <row r="24" spans="1:99" x14ac:dyDescent="0.3">
      <c r="A24" s="155">
        <v>61</v>
      </c>
      <c r="B24" s="180" t="s">
        <v>254</v>
      </c>
      <c r="C24" s="180"/>
      <c r="D24" s="180">
        <v>98.08</v>
      </c>
      <c r="E24" s="180">
        <v>99.81</v>
      </c>
      <c r="F24" s="180">
        <v>96.38</v>
      </c>
      <c r="G24" s="180">
        <v>99.28</v>
      </c>
      <c r="H24" s="180">
        <v>99.92</v>
      </c>
      <c r="I24" s="180">
        <v>98.96</v>
      </c>
      <c r="J24" s="180">
        <v>99.25</v>
      </c>
      <c r="K24" s="180"/>
      <c r="L24" s="180">
        <v>95.53</v>
      </c>
      <c r="M24" s="180">
        <v>99.3</v>
      </c>
      <c r="N24" s="180"/>
      <c r="O24" s="180">
        <v>99.6</v>
      </c>
      <c r="P24" s="180">
        <v>0</v>
      </c>
      <c r="Q24" s="180">
        <v>98.77</v>
      </c>
      <c r="R24" s="180">
        <v>96.17</v>
      </c>
      <c r="S24" s="180">
        <v>97.84</v>
      </c>
      <c r="T24" s="180">
        <v>99.62</v>
      </c>
      <c r="U24" s="180">
        <v>99.8</v>
      </c>
      <c r="V24" s="180">
        <v>99.58</v>
      </c>
      <c r="W24" s="180">
        <v>98.71</v>
      </c>
      <c r="X24" s="180">
        <v>99.42</v>
      </c>
      <c r="Y24" s="180">
        <v>0</v>
      </c>
      <c r="Z24" s="180">
        <v>98.05</v>
      </c>
      <c r="AA24" s="180">
        <v>98.33</v>
      </c>
      <c r="AB24" s="180">
        <v>97.15</v>
      </c>
      <c r="AC24" s="180">
        <v>96.74</v>
      </c>
      <c r="AD24" s="180"/>
      <c r="AE24" s="180">
        <v>99.61</v>
      </c>
      <c r="AF24" s="180">
        <v>90.8</v>
      </c>
      <c r="AG24" s="180">
        <v>96.73</v>
      </c>
      <c r="AH24" s="180">
        <v>98.72</v>
      </c>
      <c r="AI24" s="180">
        <v>99.35</v>
      </c>
      <c r="AJ24" s="180">
        <v>99.73</v>
      </c>
      <c r="AK24" s="180">
        <v>95.25</v>
      </c>
      <c r="AL24" s="180">
        <v>99.31</v>
      </c>
      <c r="AM24" s="180">
        <v>98.48</v>
      </c>
      <c r="AN24" s="180">
        <v>97.57</v>
      </c>
      <c r="AO24" s="180">
        <v>97.6</v>
      </c>
      <c r="AP24" s="180">
        <v>98.88</v>
      </c>
      <c r="AQ24" s="180">
        <v>98.45</v>
      </c>
      <c r="AR24" s="180">
        <v>97.98</v>
      </c>
      <c r="AS24" s="180">
        <v>98.5</v>
      </c>
      <c r="AT24" s="180">
        <v>96.73</v>
      </c>
      <c r="AU24" s="180">
        <v>98.53</v>
      </c>
      <c r="AV24" s="180">
        <v>99.39</v>
      </c>
      <c r="AW24" s="180">
        <v>96.99</v>
      </c>
      <c r="AX24" s="180">
        <v>98.53</v>
      </c>
      <c r="AY24" s="180">
        <v>92.88</v>
      </c>
      <c r="AZ24" s="180">
        <v>92.01</v>
      </c>
      <c r="BA24" s="180">
        <v>99.82</v>
      </c>
      <c r="BB24" s="180">
        <v>99.01</v>
      </c>
      <c r="BC24" s="180">
        <v>96.52</v>
      </c>
      <c r="BD24" s="180">
        <v>98.52</v>
      </c>
      <c r="BE24" s="180">
        <v>97.62</v>
      </c>
      <c r="BF24" s="180">
        <v>99.92</v>
      </c>
      <c r="BG24" s="180">
        <v>98.49</v>
      </c>
      <c r="BH24" s="180">
        <v>98.51</v>
      </c>
      <c r="BI24" s="180">
        <v>97.87</v>
      </c>
      <c r="BJ24" s="180">
        <v>99.01</v>
      </c>
      <c r="BK24" s="180">
        <v>99.21</v>
      </c>
      <c r="BL24" s="180">
        <v>88.88</v>
      </c>
      <c r="BM24" s="180">
        <v>99.27</v>
      </c>
      <c r="BN24" s="180">
        <v>97.33</v>
      </c>
      <c r="BO24" s="180">
        <v>99.84</v>
      </c>
      <c r="BP24" s="180">
        <v>99.83</v>
      </c>
      <c r="BQ24" s="180">
        <v>98.63</v>
      </c>
      <c r="BR24" s="180">
        <v>96.91</v>
      </c>
      <c r="BS24" s="180">
        <v>99.52</v>
      </c>
      <c r="BT24" s="180">
        <v>0</v>
      </c>
      <c r="BU24" s="180">
        <v>99.92</v>
      </c>
      <c r="BV24" s="180">
        <v>98.77</v>
      </c>
      <c r="BW24" s="180">
        <v>99.93</v>
      </c>
      <c r="BX24" s="180"/>
      <c r="BY24" s="180"/>
      <c r="BZ24" s="180">
        <v>98.76</v>
      </c>
      <c r="CA24" s="180">
        <v>99.27</v>
      </c>
      <c r="CB24" s="180"/>
      <c r="CC24" s="180">
        <v>94.44</v>
      </c>
      <c r="CD24" s="180">
        <v>99.5</v>
      </c>
      <c r="CE24" s="180">
        <v>98.78</v>
      </c>
      <c r="CF24" s="180">
        <v>100</v>
      </c>
      <c r="CG24" s="180">
        <v>98.34</v>
      </c>
      <c r="CH24" s="180">
        <v>97.11</v>
      </c>
      <c r="CI24" s="180">
        <v>99.23</v>
      </c>
      <c r="CJ24" s="180">
        <v>99.39</v>
      </c>
      <c r="CK24" s="180">
        <v>99.49</v>
      </c>
      <c r="CL24" s="180">
        <v>95.43</v>
      </c>
      <c r="CM24" s="180">
        <v>99.79</v>
      </c>
      <c r="CN24" s="180">
        <v>93.16</v>
      </c>
      <c r="CO24" s="180">
        <v>99.9</v>
      </c>
      <c r="CP24" s="180">
        <v>98</v>
      </c>
      <c r="CQ24" s="180">
        <v>98.57</v>
      </c>
      <c r="CR24" s="180">
        <v>99.4</v>
      </c>
      <c r="CS24" s="180">
        <v>99.32</v>
      </c>
      <c r="CT24" s="180"/>
      <c r="CU24" s="180"/>
    </row>
    <row r="25" spans="1:99" x14ac:dyDescent="0.3">
      <c r="A25" s="155">
        <v>80</v>
      </c>
      <c r="B25" s="180" t="s">
        <v>209</v>
      </c>
      <c r="C25" s="180"/>
      <c r="D25" s="180">
        <v>0</v>
      </c>
      <c r="E25" s="180">
        <v>0</v>
      </c>
      <c r="F25" s="180">
        <v>419095</v>
      </c>
      <c r="G25" s="180">
        <v>0</v>
      </c>
      <c r="H25" s="180">
        <v>0</v>
      </c>
      <c r="I25" s="180">
        <v>948665</v>
      </c>
      <c r="J25" s="180">
        <v>1483860</v>
      </c>
      <c r="K25" s="180"/>
      <c r="L25" s="180">
        <v>139855</v>
      </c>
      <c r="M25" s="180">
        <v>18172809</v>
      </c>
      <c r="N25" s="180"/>
      <c r="O25" s="180">
        <v>0</v>
      </c>
      <c r="P25" s="180">
        <v>1626705</v>
      </c>
      <c r="Q25" s="180">
        <v>275387</v>
      </c>
      <c r="R25" s="180">
        <v>0</v>
      </c>
      <c r="S25" s="180">
        <v>99610</v>
      </c>
      <c r="T25" s="180">
        <v>0</v>
      </c>
      <c r="U25" s="180">
        <v>0</v>
      </c>
      <c r="V25" s="180">
        <v>0</v>
      </c>
      <c r="W25" s="180">
        <v>14222822</v>
      </c>
      <c r="X25" s="180">
        <v>0</v>
      </c>
      <c r="Y25" s="180">
        <v>3009956</v>
      </c>
      <c r="Z25" s="180">
        <v>0</v>
      </c>
      <c r="AA25" s="180">
        <v>2528347</v>
      </c>
      <c r="AB25" s="180">
        <v>0</v>
      </c>
      <c r="AC25" s="180">
        <v>2058303</v>
      </c>
      <c r="AD25" s="180"/>
      <c r="AE25" s="180">
        <v>430828</v>
      </c>
      <c r="AF25" s="180">
        <v>381424</v>
      </c>
      <c r="AG25" s="180">
        <v>12969133</v>
      </c>
      <c r="AH25" s="180">
        <v>0</v>
      </c>
      <c r="AI25" s="180">
        <v>2085216</v>
      </c>
      <c r="AJ25" s="180">
        <v>0</v>
      </c>
      <c r="AK25" s="180">
        <v>384431</v>
      </c>
      <c r="AL25" s="180">
        <v>1574342</v>
      </c>
      <c r="AM25" s="180">
        <v>1931506</v>
      </c>
      <c r="AN25" s="180">
        <v>313631</v>
      </c>
      <c r="AO25" s="180">
        <v>126852</v>
      </c>
      <c r="AP25" s="180">
        <v>74426</v>
      </c>
      <c r="AQ25" s="180">
        <v>0</v>
      </c>
      <c r="AR25" s="180">
        <v>2432618</v>
      </c>
      <c r="AS25" s="180">
        <v>217497</v>
      </c>
      <c r="AT25" s="180">
        <v>0</v>
      </c>
      <c r="AU25" s="180">
        <v>0</v>
      </c>
      <c r="AV25" s="180">
        <v>0</v>
      </c>
      <c r="AW25" s="180">
        <v>0</v>
      </c>
      <c r="AX25" s="180">
        <v>203679</v>
      </c>
      <c r="AY25" s="180">
        <v>3093723</v>
      </c>
      <c r="AZ25" s="180">
        <v>464514</v>
      </c>
      <c r="BA25" s="180">
        <v>0</v>
      </c>
      <c r="BB25" s="180">
        <v>0</v>
      </c>
      <c r="BC25" s="180">
        <v>3234740</v>
      </c>
      <c r="BD25" s="180">
        <v>0</v>
      </c>
      <c r="BE25" s="180">
        <v>1381929</v>
      </c>
      <c r="BF25" s="180">
        <v>1045661</v>
      </c>
      <c r="BG25" s="180">
        <v>186440</v>
      </c>
      <c r="BH25" s="180">
        <v>552073</v>
      </c>
      <c r="BI25" s="180">
        <v>2750276</v>
      </c>
      <c r="BJ25" s="180">
        <v>7283252</v>
      </c>
      <c r="BK25" s="180">
        <v>0</v>
      </c>
      <c r="BL25" s="180">
        <v>0</v>
      </c>
      <c r="BM25" s="180">
        <v>0</v>
      </c>
      <c r="BN25" s="180">
        <v>5720864</v>
      </c>
      <c r="BO25" s="180">
        <v>4726932</v>
      </c>
      <c r="BP25" s="180">
        <v>0</v>
      </c>
      <c r="BQ25" s="180">
        <v>0</v>
      </c>
      <c r="BR25" s="180">
        <v>2942564</v>
      </c>
      <c r="BS25" s="180">
        <v>0</v>
      </c>
      <c r="BT25" s="180">
        <v>0</v>
      </c>
      <c r="BU25" s="180">
        <v>0</v>
      </c>
      <c r="BV25" s="180">
        <v>1069511</v>
      </c>
      <c r="BW25" s="180">
        <v>0</v>
      </c>
      <c r="BX25" s="180"/>
      <c r="BY25" s="180"/>
      <c r="BZ25" s="180">
        <v>2538996</v>
      </c>
      <c r="CA25" s="180">
        <v>86806</v>
      </c>
      <c r="CB25" s="180"/>
      <c r="CC25" s="180">
        <v>6511085</v>
      </c>
      <c r="CD25" s="180">
        <v>0</v>
      </c>
      <c r="CE25" s="180">
        <v>22765071</v>
      </c>
      <c r="CF25" s="180">
        <v>81641</v>
      </c>
      <c r="CG25" s="180">
        <v>1950641</v>
      </c>
      <c r="CH25" s="180">
        <v>62604</v>
      </c>
      <c r="CI25" s="180">
        <v>1317096</v>
      </c>
      <c r="CJ25" s="180">
        <v>80460670</v>
      </c>
      <c r="CK25" s="180">
        <v>2245157</v>
      </c>
      <c r="CL25" s="180">
        <v>1107923</v>
      </c>
      <c r="CM25" s="180">
        <v>0</v>
      </c>
      <c r="CN25" s="180">
        <v>570885</v>
      </c>
      <c r="CO25" s="180">
        <v>9681805</v>
      </c>
      <c r="CP25" s="180">
        <v>3660893</v>
      </c>
      <c r="CQ25" s="180">
        <v>1684319</v>
      </c>
      <c r="CR25" s="180">
        <v>0</v>
      </c>
      <c r="CS25" s="180">
        <v>0</v>
      </c>
      <c r="CT25" s="180"/>
      <c r="CU25" s="180"/>
    </row>
    <row r="26" spans="1:99" x14ac:dyDescent="0.3">
      <c r="A26" s="155">
        <v>81</v>
      </c>
      <c r="B26" s="180" t="s">
        <v>210</v>
      </c>
      <c r="C26" s="180"/>
      <c r="D26" s="180">
        <v>0</v>
      </c>
      <c r="E26" s="180">
        <v>0</v>
      </c>
      <c r="F26" s="180">
        <v>89363</v>
      </c>
      <c r="G26" s="180">
        <v>0</v>
      </c>
      <c r="H26" s="180">
        <v>0</v>
      </c>
      <c r="I26" s="180">
        <v>47057</v>
      </c>
      <c r="J26" s="180">
        <v>404546</v>
      </c>
      <c r="K26" s="180"/>
      <c r="L26" s="180">
        <v>128986</v>
      </c>
      <c r="M26" s="180">
        <v>2003669</v>
      </c>
      <c r="N26" s="180"/>
      <c r="O26" s="180">
        <v>0</v>
      </c>
      <c r="P26" s="180">
        <v>49360</v>
      </c>
      <c r="Q26" s="180">
        <v>74924</v>
      </c>
      <c r="R26" s="180">
        <v>0</v>
      </c>
      <c r="S26" s="180">
        <v>29894</v>
      </c>
      <c r="T26" s="180">
        <v>0</v>
      </c>
      <c r="U26" s="180">
        <v>0</v>
      </c>
      <c r="V26" s="180">
        <v>0</v>
      </c>
      <c r="W26" s="180">
        <v>575441</v>
      </c>
      <c r="X26" s="180">
        <v>0</v>
      </c>
      <c r="Y26" s="180">
        <v>335732</v>
      </c>
      <c r="Z26" s="180">
        <v>0</v>
      </c>
      <c r="AA26" s="180">
        <v>57451</v>
      </c>
      <c r="AB26" s="180">
        <v>0</v>
      </c>
      <c r="AC26" s="180">
        <v>594749</v>
      </c>
      <c r="AD26" s="180"/>
      <c r="AE26" s="180">
        <v>3292</v>
      </c>
      <c r="AF26" s="180">
        <v>40075</v>
      </c>
      <c r="AG26" s="180">
        <v>2060875</v>
      </c>
      <c r="AH26" s="180">
        <v>0</v>
      </c>
      <c r="AI26" s="180">
        <v>110753</v>
      </c>
      <c r="AJ26" s="180">
        <v>0</v>
      </c>
      <c r="AK26" s="180">
        <v>14771</v>
      </c>
      <c r="AL26" s="180">
        <v>109018</v>
      </c>
      <c r="AM26" s="180">
        <v>617031</v>
      </c>
      <c r="AN26" s="180">
        <v>333552</v>
      </c>
      <c r="AO26" s="180">
        <v>283452</v>
      </c>
      <c r="AP26" s="180">
        <v>6824</v>
      </c>
      <c r="AQ26" s="180">
        <v>0</v>
      </c>
      <c r="AR26" s="180">
        <v>649200</v>
      </c>
      <c r="AS26" s="180">
        <v>33752</v>
      </c>
      <c r="AT26" s="180">
        <v>0</v>
      </c>
      <c r="AU26" s="180">
        <v>0</v>
      </c>
      <c r="AV26" s="180">
        <v>0</v>
      </c>
      <c r="AW26" s="180">
        <v>0</v>
      </c>
      <c r="AX26" s="180">
        <v>11444</v>
      </c>
      <c r="AY26" s="180">
        <v>286905</v>
      </c>
      <c r="AZ26" s="180">
        <v>26349</v>
      </c>
      <c r="BA26" s="180">
        <v>0</v>
      </c>
      <c r="BB26" s="180">
        <v>0</v>
      </c>
      <c r="BC26" s="180">
        <v>502246</v>
      </c>
      <c r="BD26" s="180">
        <v>0</v>
      </c>
      <c r="BE26" s="180">
        <v>234656</v>
      </c>
      <c r="BF26" s="180">
        <v>44986</v>
      </c>
      <c r="BG26" s="180">
        <v>22191</v>
      </c>
      <c r="BH26" s="180">
        <v>188498</v>
      </c>
      <c r="BI26" s="180">
        <v>172981</v>
      </c>
      <c r="BJ26" s="180">
        <v>1000187</v>
      </c>
      <c r="BK26" s="180">
        <v>0</v>
      </c>
      <c r="BL26" s="180">
        <v>0</v>
      </c>
      <c r="BM26" s="180">
        <v>0</v>
      </c>
      <c r="BN26" s="180">
        <v>1294027</v>
      </c>
      <c r="BO26" s="180">
        <v>523943</v>
      </c>
      <c r="BP26" s="180">
        <v>0</v>
      </c>
      <c r="BQ26" s="180">
        <v>0</v>
      </c>
      <c r="BR26" s="180">
        <v>132248</v>
      </c>
      <c r="BS26" s="180">
        <v>0</v>
      </c>
      <c r="BT26" s="180">
        <v>0</v>
      </c>
      <c r="BU26" s="180">
        <v>0</v>
      </c>
      <c r="BV26" s="180">
        <v>96854</v>
      </c>
      <c r="BW26" s="180">
        <v>0</v>
      </c>
      <c r="BX26" s="180"/>
      <c r="BY26" s="180"/>
      <c r="BZ26" s="180">
        <v>580635</v>
      </c>
      <c r="CA26" s="180">
        <v>4226</v>
      </c>
      <c r="CB26" s="180"/>
      <c r="CC26" s="180">
        <v>330394</v>
      </c>
      <c r="CD26" s="180">
        <v>0</v>
      </c>
      <c r="CE26" s="180">
        <v>3510559</v>
      </c>
      <c r="CF26" s="180">
        <v>7880</v>
      </c>
      <c r="CG26" s="180">
        <v>158479</v>
      </c>
      <c r="CH26" s="180">
        <v>32182</v>
      </c>
      <c r="CI26" s="180">
        <v>239958</v>
      </c>
      <c r="CJ26" s="180">
        <v>15403547</v>
      </c>
      <c r="CK26" s="180">
        <v>459401</v>
      </c>
      <c r="CL26" s="180">
        <v>72492</v>
      </c>
      <c r="CM26" s="180">
        <v>0</v>
      </c>
      <c r="CN26" s="180">
        <v>44185</v>
      </c>
      <c r="CO26" s="180">
        <v>762319</v>
      </c>
      <c r="CP26" s="180">
        <v>368907</v>
      </c>
      <c r="CQ26" s="180">
        <v>367295</v>
      </c>
      <c r="CR26" s="180">
        <v>0</v>
      </c>
      <c r="CS26" s="180">
        <v>0</v>
      </c>
      <c r="CT26" s="180"/>
      <c r="CU26" s="180"/>
    </row>
    <row r="27" spans="1:99" s="562" customFormat="1" x14ac:dyDescent="0.3">
      <c r="A27" s="561">
        <v>82</v>
      </c>
      <c r="B27" s="562" t="s">
        <v>309</v>
      </c>
      <c r="D27" s="562">
        <v>0</v>
      </c>
      <c r="E27" s="562">
        <v>0</v>
      </c>
      <c r="F27" s="562">
        <v>1148477</v>
      </c>
      <c r="G27" s="562">
        <v>0</v>
      </c>
      <c r="H27" s="562">
        <v>0</v>
      </c>
      <c r="I27" s="562">
        <v>0</v>
      </c>
      <c r="J27" s="562">
        <v>4312241</v>
      </c>
      <c r="L27" s="562">
        <v>0</v>
      </c>
      <c r="M27" s="562">
        <v>23461925</v>
      </c>
      <c r="O27" s="562">
        <v>0</v>
      </c>
      <c r="P27" s="562">
        <v>0</v>
      </c>
      <c r="Q27" s="562">
        <v>935724</v>
      </c>
      <c r="R27" s="562">
        <v>0</v>
      </c>
      <c r="S27" s="562">
        <v>476960</v>
      </c>
      <c r="T27" s="562">
        <v>0</v>
      </c>
      <c r="U27" s="562">
        <v>0</v>
      </c>
      <c r="V27" s="562">
        <v>0</v>
      </c>
      <c r="W27" s="562">
        <v>12481684</v>
      </c>
      <c r="X27" s="562">
        <v>0</v>
      </c>
      <c r="Y27" s="562">
        <v>0</v>
      </c>
      <c r="Z27" s="562">
        <v>0</v>
      </c>
      <c r="AA27" s="562">
        <v>1770882</v>
      </c>
      <c r="AB27" s="562">
        <v>0</v>
      </c>
      <c r="AC27" s="562">
        <v>346525</v>
      </c>
      <c r="AE27" s="562">
        <v>944000</v>
      </c>
      <c r="AF27" s="562">
        <v>0</v>
      </c>
      <c r="AG27" s="562">
        <v>34035003</v>
      </c>
      <c r="AH27" s="562">
        <v>0</v>
      </c>
      <c r="AI27" s="562">
        <v>2430892</v>
      </c>
      <c r="AJ27" s="562">
        <v>0</v>
      </c>
      <c r="AK27" s="562">
        <v>0</v>
      </c>
      <c r="AL27" s="562">
        <v>11972225</v>
      </c>
      <c r="AM27" s="562">
        <v>1904951</v>
      </c>
      <c r="AN27" s="562">
        <v>542355</v>
      </c>
      <c r="AO27" s="562">
        <v>2213385</v>
      </c>
      <c r="AP27" s="562">
        <v>4437</v>
      </c>
      <c r="AQ27" s="562">
        <v>0</v>
      </c>
      <c r="AR27" s="562">
        <v>5860620</v>
      </c>
      <c r="AS27" s="562">
        <v>742535</v>
      </c>
      <c r="AT27" s="562">
        <v>0</v>
      </c>
      <c r="AU27" s="562">
        <v>0</v>
      </c>
      <c r="AV27" s="562">
        <v>0</v>
      </c>
      <c r="AW27" s="562">
        <v>0</v>
      </c>
      <c r="AX27" s="562">
        <v>0</v>
      </c>
      <c r="AY27" s="562">
        <v>706000</v>
      </c>
      <c r="AZ27" s="562">
        <v>0</v>
      </c>
      <c r="BA27" s="562">
        <v>0</v>
      </c>
      <c r="BB27" s="562">
        <v>0</v>
      </c>
      <c r="BC27" s="562">
        <v>4624240</v>
      </c>
      <c r="BD27" s="562">
        <v>0</v>
      </c>
      <c r="BE27" s="562">
        <v>332752</v>
      </c>
      <c r="BF27" s="562">
        <v>0</v>
      </c>
      <c r="BG27" s="562">
        <v>130788</v>
      </c>
      <c r="BH27" s="562">
        <v>3617697</v>
      </c>
      <c r="BI27" s="562">
        <v>4954375</v>
      </c>
      <c r="BJ27" s="562">
        <v>1293611</v>
      </c>
      <c r="BK27" s="562">
        <v>0</v>
      </c>
      <c r="BL27" s="562">
        <v>0</v>
      </c>
      <c r="BM27" s="562">
        <v>0</v>
      </c>
      <c r="BN27" s="562">
        <v>650337</v>
      </c>
      <c r="BO27" s="562">
        <v>217000</v>
      </c>
      <c r="BP27" s="562">
        <v>0</v>
      </c>
      <c r="BQ27" s="562">
        <v>0</v>
      </c>
      <c r="BR27" s="562">
        <v>0</v>
      </c>
      <c r="BS27" s="562">
        <v>381886</v>
      </c>
      <c r="BT27" s="562">
        <v>0</v>
      </c>
      <c r="BU27" s="562">
        <v>0</v>
      </c>
      <c r="BV27" s="562">
        <v>651000</v>
      </c>
      <c r="BW27" s="562">
        <v>0</v>
      </c>
      <c r="BZ27" s="562">
        <v>1466093</v>
      </c>
      <c r="CA27" s="562">
        <v>0</v>
      </c>
      <c r="CC27" s="562">
        <v>7158446</v>
      </c>
      <c r="CD27" s="562">
        <v>0</v>
      </c>
      <c r="CE27" s="562">
        <v>9329812</v>
      </c>
      <c r="CF27" s="562">
        <v>2920000</v>
      </c>
      <c r="CG27" s="562">
        <v>1032413</v>
      </c>
      <c r="CH27" s="562">
        <v>536889</v>
      </c>
      <c r="CI27" s="562">
        <v>3204433</v>
      </c>
      <c r="CJ27" s="562">
        <v>548747761</v>
      </c>
      <c r="CK27" s="562">
        <v>5285352</v>
      </c>
      <c r="CL27" s="562">
        <v>66000</v>
      </c>
      <c r="CM27" s="562">
        <v>0</v>
      </c>
      <c r="CN27" s="562">
        <v>385177</v>
      </c>
      <c r="CO27" s="562">
        <v>0</v>
      </c>
      <c r="CP27" s="562">
        <v>0</v>
      </c>
      <c r="CQ27" s="562">
        <v>2316224</v>
      </c>
      <c r="CR27" s="562">
        <v>0</v>
      </c>
      <c r="CS27" s="562">
        <v>0</v>
      </c>
    </row>
    <row r="28" spans="1:99" s="562" customFormat="1" x14ac:dyDescent="0.3">
      <c r="A28" s="561">
        <v>83</v>
      </c>
      <c r="B28" s="562" t="s">
        <v>94</v>
      </c>
      <c r="D28" s="562">
        <v>0</v>
      </c>
      <c r="E28" s="562">
        <v>0</v>
      </c>
      <c r="F28" s="562">
        <v>5841713</v>
      </c>
      <c r="G28" s="562">
        <v>0</v>
      </c>
      <c r="H28" s="562">
        <v>0</v>
      </c>
      <c r="I28" s="562">
        <v>4479591</v>
      </c>
      <c r="J28" s="562">
        <v>10695176</v>
      </c>
      <c r="L28" s="562">
        <v>1111341</v>
      </c>
      <c r="M28" s="562">
        <v>61415411</v>
      </c>
      <c r="O28" s="562">
        <v>0</v>
      </c>
      <c r="P28" s="562">
        <v>4552391</v>
      </c>
      <c r="Q28" s="562">
        <v>6822199</v>
      </c>
      <c r="R28" s="562">
        <v>0</v>
      </c>
      <c r="S28" s="562">
        <v>3833185</v>
      </c>
      <c r="T28" s="562">
        <v>0</v>
      </c>
      <c r="U28" s="562">
        <v>0</v>
      </c>
      <c r="V28" s="562">
        <v>0</v>
      </c>
      <c r="W28" s="562">
        <v>45720143</v>
      </c>
      <c r="X28" s="562">
        <v>0</v>
      </c>
      <c r="Y28" s="562">
        <v>6824088</v>
      </c>
      <c r="Z28" s="562">
        <v>0</v>
      </c>
      <c r="AA28" s="562">
        <v>11688419</v>
      </c>
      <c r="AB28" s="562">
        <v>0</v>
      </c>
      <c r="AC28" s="562">
        <v>8512950</v>
      </c>
      <c r="AE28" s="562">
        <v>3385401</v>
      </c>
      <c r="AF28" s="562">
        <v>2665837</v>
      </c>
      <c r="AG28" s="562">
        <v>23882560</v>
      </c>
      <c r="AH28" s="562">
        <v>0</v>
      </c>
      <c r="AI28" s="562">
        <v>4796367</v>
      </c>
      <c r="AJ28" s="562">
        <v>0</v>
      </c>
      <c r="AK28" s="562">
        <v>6421140</v>
      </c>
      <c r="AL28" s="562">
        <v>11795999</v>
      </c>
      <c r="AM28" s="562">
        <v>16095918</v>
      </c>
      <c r="AN28" s="562">
        <v>8442983</v>
      </c>
      <c r="AO28" s="562">
        <v>3597733</v>
      </c>
      <c r="AP28" s="562">
        <v>179283</v>
      </c>
      <c r="AQ28" s="562">
        <v>0</v>
      </c>
      <c r="AR28" s="562">
        <v>22596413</v>
      </c>
      <c r="AS28" s="562">
        <v>2265970</v>
      </c>
      <c r="AT28" s="562">
        <v>0</v>
      </c>
      <c r="AU28" s="562">
        <v>0</v>
      </c>
      <c r="AV28" s="562">
        <v>0</v>
      </c>
      <c r="AW28" s="562">
        <v>0</v>
      </c>
      <c r="AX28" s="562">
        <v>434577</v>
      </c>
      <c r="AY28" s="562">
        <v>13326817</v>
      </c>
      <c r="AZ28" s="562">
        <v>3358000</v>
      </c>
      <c r="BA28" s="562">
        <v>0</v>
      </c>
      <c r="BB28" s="562">
        <v>456225</v>
      </c>
      <c r="BC28" s="562">
        <v>14869872</v>
      </c>
      <c r="BD28" s="562">
        <v>0</v>
      </c>
      <c r="BE28" s="562">
        <v>4524683</v>
      </c>
      <c r="BF28" s="562">
        <v>3390329</v>
      </c>
      <c r="BG28" s="562">
        <v>1395411</v>
      </c>
      <c r="BH28" s="562">
        <v>7721674</v>
      </c>
      <c r="BI28" s="562">
        <v>17103121</v>
      </c>
      <c r="BJ28" s="562">
        <v>36079385</v>
      </c>
      <c r="BK28" s="562">
        <v>0</v>
      </c>
      <c r="BL28" s="562">
        <v>0</v>
      </c>
      <c r="BM28" s="562">
        <v>0</v>
      </c>
      <c r="BN28" s="562">
        <v>24943876</v>
      </c>
      <c r="BO28" s="562">
        <v>11099076</v>
      </c>
      <c r="BP28" s="562">
        <v>0</v>
      </c>
      <c r="BQ28" s="562">
        <v>0</v>
      </c>
      <c r="BR28" s="562">
        <v>9197579</v>
      </c>
      <c r="BS28" s="562">
        <v>0</v>
      </c>
      <c r="BT28" s="562">
        <v>0</v>
      </c>
      <c r="BU28" s="562">
        <v>0</v>
      </c>
      <c r="BV28" s="562">
        <v>10047090</v>
      </c>
      <c r="BW28" s="562">
        <v>0</v>
      </c>
      <c r="BZ28" s="562">
        <v>16660363</v>
      </c>
      <c r="CA28" s="562">
        <v>672007</v>
      </c>
      <c r="CC28" s="562">
        <v>13575790</v>
      </c>
      <c r="CD28" s="562">
        <v>0</v>
      </c>
      <c r="CE28" s="562">
        <v>152247631</v>
      </c>
      <c r="CF28" s="562">
        <v>3637355</v>
      </c>
      <c r="CG28" s="562">
        <v>6490096</v>
      </c>
      <c r="CH28" s="562">
        <v>4105948</v>
      </c>
      <c r="CI28" s="562">
        <v>7424539</v>
      </c>
      <c r="CJ28" s="562">
        <v>649437817</v>
      </c>
      <c r="CK28" s="562">
        <v>6268937</v>
      </c>
      <c r="CL28" s="562">
        <v>4028185</v>
      </c>
      <c r="CM28" s="562">
        <v>0</v>
      </c>
      <c r="CN28" s="562">
        <v>2778676</v>
      </c>
      <c r="CO28" s="562">
        <v>14588959</v>
      </c>
      <c r="CP28" s="562">
        <v>14156396</v>
      </c>
      <c r="CQ28" s="562">
        <v>9768192</v>
      </c>
      <c r="CR28" s="562">
        <v>0</v>
      </c>
      <c r="CS28" s="562">
        <v>0</v>
      </c>
    </row>
    <row r="29" spans="1:99" s="562" customFormat="1" x14ac:dyDescent="0.3">
      <c r="A29" s="561">
        <v>84</v>
      </c>
      <c r="B29" s="562" t="s">
        <v>218</v>
      </c>
      <c r="D29" s="562">
        <v>0</v>
      </c>
      <c r="E29" s="562">
        <v>0</v>
      </c>
      <c r="F29" s="562">
        <v>986205</v>
      </c>
      <c r="G29" s="562">
        <v>0</v>
      </c>
      <c r="H29" s="562">
        <v>0</v>
      </c>
      <c r="I29" s="562">
        <v>703799</v>
      </c>
      <c r="J29" s="562">
        <v>3032011</v>
      </c>
      <c r="L29" s="562">
        <v>301364</v>
      </c>
      <c r="M29" s="562">
        <v>15634404</v>
      </c>
      <c r="O29" s="562">
        <v>0</v>
      </c>
      <c r="P29" s="562">
        <v>653613</v>
      </c>
      <c r="Q29" s="562">
        <v>733488</v>
      </c>
      <c r="R29" s="562">
        <v>0</v>
      </c>
      <c r="S29" s="562">
        <v>294462</v>
      </c>
      <c r="T29" s="562">
        <v>0</v>
      </c>
      <c r="U29" s="562">
        <v>0</v>
      </c>
      <c r="V29" s="562">
        <v>0</v>
      </c>
      <c r="W29" s="562">
        <v>8412484</v>
      </c>
      <c r="X29" s="562">
        <v>0</v>
      </c>
      <c r="Y29" s="562">
        <v>1998417</v>
      </c>
      <c r="Z29" s="562">
        <v>0</v>
      </c>
      <c r="AA29" s="562">
        <v>1738396</v>
      </c>
      <c r="AB29" s="562">
        <v>0</v>
      </c>
      <c r="AC29" s="562">
        <v>4110706</v>
      </c>
      <c r="AE29" s="562">
        <v>263041</v>
      </c>
      <c r="AF29" s="562">
        <v>362961</v>
      </c>
      <c r="AG29" s="562">
        <v>13315258</v>
      </c>
      <c r="AH29" s="562">
        <v>0</v>
      </c>
      <c r="AI29" s="562">
        <v>846886</v>
      </c>
      <c r="AJ29" s="562">
        <v>0</v>
      </c>
      <c r="AK29" s="562">
        <v>166223</v>
      </c>
      <c r="AL29" s="562">
        <v>1137617</v>
      </c>
      <c r="AM29" s="562">
        <v>3619066</v>
      </c>
      <c r="AN29" s="562">
        <v>1856207</v>
      </c>
      <c r="AO29" s="562">
        <v>1753536</v>
      </c>
      <c r="AP29" s="562">
        <v>59805</v>
      </c>
      <c r="AQ29" s="562">
        <v>0</v>
      </c>
      <c r="AR29" s="562">
        <v>5398063</v>
      </c>
      <c r="AS29" s="562">
        <v>750780</v>
      </c>
      <c r="AT29" s="562">
        <v>0</v>
      </c>
      <c r="AU29" s="562">
        <v>0</v>
      </c>
      <c r="AV29" s="562">
        <v>0</v>
      </c>
      <c r="AW29" s="562">
        <v>0</v>
      </c>
      <c r="AX29" s="562">
        <v>145124</v>
      </c>
      <c r="AY29" s="562">
        <v>2912892</v>
      </c>
      <c r="AZ29" s="562">
        <v>263803</v>
      </c>
      <c r="BA29" s="562">
        <v>0</v>
      </c>
      <c r="BB29" s="562">
        <v>0</v>
      </c>
      <c r="BC29" s="562">
        <v>3449870</v>
      </c>
      <c r="BD29" s="562">
        <v>0</v>
      </c>
      <c r="BE29" s="562">
        <v>831861</v>
      </c>
      <c r="BF29" s="562">
        <v>526536</v>
      </c>
      <c r="BG29" s="562">
        <v>197186</v>
      </c>
      <c r="BH29" s="562">
        <v>1398192</v>
      </c>
      <c r="BI29" s="562">
        <v>1740414</v>
      </c>
      <c r="BJ29" s="562">
        <v>7250503</v>
      </c>
      <c r="BK29" s="562">
        <v>0</v>
      </c>
      <c r="BL29" s="562">
        <v>0</v>
      </c>
      <c r="BM29" s="562">
        <v>0</v>
      </c>
      <c r="BN29" s="562">
        <v>7004880</v>
      </c>
      <c r="BO29" s="562">
        <v>2856517</v>
      </c>
      <c r="BP29" s="562">
        <v>0</v>
      </c>
      <c r="BQ29" s="562">
        <v>0</v>
      </c>
      <c r="BR29" s="562">
        <v>1634383</v>
      </c>
      <c r="BS29" s="562">
        <v>0</v>
      </c>
      <c r="BT29" s="562">
        <v>0</v>
      </c>
      <c r="BU29" s="562">
        <v>0</v>
      </c>
      <c r="BV29" s="562">
        <v>1097907</v>
      </c>
      <c r="BW29" s="562">
        <v>0</v>
      </c>
      <c r="BZ29" s="562">
        <v>3146619</v>
      </c>
      <c r="CA29" s="562">
        <v>23110</v>
      </c>
      <c r="CC29" s="562">
        <v>4132709</v>
      </c>
      <c r="CD29" s="562">
        <v>0</v>
      </c>
      <c r="CE29" s="562">
        <v>29757618</v>
      </c>
      <c r="CF29" s="562">
        <v>174400</v>
      </c>
      <c r="CG29" s="562">
        <v>1243233</v>
      </c>
      <c r="CH29" s="562">
        <v>205173</v>
      </c>
      <c r="CI29" s="562">
        <v>2238317</v>
      </c>
      <c r="CJ29" s="562">
        <v>126622867</v>
      </c>
      <c r="CK29" s="562">
        <v>3984538</v>
      </c>
      <c r="CL29" s="562">
        <v>476380</v>
      </c>
      <c r="CM29" s="562">
        <v>0</v>
      </c>
      <c r="CN29" s="562">
        <v>310476</v>
      </c>
      <c r="CO29" s="562">
        <v>3637966</v>
      </c>
      <c r="CP29" s="562">
        <v>2597272</v>
      </c>
      <c r="CQ29" s="562">
        <v>1669651</v>
      </c>
      <c r="CR29" s="562">
        <v>0</v>
      </c>
      <c r="CS29" s="562">
        <v>0</v>
      </c>
    </row>
    <row r="30" spans="1:99" s="562" customFormat="1" ht="13.95" customHeight="1" x14ac:dyDescent="0.3">
      <c r="A30" s="561">
        <v>85</v>
      </c>
      <c r="B30" s="562" t="s">
        <v>220</v>
      </c>
      <c r="D30" s="562">
        <v>0</v>
      </c>
      <c r="E30" s="562">
        <v>0</v>
      </c>
      <c r="F30" s="562">
        <v>917593</v>
      </c>
      <c r="G30" s="562">
        <v>0</v>
      </c>
      <c r="H30" s="562">
        <v>0</v>
      </c>
      <c r="I30" s="562">
        <v>561006</v>
      </c>
      <c r="J30" s="562">
        <v>2798033</v>
      </c>
      <c r="L30" s="562">
        <v>282736</v>
      </c>
      <c r="M30" s="562">
        <v>11821841</v>
      </c>
      <c r="O30" s="562">
        <v>0</v>
      </c>
      <c r="P30" s="562">
        <v>541588</v>
      </c>
      <c r="Q30" s="562">
        <v>907353</v>
      </c>
      <c r="R30" s="562">
        <v>0</v>
      </c>
      <c r="S30" s="562">
        <v>351247</v>
      </c>
      <c r="T30" s="562">
        <v>0</v>
      </c>
      <c r="U30" s="562">
        <v>0</v>
      </c>
      <c r="V30" s="562">
        <v>0</v>
      </c>
      <c r="W30" s="562">
        <v>4019751</v>
      </c>
      <c r="X30" s="562">
        <v>0</v>
      </c>
      <c r="Y30" s="562">
        <v>1086888</v>
      </c>
      <c r="Z30" s="562">
        <v>0</v>
      </c>
      <c r="AA30" s="562">
        <v>1660333</v>
      </c>
      <c r="AB30" s="562">
        <v>0</v>
      </c>
      <c r="AC30" s="562">
        <v>5055977</v>
      </c>
      <c r="AE30" s="562">
        <v>251028</v>
      </c>
      <c r="AF30" s="562">
        <v>329260</v>
      </c>
      <c r="AG30" s="562">
        <v>11938702</v>
      </c>
      <c r="AH30" s="562">
        <v>0</v>
      </c>
      <c r="AI30" s="562">
        <v>724642</v>
      </c>
      <c r="AJ30" s="562">
        <v>0</v>
      </c>
      <c r="AK30" s="562">
        <v>281842</v>
      </c>
      <c r="AL30" s="562">
        <v>2112338</v>
      </c>
      <c r="AM30" s="562">
        <v>2840239</v>
      </c>
      <c r="AN30" s="562">
        <v>1976807</v>
      </c>
      <c r="AO30" s="562">
        <v>1524590</v>
      </c>
      <c r="AP30" s="562">
        <v>57077</v>
      </c>
      <c r="AQ30" s="562">
        <v>0</v>
      </c>
      <c r="AR30" s="562">
        <v>5387234</v>
      </c>
      <c r="AS30" s="562">
        <v>734429</v>
      </c>
      <c r="AT30" s="562">
        <v>0</v>
      </c>
      <c r="AU30" s="562">
        <v>0</v>
      </c>
      <c r="AV30" s="562">
        <v>0</v>
      </c>
      <c r="AW30" s="562">
        <v>0</v>
      </c>
      <c r="AX30" s="562">
        <v>160316</v>
      </c>
      <c r="AY30" s="562">
        <v>2880300</v>
      </c>
      <c r="AZ30" s="562">
        <v>324526</v>
      </c>
      <c r="BA30" s="562">
        <v>0</v>
      </c>
      <c r="BB30" s="562">
        <v>0</v>
      </c>
      <c r="BC30" s="562">
        <v>2747259</v>
      </c>
      <c r="BD30" s="562">
        <v>0</v>
      </c>
      <c r="BE30" s="562">
        <v>1054086</v>
      </c>
      <c r="BF30" s="562">
        <v>438898</v>
      </c>
      <c r="BG30" s="562">
        <v>268824</v>
      </c>
      <c r="BH30" s="562">
        <v>1615678</v>
      </c>
      <c r="BI30" s="562">
        <v>1804625</v>
      </c>
      <c r="BJ30" s="562">
        <v>7199184</v>
      </c>
      <c r="BK30" s="562">
        <v>0</v>
      </c>
      <c r="BL30" s="562">
        <v>0</v>
      </c>
      <c r="BM30" s="562">
        <v>0</v>
      </c>
      <c r="BN30" s="562">
        <v>6219132</v>
      </c>
      <c r="BO30" s="562">
        <v>2102558</v>
      </c>
      <c r="BP30" s="562">
        <v>0</v>
      </c>
      <c r="BQ30" s="562">
        <v>0</v>
      </c>
      <c r="BR30" s="562">
        <v>1693318</v>
      </c>
      <c r="BS30" s="562">
        <v>202178</v>
      </c>
      <c r="BT30" s="562">
        <v>0</v>
      </c>
      <c r="BU30" s="562">
        <v>0</v>
      </c>
      <c r="BV30" s="562">
        <v>1111676</v>
      </c>
      <c r="BW30" s="562">
        <v>0</v>
      </c>
      <c r="BZ30" s="562">
        <v>2948086</v>
      </c>
      <c r="CA30" s="562">
        <v>34841</v>
      </c>
      <c r="CC30" s="562">
        <v>4019941</v>
      </c>
      <c r="CD30" s="562">
        <v>0</v>
      </c>
      <c r="CE30" s="562">
        <v>22480615</v>
      </c>
      <c r="CF30" s="562">
        <v>165243</v>
      </c>
      <c r="CG30" s="562">
        <v>1163020</v>
      </c>
      <c r="CH30" s="562">
        <v>314869</v>
      </c>
      <c r="CI30" s="562">
        <v>1935126</v>
      </c>
      <c r="CJ30" s="562">
        <v>80286410</v>
      </c>
      <c r="CK30" s="562">
        <v>3579900</v>
      </c>
      <c r="CL30" s="562">
        <v>581316</v>
      </c>
      <c r="CM30" s="562">
        <v>0</v>
      </c>
      <c r="CN30" s="562">
        <v>362299</v>
      </c>
      <c r="CO30" s="562">
        <v>2324445</v>
      </c>
      <c r="CP30" s="562">
        <v>2924215</v>
      </c>
      <c r="CQ30" s="562">
        <v>2068068</v>
      </c>
      <c r="CR30" s="562">
        <v>0</v>
      </c>
      <c r="CS30" s="562">
        <v>0</v>
      </c>
    </row>
    <row r="31" spans="1:99" x14ac:dyDescent="0.3">
      <c r="A31" s="155">
        <v>88</v>
      </c>
      <c r="B31" s="180" t="s">
        <v>217</v>
      </c>
      <c r="C31" s="180"/>
      <c r="D31" s="180">
        <v>0</v>
      </c>
      <c r="E31" s="180">
        <v>0</v>
      </c>
      <c r="F31" s="180">
        <v>940859</v>
      </c>
      <c r="G31" s="180">
        <v>0</v>
      </c>
      <c r="H31" s="180">
        <v>0</v>
      </c>
      <c r="I31" s="180">
        <v>477049</v>
      </c>
      <c r="J31" s="180">
        <v>2399898</v>
      </c>
      <c r="K31" s="180"/>
      <c r="L31" s="180">
        <v>293534</v>
      </c>
      <c r="M31" s="180">
        <v>14305888</v>
      </c>
      <c r="N31" s="180"/>
      <c r="O31" s="180">
        <v>0</v>
      </c>
      <c r="P31" s="180">
        <v>512342</v>
      </c>
      <c r="Q31" s="180">
        <v>675054</v>
      </c>
      <c r="R31" s="180">
        <v>0</v>
      </c>
      <c r="S31" s="180">
        <v>294462</v>
      </c>
      <c r="T31" s="180">
        <v>0</v>
      </c>
      <c r="U31" s="180">
        <v>0</v>
      </c>
      <c r="V31" s="180">
        <v>0</v>
      </c>
      <c r="W31" s="180">
        <v>5567360</v>
      </c>
      <c r="X31" s="180">
        <v>0</v>
      </c>
      <c r="Y31" s="180">
        <v>1210038</v>
      </c>
      <c r="Z31" s="180">
        <v>0</v>
      </c>
      <c r="AA31" s="180">
        <v>1671273</v>
      </c>
      <c r="AB31" s="180">
        <v>0</v>
      </c>
      <c r="AC31" s="180">
        <v>4017788</v>
      </c>
      <c r="AD31" s="180"/>
      <c r="AE31" s="180">
        <v>225950</v>
      </c>
      <c r="AF31" s="180">
        <v>300570</v>
      </c>
      <c r="AG31" s="180">
        <v>12481013</v>
      </c>
      <c r="AH31" s="180">
        <v>0</v>
      </c>
      <c r="AI31" s="180">
        <v>811381</v>
      </c>
      <c r="AJ31" s="180">
        <v>0</v>
      </c>
      <c r="AK31" s="180">
        <v>156364</v>
      </c>
      <c r="AL31" s="180">
        <v>945266</v>
      </c>
      <c r="AM31" s="180">
        <v>3373088</v>
      </c>
      <c r="AN31" s="180">
        <v>1657408</v>
      </c>
      <c r="AO31" s="180">
        <v>1733366</v>
      </c>
      <c r="AP31" s="180">
        <v>55609</v>
      </c>
      <c r="AQ31" s="180">
        <v>0</v>
      </c>
      <c r="AR31" s="180">
        <v>4776617</v>
      </c>
      <c r="AS31" s="180">
        <v>750780</v>
      </c>
      <c r="AT31" s="180">
        <v>0</v>
      </c>
      <c r="AU31" s="180">
        <v>0</v>
      </c>
      <c r="AV31" s="180">
        <v>0</v>
      </c>
      <c r="AW31" s="180">
        <v>0</v>
      </c>
      <c r="AX31" s="180">
        <v>125944</v>
      </c>
      <c r="AY31" s="180">
        <v>2818713</v>
      </c>
      <c r="AZ31" s="180">
        <v>259065</v>
      </c>
      <c r="BA31" s="180">
        <v>0</v>
      </c>
      <c r="BB31" s="180">
        <v>0</v>
      </c>
      <c r="BC31" s="180">
        <v>3388472</v>
      </c>
      <c r="BD31" s="180">
        <v>0</v>
      </c>
      <c r="BE31" s="180">
        <v>802694</v>
      </c>
      <c r="BF31" s="180">
        <v>526316</v>
      </c>
      <c r="BG31" s="180">
        <v>194569</v>
      </c>
      <c r="BH31" s="180">
        <v>1397682</v>
      </c>
      <c r="BI31" s="180">
        <v>1545273</v>
      </c>
      <c r="BJ31" s="180">
        <v>7003825</v>
      </c>
      <c r="BK31" s="180">
        <v>0</v>
      </c>
      <c r="BL31" s="180">
        <v>0</v>
      </c>
      <c r="BM31" s="180">
        <v>0</v>
      </c>
      <c r="BN31" s="180">
        <v>6748160</v>
      </c>
      <c r="BO31" s="180">
        <v>2443200</v>
      </c>
      <c r="BP31" s="180">
        <v>0</v>
      </c>
      <c r="BQ31" s="180">
        <v>0</v>
      </c>
      <c r="BR31" s="180">
        <v>1611291</v>
      </c>
      <c r="BS31" s="180">
        <v>0</v>
      </c>
      <c r="BT31" s="180">
        <v>0</v>
      </c>
      <c r="BU31" s="180">
        <v>0</v>
      </c>
      <c r="BV31" s="180">
        <v>1084692</v>
      </c>
      <c r="BW31" s="180">
        <v>0</v>
      </c>
      <c r="BX31" s="180"/>
      <c r="BY31" s="180"/>
      <c r="BZ31" s="180">
        <v>3060156</v>
      </c>
      <c r="CA31" s="180">
        <v>23110</v>
      </c>
      <c r="CB31" s="180"/>
      <c r="CC31" s="180">
        <v>4067243</v>
      </c>
      <c r="CD31" s="180">
        <v>0</v>
      </c>
      <c r="CE31" s="180">
        <v>28653779</v>
      </c>
      <c r="CF31" s="180">
        <v>174400</v>
      </c>
      <c r="CG31" s="180">
        <v>1238233</v>
      </c>
      <c r="CH31" s="180">
        <v>205173</v>
      </c>
      <c r="CI31" s="180">
        <v>2142352</v>
      </c>
      <c r="CJ31" s="180">
        <v>118519147</v>
      </c>
      <c r="CK31" s="180">
        <v>3966689</v>
      </c>
      <c r="CL31" s="180">
        <v>472320</v>
      </c>
      <c r="CM31" s="180">
        <v>0</v>
      </c>
      <c r="CN31" s="180">
        <v>274532</v>
      </c>
      <c r="CO31" s="180">
        <v>3453816</v>
      </c>
      <c r="CP31" s="180">
        <v>2493880</v>
      </c>
      <c r="CQ31" s="180">
        <v>1556938</v>
      </c>
      <c r="CR31" s="180">
        <v>0</v>
      </c>
      <c r="CS31" s="180">
        <v>0</v>
      </c>
      <c r="CT31" s="180"/>
      <c r="CU31" s="180"/>
    </row>
    <row r="32" spans="1:99" x14ac:dyDescent="0.3">
      <c r="A32" s="155">
        <v>89</v>
      </c>
      <c r="B32" s="180" t="s">
        <v>221</v>
      </c>
      <c r="C32" s="180"/>
      <c r="D32" s="180">
        <v>0</v>
      </c>
      <c r="E32" s="180">
        <v>0</v>
      </c>
      <c r="F32" s="180">
        <v>0</v>
      </c>
      <c r="G32" s="180">
        <v>0</v>
      </c>
      <c r="H32" s="180">
        <v>0</v>
      </c>
      <c r="I32" s="180">
        <v>0</v>
      </c>
      <c r="J32" s="180">
        <v>54095</v>
      </c>
      <c r="K32" s="180"/>
      <c r="L32" s="180">
        <v>0</v>
      </c>
      <c r="M32" s="180">
        <v>494828</v>
      </c>
      <c r="N32" s="180"/>
      <c r="O32" s="180">
        <v>0</v>
      </c>
      <c r="P32" s="180">
        <v>0</v>
      </c>
      <c r="Q32" s="180">
        <v>25751</v>
      </c>
      <c r="R32" s="180">
        <v>0</v>
      </c>
      <c r="S32" s="180">
        <v>14625</v>
      </c>
      <c r="T32" s="180">
        <v>0</v>
      </c>
      <c r="U32" s="180">
        <v>0</v>
      </c>
      <c r="V32" s="180">
        <v>0</v>
      </c>
      <c r="W32" s="180">
        <v>372122</v>
      </c>
      <c r="X32" s="180">
        <v>0</v>
      </c>
      <c r="Y32" s="180">
        <v>0</v>
      </c>
      <c r="Z32" s="180">
        <v>0</v>
      </c>
      <c r="AA32" s="180">
        <v>27033</v>
      </c>
      <c r="AB32" s="180">
        <v>0</v>
      </c>
      <c r="AC32" s="180">
        <v>0</v>
      </c>
      <c r="AD32" s="180"/>
      <c r="AE32" s="180">
        <v>22897</v>
      </c>
      <c r="AF32" s="180">
        <v>1850</v>
      </c>
      <c r="AG32" s="180">
        <v>742959</v>
      </c>
      <c r="AH32" s="180">
        <v>0</v>
      </c>
      <c r="AI32" s="180">
        <v>13604</v>
      </c>
      <c r="AJ32" s="180">
        <v>0</v>
      </c>
      <c r="AK32" s="180">
        <v>0</v>
      </c>
      <c r="AL32" s="180">
        <v>426379</v>
      </c>
      <c r="AM32" s="180">
        <v>30546</v>
      </c>
      <c r="AN32" s="180">
        <v>15012</v>
      </c>
      <c r="AO32" s="180">
        <v>51145</v>
      </c>
      <c r="AP32" s="180">
        <v>700</v>
      </c>
      <c r="AQ32" s="180">
        <v>0</v>
      </c>
      <c r="AR32" s="180">
        <v>48600</v>
      </c>
      <c r="AS32" s="180">
        <v>8757</v>
      </c>
      <c r="AT32" s="180">
        <v>0</v>
      </c>
      <c r="AU32" s="180">
        <v>0</v>
      </c>
      <c r="AV32" s="180">
        <v>0</v>
      </c>
      <c r="AW32" s="180">
        <v>0</v>
      </c>
      <c r="AX32" s="180">
        <v>2726</v>
      </c>
      <c r="AY32" s="180">
        <v>943</v>
      </c>
      <c r="AZ32" s="180">
        <v>0</v>
      </c>
      <c r="BA32" s="180">
        <v>0</v>
      </c>
      <c r="BB32" s="180">
        <v>0</v>
      </c>
      <c r="BC32" s="180">
        <v>125308</v>
      </c>
      <c r="BD32" s="180">
        <v>0</v>
      </c>
      <c r="BE32" s="180">
        <v>9589</v>
      </c>
      <c r="BF32" s="180">
        <v>2866</v>
      </c>
      <c r="BG32" s="180">
        <v>0</v>
      </c>
      <c r="BH32" s="180">
        <v>30615</v>
      </c>
      <c r="BI32" s="180">
        <v>30901</v>
      </c>
      <c r="BJ32" s="180">
        <v>12368</v>
      </c>
      <c r="BK32" s="180">
        <v>0</v>
      </c>
      <c r="BL32" s="180">
        <v>0</v>
      </c>
      <c r="BM32" s="180">
        <v>0</v>
      </c>
      <c r="BN32" s="180">
        <v>11128</v>
      </c>
      <c r="BO32" s="180">
        <v>82330</v>
      </c>
      <c r="BP32" s="180">
        <v>0</v>
      </c>
      <c r="BQ32" s="180">
        <v>0</v>
      </c>
      <c r="BR32" s="180">
        <v>0</v>
      </c>
      <c r="BS32" s="180">
        <v>19186</v>
      </c>
      <c r="BT32" s="180">
        <v>0</v>
      </c>
      <c r="BU32" s="180">
        <v>0</v>
      </c>
      <c r="BV32" s="180">
        <v>15327</v>
      </c>
      <c r="BW32" s="180">
        <v>0</v>
      </c>
      <c r="BX32" s="180"/>
      <c r="BY32" s="180"/>
      <c r="BZ32" s="180">
        <v>13058</v>
      </c>
      <c r="CA32" s="180">
        <v>0</v>
      </c>
      <c r="CB32" s="180"/>
      <c r="CC32" s="180">
        <v>143435</v>
      </c>
      <c r="CD32" s="180">
        <v>0</v>
      </c>
      <c r="CE32" s="180">
        <v>258293</v>
      </c>
      <c r="CF32" s="180">
        <v>94430</v>
      </c>
      <c r="CG32" s="180">
        <v>0</v>
      </c>
      <c r="CH32" s="180">
        <v>15930</v>
      </c>
      <c r="CI32" s="180">
        <v>88680</v>
      </c>
      <c r="CJ32" s="180">
        <v>18732172</v>
      </c>
      <c r="CK32" s="180">
        <v>93381</v>
      </c>
      <c r="CL32" s="180">
        <v>0</v>
      </c>
      <c r="CM32" s="180">
        <v>0</v>
      </c>
      <c r="CN32" s="180">
        <v>0</v>
      </c>
      <c r="CO32" s="180">
        <v>0</v>
      </c>
      <c r="CP32" s="180">
        <v>0</v>
      </c>
      <c r="CQ32" s="180">
        <v>73212</v>
      </c>
      <c r="CR32" s="180">
        <v>0</v>
      </c>
      <c r="CS32" s="180">
        <v>0</v>
      </c>
      <c r="CT32" s="180"/>
      <c r="CU32" s="180"/>
    </row>
    <row r="33" spans="1:99" x14ac:dyDescent="0.3">
      <c r="A33" s="155">
        <v>90</v>
      </c>
      <c r="B33" s="180" t="s">
        <v>214</v>
      </c>
      <c r="C33" s="180"/>
      <c r="D33" s="180">
        <v>0</v>
      </c>
      <c r="E33" s="180">
        <v>0</v>
      </c>
      <c r="F33" s="180">
        <v>0</v>
      </c>
      <c r="G33" s="180">
        <v>0</v>
      </c>
      <c r="H33" s="180">
        <v>0</v>
      </c>
      <c r="I33" s="180">
        <v>0</v>
      </c>
      <c r="J33" s="180">
        <v>0</v>
      </c>
      <c r="K33" s="180"/>
      <c r="L33" s="180">
        <v>0</v>
      </c>
      <c r="M33" s="180">
        <v>32444640</v>
      </c>
      <c r="N33" s="180"/>
      <c r="O33" s="180">
        <v>0</v>
      </c>
      <c r="P33" s="180">
        <v>0</v>
      </c>
      <c r="Q33" s="180">
        <v>0</v>
      </c>
      <c r="R33" s="180">
        <v>0</v>
      </c>
      <c r="S33" s="180">
        <v>0</v>
      </c>
      <c r="T33" s="180">
        <v>0</v>
      </c>
      <c r="U33" s="180">
        <v>0</v>
      </c>
      <c r="V33" s="180">
        <v>0</v>
      </c>
      <c r="W33" s="180">
        <v>0</v>
      </c>
      <c r="X33" s="180">
        <v>0</v>
      </c>
      <c r="Y33" s="180">
        <v>0</v>
      </c>
      <c r="Z33" s="180">
        <v>0</v>
      </c>
      <c r="AA33" s="180">
        <v>0</v>
      </c>
      <c r="AB33" s="180">
        <v>0</v>
      </c>
      <c r="AC33" s="180">
        <v>11382838</v>
      </c>
      <c r="AD33" s="180"/>
      <c r="AE33" s="180">
        <v>0</v>
      </c>
      <c r="AF33" s="180">
        <v>0</v>
      </c>
      <c r="AG33" s="180">
        <v>0</v>
      </c>
      <c r="AH33" s="180">
        <v>0</v>
      </c>
      <c r="AI33" s="180">
        <v>0</v>
      </c>
      <c r="AJ33" s="180">
        <v>0</v>
      </c>
      <c r="AK33" s="180">
        <v>0</v>
      </c>
      <c r="AL33" s="180">
        <v>0</v>
      </c>
      <c r="AM33" s="180">
        <v>0</v>
      </c>
      <c r="AN33" s="180">
        <v>0</v>
      </c>
      <c r="AO33" s="180">
        <v>0</v>
      </c>
      <c r="AP33" s="180">
        <v>0</v>
      </c>
      <c r="AQ33" s="180">
        <v>0</v>
      </c>
      <c r="AR33" s="180">
        <v>0</v>
      </c>
      <c r="AS33" s="180">
        <v>0</v>
      </c>
      <c r="AT33" s="180">
        <v>0</v>
      </c>
      <c r="AU33" s="180">
        <v>0</v>
      </c>
      <c r="AV33" s="180">
        <v>0</v>
      </c>
      <c r="AW33" s="180">
        <v>0</v>
      </c>
      <c r="AX33" s="180">
        <v>0</v>
      </c>
      <c r="AY33" s="180">
        <v>0</v>
      </c>
      <c r="AZ33" s="180">
        <v>0</v>
      </c>
      <c r="BA33" s="180">
        <v>2642372</v>
      </c>
      <c r="BB33" s="180">
        <v>0</v>
      </c>
      <c r="BC33" s="180">
        <v>0</v>
      </c>
      <c r="BD33" s="180">
        <v>0</v>
      </c>
      <c r="BE33" s="180">
        <v>0</v>
      </c>
      <c r="BF33" s="180">
        <v>0</v>
      </c>
      <c r="BG33" s="180">
        <v>386380</v>
      </c>
      <c r="BH33" s="180">
        <v>0</v>
      </c>
      <c r="BI33" s="180">
        <v>0</v>
      </c>
      <c r="BJ33" s="180">
        <v>18615991</v>
      </c>
      <c r="BK33" s="180">
        <v>0</v>
      </c>
      <c r="BL33" s="180">
        <v>0</v>
      </c>
      <c r="BM33" s="180">
        <v>0</v>
      </c>
      <c r="BN33" s="180">
        <v>2842613</v>
      </c>
      <c r="BO33" s="180">
        <v>0</v>
      </c>
      <c r="BP33" s="180">
        <v>0</v>
      </c>
      <c r="BQ33" s="180">
        <v>0</v>
      </c>
      <c r="BR33" s="180">
        <v>0</v>
      </c>
      <c r="BS33" s="180">
        <v>0</v>
      </c>
      <c r="BT33" s="180">
        <v>0</v>
      </c>
      <c r="BU33" s="180">
        <v>0</v>
      </c>
      <c r="BV33" s="180">
        <v>0</v>
      </c>
      <c r="BW33" s="180">
        <v>0</v>
      </c>
      <c r="BX33" s="180"/>
      <c r="BY33" s="180"/>
      <c r="BZ33" s="180">
        <v>0</v>
      </c>
      <c r="CA33" s="180">
        <v>0</v>
      </c>
      <c r="CB33" s="180"/>
      <c r="CC33" s="180">
        <v>0</v>
      </c>
      <c r="CD33" s="180">
        <v>0</v>
      </c>
      <c r="CE33" s="180">
        <v>49606103</v>
      </c>
      <c r="CF33" s="180">
        <v>0</v>
      </c>
      <c r="CG33" s="180">
        <v>4205556</v>
      </c>
      <c r="CH33" s="180">
        <v>0</v>
      </c>
      <c r="CI33" s="180">
        <v>0</v>
      </c>
      <c r="CJ33" s="180">
        <v>0</v>
      </c>
      <c r="CK33" s="180">
        <v>4330405</v>
      </c>
      <c r="CL33" s="180">
        <v>0</v>
      </c>
      <c r="CM33" s="180">
        <v>0</v>
      </c>
      <c r="CN33" s="180">
        <v>0</v>
      </c>
      <c r="CO33" s="180">
        <v>0</v>
      </c>
      <c r="CP33" s="180">
        <v>0</v>
      </c>
      <c r="CQ33" s="180">
        <v>0</v>
      </c>
      <c r="CR33" s="180">
        <v>0</v>
      </c>
      <c r="CS33" s="180">
        <v>0</v>
      </c>
      <c r="CT33" s="180"/>
      <c r="CU33" s="180"/>
    </row>
    <row r="34" spans="1:99" x14ac:dyDescent="0.3">
      <c r="A34" s="155">
        <v>91</v>
      </c>
      <c r="B34" s="180" t="s">
        <v>215</v>
      </c>
      <c r="C34" s="180"/>
      <c r="D34" s="180">
        <v>0</v>
      </c>
      <c r="E34" s="180">
        <v>0</v>
      </c>
      <c r="F34" s="180">
        <v>0</v>
      </c>
      <c r="G34" s="180">
        <v>0</v>
      </c>
      <c r="H34" s="180">
        <v>0</v>
      </c>
      <c r="I34" s="180">
        <v>0</v>
      </c>
      <c r="J34" s="180">
        <v>0</v>
      </c>
      <c r="K34" s="180"/>
      <c r="L34" s="180">
        <v>0</v>
      </c>
      <c r="M34" s="180">
        <v>7279964</v>
      </c>
      <c r="N34" s="180"/>
      <c r="O34" s="180">
        <v>0</v>
      </c>
      <c r="P34" s="180">
        <v>0</v>
      </c>
      <c r="Q34" s="180">
        <v>0</v>
      </c>
      <c r="R34" s="180">
        <v>0</v>
      </c>
      <c r="S34" s="180">
        <v>0</v>
      </c>
      <c r="T34" s="180">
        <v>0</v>
      </c>
      <c r="U34" s="180">
        <v>0</v>
      </c>
      <c r="V34" s="180">
        <v>0</v>
      </c>
      <c r="W34" s="180">
        <v>0</v>
      </c>
      <c r="X34" s="180">
        <v>0</v>
      </c>
      <c r="Y34" s="180">
        <v>0</v>
      </c>
      <c r="Z34" s="180">
        <v>0</v>
      </c>
      <c r="AA34" s="180">
        <v>0</v>
      </c>
      <c r="AB34" s="180">
        <v>0</v>
      </c>
      <c r="AC34" s="180">
        <v>2691890</v>
      </c>
      <c r="AD34" s="180"/>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2657077</v>
      </c>
      <c r="BB34" s="180">
        <v>0</v>
      </c>
      <c r="BC34" s="180">
        <v>0</v>
      </c>
      <c r="BD34" s="180">
        <v>0</v>
      </c>
      <c r="BE34" s="180">
        <v>0</v>
      </c>
      <c r="BF34" s="180">
        <v>0</v>
      </c>
      <c r="BG34" s="180">
        <v>46348</v>
      </c>
      <c r="BH34" s="180">
        <v>0</v>
      </c>
      <c r="BI34" s="180">
        <v>0</v>
      </c>
      <c r="BJ34" s="180">
        <v>4212614</v>
      </c>
      <c r="BK34" s="180">
        <v>0</v>
      </c>
      <c r="BL34" s="180">
        <v>0</v>
      </c>
      <c r="BM34" s="180">
        <v>0</v>
      </c>
      <c r="BN34" s="180">
        <v>1430706</v>
      </c>
      <c r="BO34" s="180">
        <v>0</v>
      </c>
      <c r="BP34" s="180">
        <v>0</v>
      </c>
      <c r="BQ34" s="180">
        <v>0</v>
      </c>
      <c r="BR34" s="180">
        <v>0</v>
      </c>
      <c r="BS34" s="180">
        <v>0</v>
      </c>
      <c r="BT34" s="180">
        <v>0</v>
      </c>
      <c r="BU34" s="180">
        <v>0</v>
      </c>
      <c r="BV34" s="180">
        <v>0</v>
      </c>
      <c r="BW34" s="180">
        <v>0</v>
      </c>
      <c r="BX34" s="180"/>
      <c r="BY34" s="180"/>
      <c r="BZ34" s="180">
        <v>0</v>
      </c>
      <c r="CA34" s="180">
        <v>0</v>
      </c>
      <c r="CB34" s="180"/>
      <c r="CC34" s="180">
        <v>0</v>
      </c>
      <c r="CD34" s="180">
        <v>0</v>
      </c>
      <c r="CE34" s="180">
        <v>13810612</v>
      </c>
      <c r="CF34" s="180">
        <v>0</v>
      </c>
      <c r="CG34" s="180">
        <v>669880</v>
      </c>
      <c r="CH34" s="180">
        <v>0</v>
      </c>
      <c r="CI34" s="180">
        <v>0</v>
      </c>
      <c r="CJ34" s="180">
        <v>0</v>
      </c>
      <c r="CK34" s="180">
        <v>781750</v>
      </c>
      <c r="CL34" s="180">
        <v>0</v>
      </c>
      <c r="CM34" s="180">
        <v>0</v>
      </c>
      <c r="CN34" s="180">
        <v>0</v>
      </c>
      <c r="CO34" s="180">
        <v>0</v>
      </c>
      <c r="CP34" s="180">
        <v>0</v>
      </c>
      <c r="CQ34" s="180">
        <v>0</v>
      </c>
      <c r="CR34" s="180">
        <v>0</v>
      </c>
      <c r="CS34" s="180">
        <v>0</v>
      </c>
      <c r="CT34" s="180"/>
      <c r="CU34" s="180"/>
    </row>
    <row r="35" spans="1:99" x14ac:dyDescent="0.3">
      <c r="A35" s="155">
        <v>93</v>
      </c>
      <c r="B35" s="180" t="s">
        <v>228</v>
      </c>
      <c r="C35" s="180"/>
      <c r="D35" s="180">
        <v>0</v>
      </c>
      <c r="E35" s="180">
        <v>0</v>
      </c>
      <c r="F35" s="180">
        <v>0</v>
      </c>
      <c r="G35" s="180">
        <v>0</v>
      </c>
      <c r="H35" s="180">
        <v>0</v>
      </c>
      <c r="I35" s="180">
        <v>0</v>
      </c>
      <c r="J35" s="180">
        <v>0</v>
      </c>
      <c r="K35" s="180"/>
      <c r="L35" s="180">
        <v>0</v>
      </c>
      <c r="M35" s="180">
        <v>44914364</v>
      </c>
      <c r="N35" s="180"/>
      <c r="O35" s="180">
        <v>0</v>
      </c>
      <c r="P35" s="180">
        <v>0</v>
      </c>
      <c r="Q35" s="180">
        <v>0</v>
      </c>
      <c r="R35" s="180">
        <v>0</v>
      </c>
      <c r="S35" s="180">
        <v>0</v>
      </c>
      <c r="T35" s="180">
        <v>0</v>
      </c>
      <c r="U35" s="180">
        <v>0</v>
      </c>
      <c r="V35" s="180">
        <v>0</v>
      </c>
      <c r="W35" s="180">
        <v>0</v>
      </c>
      <c r="X35" s="180">
        <v>0</v>
      </c>
      <c r="Y35" s="180">
        <v>0</v>
      </c>
      <c r="Z35" s="180">
        <v>0</v>
      </c>
      <c r="AA35" s="180">
        <v>0</v>
      </c>
      <c r="AB35" s="180">
        <v>0</v>
      </c>
      <c r="AC35" s="180">
        <v>22905186</v>
      </c>
      <c r="AD35" s="180"/>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22554757</v>
      </c>
      <c r="BB35" s="180">
        <v>0</v>
      </c>
      <c r="BC35" s="180">
        <v>0</v>
      </c>
      <c r="BD35" s="180">
        <v>0</v>
      </c>
      <c r="BE35" s="180">
        <v>0</v>
      </c>
      <c r="BF35" s="180">
        <v>0</v>
      </c>
      <c r="BG35" s="180">
        <v>267203</v>
      </c>
      <c r="BH35" s="180">
        <v>0</v>
      </c>
      <c r="BI35" s="180">
        <v>0</v>
      </c>
      <c r="BJ35" s="180">
        <v>33895388</v>
      </c>
      <c r="BK35" s="180">
        <v>0</v>
      </c>
      <c r="BL35" s="180">
        <v>0</v>
      </c>
      <c r="BM35" s="180">
        <v>0</v>
      </c>
      <c r="BN35" s="180">
        <v>9363397</v>
      </c>
      <c r="BO35" s="180">
        <v>0</v>
      </c>
      <c r="BP35" s="180">
        <v>0</v>
      </c>
      <c r="BQ35" s="180">
        <v>0</v>
      </c>
      <c r="BR35" s="180">
        <v>0</v>
      </c>
      <c r="BS35" s="180">
        <v>0</v>
      </c>
      <c r="BT35" s="180">
        <v>0</v>
      </c>
      <c r="BU35" s="180">
        <v>0</v>
      </c>
      <c r="BV35" s="180">
        <v>0</v>
      </c>
      <c r="BW35" s="180">
        <v>0</v>
      </c>
      <c r="BX35" s="180"/>
      <c r="BY35" s="180"/>
      <c r="BZ35" s="180">
        <v>0</v>
      </c>
      <c r="CA35" s="180">
        <v>0</v>
      </c>
      <c r="CB35" s="180"/>
      <c r="CC35" s="180">
        <v>0</v>
      </c>
      <c r="CD35" s="180">
        <v>0</v>
      </c>
      <c r="CE35" s="180">
        <v>126494615</v>
      </c>
      <c r="CF35" s="180">
        <v>0</v>
      </c>
      <c r="CG35" s="180">
        <v>5631141</v>
      </c>
      <c r="CH35" s="180">
        <v>0</v>
      </c>
      <c r="CI35" s="180">
        <v>0</v>
      </c>
      <c r="CJ35" s="180">
        <v>0</v>
      </c>
      <c r="CK35" s="180">
        <v>6884204</v>
      </c>
      <c r="CL35" s="180">
        <v>0</v>
      </c>
      <c r="CM35" s="180">
        <v>0</v>
      </c>
      <c r="CN35" s="180">
        <v>0</v>
      </c>
      <c r="CO35" s="180">
        <v>0</v>
      </c>
      <c r="CP35" s="180">
        <v>0</v>
      </c>
      <c r="CQ35" s="180">
        <v>0</v>
      </c>
      <c r="CR35" s="180">
        <v>0</v>
      </c>
      <c r="CS35" s="180">
        <v>0</v>
      </c>
      <c r="CT35" s="180"/>
      <c r="CU35" s="180"/>
    </row>
    <row r="36" spans="1:99" x14ac:dyDescent="0.3">
      <c r="A36" s="155">
        <v>94</v>
      </c>
      <c r="B36" s="180" t="s">
        <v>231</v>
      </c>
      <c r="C36" s="180"/>
      <c r="D36" s="180">
        <v>0</v>
      </c>
      <c r="E36" s="180">
        <v>0</v>
      </c>
      <c r="F36" s="180">
        <v>0</v>
      </c>
      <c r="G36" s="180">
        <v>0</v>
      </c>
      <c r="H36" s="180">
        <v>0</v>
      </c>
      <c r="I36" s="180">
        <v>0</v>
      </c>
      <c r="J36" s="180">
        <v>0</v>
      </c>
      <c r="K36" s="180"/>
      <c r="L36" s="180">
        <v>0</v>
      </c>
      <c r="M36" s="180">
        <v>40231139</v>
      </c>
      <c r="N36" s="180"/>
      <c r="O36" s="180">
        <v>0</v>
      </c>
      <c r="P36" s="180">
        <v>0</v>
      </c>
      <c r="Q36" s="180">
        <v>0</v>
      </c>
      <c r="R36" s="180">
        <v>0</v>
      </c>
      <c r="S36" s="180">
        <v>0</v>
      </c>
      <c r="T36" s="180">
        <v>0</v>
      </c>
      <c r="U36" s="180">
        <v>0</v>
      </c>
      <c r="V36" s="180">
        <v>0</v>
      </c>
      <c r="W36" s="180">
        <v>0</v>
      </c>
      <c r="X36" s="180">
        <v>0</v>
      </c>
      <c r="Y36" s="180">
        <v>0</v>
      </c>
      <c r="Z36" s="180">
        <v>0</v>
      </c>
      <c r="AA36" s="180">
        <v>0</v>
      </c>
      <c r="AB36" s="180">
        <v>0</v>
      </c>
      <c r="AC36" s="180">
        <v>22494362</v>
      </c>
      <c r="AD36" s="180"/>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22454743</v>
      </c>
      <c r="BB36" s="180">
        <v>0</v>
      </c>
      <c r="BC36" s="180">
        <v>0</v>
      </c>
      <c r="BD36" s="180">
        <v>0</v>
      </c>
      <c r="BE36" s="180">
        <v>0</v>
      </c>
      <c r="BF36" s="180">
        <v>0</v>
      </c>
      <c r="BG36" s="180">
        <v>219290</v>
      </c>
      <c r="BH36" s="180">
        <v>0</v>
      </c>
      <c r="BI36" s="180">
        <v>0</v>
      </c>
      <c r="BJ36" s="180">
        <v>30538776</v>
      </c>
      <c r="BK36" s="180">
        <v>0</v>
      </c>
      <c r="BL36" s="180">
        <v>0</v>
      </c>
      <c r="BM36" s="180">
        <v>0</v>
      </c>
      <c r="BN36" s="180">
        <v>8050168</v>
      </c>
      <c r="BO36" s="180">
        <v>0</v>
      </c>
      <c r="BP36" s="180">
        <v>0</v>
      </c>
      <c r="BQ36" s="180">
        <v>0</v>
      </c>
      <c r="BR36" s="180">
        <v>0</v>
      </c>
      <c r="BS36" s="180">
        <v>0</v>
      </c>
      <c r="BT36" s="180">
        <v>0</v>
      </c>
      <c r="BU36" s="180">
        <v>0</v>
      </c>
      <c r="BV36" s="180">
        <v>0</v>
      </c>
      <c r="BW36" s="180">
        <v>0</v>
      </c>
      <c r="BX36" s="180"/>
      <c r="BY36" s="180"/>
      <c r="BZ36" s="180">
        <v>0</v>
      </c>
      <c r="CA36" s="180">
        <v>0</v>
      </c>
      <c r="CB36" s="180"/>
      <c r="CC36" s="180">
        <v>0</v>
      </c>
      <c r="CD36" s="180">
        <v>0</v>
      </c>
      <c r="CE36" s="180">
        <v>116274007</v>
      </c>
      <c r="CF36" s="180">
        <v>0</v>
      </c>
      <c r="CG36" s="180">
        <v>4783896</v>
      </c>
      <c r="CH36" s="180">
        <v>0</v>
      </c>
      <c r="CI36" s="180">
        <v>0</v>
      </c>
      <c r="CJ36" s="180">
        <v>0</v>
      </c>
      <c r="CK36" s="180">
        <v>6559343</v>
      </c>
      <c r="CL36" s="180">
        <v>0</v>
      </c>
      <c r="CM36" s="180">
        <v>0</v>
      </c>
      <c r="CN36" s="180">
        <v>0</v>
      </c>
      <c r="CO36" s="180">
        <v>0</v>
      </c>
      <c r="CP36" s="180">
        <v>0</v>
      </c>
      <c r="CQ36" s="180">
        <v>0</v>
      </c>
      <c r="CR36" s="180">
        <v>0</v>
      </c>
      <c r="CS36" s="180">
        <v>0</v>
      </c>
      <c r="CT36" s="180"/>
      <c r="CU36" s="180"/>
    </row>
    <row r="37" spans="1:99" x14ac:dyDescent="0.3">
      <c r="A37" s="155">
        <v>97</v>
      </c>
      <c r="B37" s="180" t="s">
        <v>227</v>
      </c>
      <c r="C37" s="180"/>
      <c r="D37" s="180">
        <v>0</v>
      </c>
      <c r="E37" s="180">
        <v>0</v>
      </c>
      <c r="F37" s="180">
        <v>0</v>
      </c>
      <c r="G37" s="180">
        <v>0</v>
      </c>
      <c r="H37" s="180">
        <v>0</v>
      </c>
      <c r="I37" s="180">
        <v>0</v>
      </c>
      <c r="J37" s="180">
        <v>0</v>
      </c>
      <c r="K37" s="180"/>
      <c r="L37" s="180">
        <v>0</v>
      </c>
      <c r="M37" s="180">
        <v>43507875</v>
      </c>
      <c r="N37" s="180"/>
      <c r="O37" s="180">
        <v>0</v>
      </c>
      <c r="P37" s="180">
        <v>0</v>
      </c>
      <c r="Q37" s="180">
        <v>0</v>
      </c>
      <c r="R37" s="180">
        <v>0</v>
      </c>
      <c r="S37" s="180">
        <v>0</v>
      </c>
      <c r="T37" s="180">
        <v>0</v>
      </c>
      <c r="U37" s="180">
        <v>0</v>
      </c>
      <c r="V37" s="180">
        <v>0</v>
      </c>
      <c r="W37" s="180">
        <v>0</v>
      </c>
      <c r="X37" s="180">
        <v>0</v>
      </c>
      <c r="Y37" s="180">
        <v>0</v>
      </c>
      <c r="Z37" s="180">
        <v>0</v>
      </c>
      <c r="AA37" s="180">
        <v>0</v>
      </c>
      <c r="AB37" s="180">
        <v>0</v>
      </c>
      <c r="AC37" s="180">
        <v>21861293</v>
      </c>
      <c r="AD37" s="180"/>
      <c r="AE37" s="180">
        <v>0</v>
      </c>
      <c r="AF37" s="180">
        <v>0</v>
      </c>
      <c r="AG37" s="180">
        <v>0</v>
      </c>
      <c r="AH37" s="180">
        <v>0</v>
      </c>
      <c r="AI37" s="180">
        <v>0</v>
      </c>
      <c r="AJ37" s="180">
        <v>0</v>
      </c>
      <c r="AK37" s="180">
        <v>0</v>
      </c>
      <c r="AL37" s="180">
        <v>0</v>
      </c>
      <c r="AM37" s="180">
        <v>0</v>
      </c>
      <c r="AN37" s="180">
        <v>0</v>
      </c>
      <c r="AO37" s="180">
        <v>0</v>
      </c>
      <c r="AP37" s="180">
        <v>0</v>
      </c>
      <c r="AQ37" s="180">
        <v>0</v>
      </c>
      <c r="AR37" s="180">
        <v>0</v>
      </c>
      <c r="AS37" s="180">
        <v>0</v>
      </c>
      <c r="AT37" s="180">
        <v>0</v>
      </c>
      <c r="AU37" s="180">
        <v>0</v>
      </c>
      <c r="AV37" s="180">
        <v>0</v>
      </c>
      <c r="AW37" s="180">
        <v>0</v>
      </c>
      <c r="AX37" s="180">
        <v>0</v>
      </c>
      <c r="AY37" s="180">
        <v>0</v>
      </c>
      <c r="AZ37" s="180">
        <v>0</v>
      </c>
      <c r="BA37" s="180">
        <v>20454450</v>
      </c>
      <c r="BB37" s="180">
        <v>0</v>
      </c>
      <c r="BC37" s="180">
        <v>0</v>
      </c>
      <c r="BD37" s="180">
        <v>0</v>
      </c>
      <c r="BE37" s="180">
        <v>0</v>
      </c>
      <c r="BF37" s="180">
        <v>0</v>
      </c>
      <c r="BG37" s="180">
        <v>261168</v>
      </c>
      <c r="BH37" s="180">
        <v>0</v>
      </c>
      <c r="BI37" s="180">
        <v>0</v>
      </c>
      <c r="BJ37" s="180">
        <v>33382619</v>
      </c>
      <c r="BK37" s="180">
        <v>0</v>
      </c>
      <c r="BL37" s="180">
        <v>0</v>
      </c>
      <c r="BM37" s="180">
        <v>0</v>
      </c>
      <c r="BN37" s="180">
        <v>9347760</v>
      </c>
      <c r="BO37" s="180">
        <v>0</v>
      </c>
      <c r="BP37" s="180">
        <v>0</v>
      </c>
      <c r="BQ37" s="180">
        <v>0</v>
      </c>
      <c r="BR37" s="180">
        <v>0</v>
      </c>
      <c r="BS37" s="180">
        <v>0</v>
      </c>
      <c r="BT37" s="180">
        <v>0</v>
      </c>
      <c r="BU37" s="180">
        <v>0</v>
      </c>
      <c r="BV37" s="180">
        <v>0</v>
      </c>
      <c r="BW37" s="180">
        <v>0</v>
      </c>
      <c r="BX37" s="180"/>
      <c r="BY37" s="180"/>
      <c r="BZ37" s="180">
        <v>0</v>
      </c>
      <c r="CA37" s="180">
        <v>0</v>
      </c>
      <c r="CB37" s="180"/>
      <c r="CC37" s="180">
        <v>0</v>
      </c>
      <c r="CD37" s="180">
        <v>0</v>
      </c>
      <c r="CE37" s="180">
        <v>124584294</v>
      </c>
      <c r="CF37" s="180">
        <v>0</v>
      </c>
      <c r="CG37" s="180">
        <v>5631141</v>
      </c>
      <c r="CH37" s="180">
        <v>0</v>
      </c>
      <c r="CI37" s="180">
        <v>0</v>
      </c>
      <c r="CJ37" s="180">
        <v>0</v>
      </c>
      <c r="CK37" s="180">
        <v>6645868</v>
      </c>
      <c r="CL37" s="180">
        <v>0</v>
      </c>
      <c r="CM37" s="180">
        <v>0</v>
      </c>
      <c r="CN37" s="180">
        <v>0</v>
      </c>
      <c r="CO37" s="180">
        <v>0</v>
      </c>
      <c r="CP37" s="180">
        <v>0</v>
      </c>
      <c r="CQ37" s="180">
        <v>0</v>
      </c>
      <c r="CR37" s="180">
        <v>0</v>
      </c>
      <c r="CS37" s="180">
        <v>0</v>
      </c>
      <c r="CT37" s="180"/>
      <c r="CU37" s="180"/>
    </row>
    <row r="38" spans="1:99" x14ac:dyDescent="0.3">
      <c r="A38" s="155">
        <v>98</v>
      </c>
      <c r="B38" s="180" t="s">
        <v>232</v>
      </c>
      <c r="C38" s="180"/>
      <c r="D38" s="180">
        <v>0</v>
      </c>
      <c r="E38" s="180">
        <v>0</v>
      </c>
      <c r="F38" s="180">
        <v>0</v>
      </c>
      <c r="G38" s="180">
        <v>0</v>
      </c>
      <c r="H38" s="180">
        <v>0</v>
      </c>
      <c r="I38" s="180">
        <v>0</v>
      </c>
      <c r="J38" s="180">
        <v>0</v>
      </c>
      <c r="K38" s="180"/>
      <c r="L38" s="180">
        <v>0</v>
      </c>
      <c r="M38" s="180">
        <v>0</v>
      </c>
      <c r="N38" s="180"/>
      <c r="O38" s="180">
        <v>0</v>
      </c>
      <c r="P38" s="180">
        <v>0</v>
      </c>
      <c r="Q38" s="180">
        <v>0</v>
      </c>
      <c r="R38" s="180">
        <v>0</v>
      </c>
      <c r="S38" s="180">
        <v>0</v>
      </c>
      <c r="T38" s="180">
        <v>0</v>
      </c>
      <c r="U38" s="180">
        <v>0</v>
      </c>
      <c r="V38" s="180">
        <v>0</v>
      </c>
      <c r="W38" s="180">
        <v>0</v>
      </c>
      <c r="X38" s="180">
        <v>0</v>
      </c>
      <c r="Y38" s="180">
        <v>0</v>
      </c>
      <c r="Z38" s="180">
        <v>0</v>
      </c>
      <c r="AA38" s="180">
        <v>0</v>
      </c>
      <c r="AB38" s="180">
        <v>0</v>
      </c>
      <c r="AC38" s="180">
        <v>0</v>
      </c>
      <c r="AD38" s="180"/>
      <c r="AE38" s="180">
        <v>0</v>
      </c>
      <c r="AF38" s="180">
        <v>0</v>
      </c>
      <c r="AG38" s="180">
        <v>0</v>
      </c>
      <c r="AH38" s="180">
        <v>0</v>
      </c>
      <c r="AI38" s="180">
        <v>0</v>
      </c>
      <c r="AJ38" s="180">
        <v>0</v>
      </c>
      <c r="AK38" s="180">
        <v>0</v>
      </c>
      <c r="AL38" s="180">
        <v>0</v>
      </c>
      <c r="AM38" s="180">
        <v>0</v>
      </c>
      <c r="AN38" s="180">
        <v>0</v>
      </c>
      <c r="AO38" s="180">
        <v>0</v>
      </c>
      <c r="AP38" s="180">
        <v>0</v>
      </c>
      <c r="AQ38" s="180">
        <v>0</v>
      </c>
      <c r="AR38" s="180">
        <v>0</v>
      </c>
      <c r="AS38" s="180">
        <v>0</v>
      </c>
      <c r="AT38" s="180">
        <v>0</v>
      </c>
      <c r="AU38" s="180">
        <v>0</v>
      </c>
      <c r="AV38" s="180">
        <v>0</v>
      </c>
      <c r="AW38" s="180">
        <v>0</v>
      </c>
      <c r="AX38" s="180">
        <v>0</v>
      </c>
      <c r="AY38" s="180">
        <v>0</v>
      </c>
      <c r="AZ38" s="180">
        <v>0</v>
      </c>
      <c r="BA38" s="180">
        <v>91075</v>
      </c>
      <c r="BB38" s="180">
        <v>0</v>
      </c>
      <c r="BC38" s="180">
        <v>0</v>
      </c>
      <c r="BD38" s="180">
        <v>0</v>
      </c>
      <c r="BE38" s="180">
        <v>0</v>
      </c>
      <c r="BF38" s="180">
        <v>0</v>
      </c>
      <c r="BG38" s="180">
        <v>0</v>
      </c>
      <c r="BH38" s="180">
        <v>0</v>
      </c>
      <c r="BI38" s="180">
        <v>0</v>
      </c>
      <c r="BJ38" s="180">
        <v>189</v>
      </c>
      <c r="BK38" s="180">
        <v>0</v>
      </c>
      <c r="BL38" s="180">
        <v>0</v>
      </c>
      <c r="BM38" s="180">
        <v>0</v>
      </c>
      <c r="BN38" s="180">
        <v>204</v>
      </c>
      <c r="BO38" s="180">
        <v>0</v>
      </c>
      <c r="BP38" s="180">
        <v>0</v>
      </c>
      <c r="BQ38" s="180">
        <v>0</v>
      </c>
      <c r="BR38" s="180">
        <v>0</v>
      </c>
      <c r="BS38" s="180">
        <v>0</v>
      </c>
      <c r="BT38" s="180">
        <v>0</v>
      </c>
      <c r="BU38" s="180">
        <v>0</v>
      </c>
      <c r="BV38" s="180">
        <v>0</v>
      </c>
      <c r="BW38" s="180">
        <v>0</v>
      </c>
      <c r="BX38" s="180"/>
      <c r="BY38" s="180"/>
      <c r="BZ38" s="180">
        <v>0</v>
      </c>
      <c r="CA38" s="180">
        <v>0</v>
      </c>
      <c r="CB38" s="180"/>
      <c r="CC38" s="180">
        <v>0</v>
      </c>
      <c r="CD38" s="180">
        <v>0</v>
      </c>
      <c r="CE38" s="180">
        <v>449354</v>
      </c>
      <c r="CF38" s="180">
        <v>0</v>
      </c>
      <c r="CG38" s="180">
        <v>0</v>
      </c>
      <c r="CH38" s="180">
        <v>0</v>
      </c>
      <c r="CI38" s="180">
        <v>0</v>
      </c>
      <c r="CJ38" s="180">
        <v>0</v>
      </c>
      <c r="CK38" s="180">
        <v>14807</v>
      </c>
      <c r="CL38" s="180">
        <v>0</v>
      </c>
      <c r="CM38" s="180">
        <v>0</v>
      </c>
      <c r="CN38" s="180">
        <v>0</v>
      </c>
      <c r="CO38" s="180">
        <v>0</v>
      </c>
      <c r="CP38" s="180">
        <v>0</v>
      </c>
      <c r="CQ38" s="180">
        <v>0</v>
      </c>
      <c r="CR38" s="180">
        <v>0</v>
      </c>
      <c r="CS38" s="180">
        <v>0</v>
      </c>
      <c r="CT38" s="180"/>
      <c r="CU38" s="180"/>
    </row>
    <row r="39" spans="1:99" x14ac:dyDescent="0.3">
      <c r="A39" s="155">
        <v>99</v>
      </c>
      <c r="B39" s="180" t="s">
        <v>229</v>
      </c>
      <c r="C39" s="180"/>
      <c r="D39" s="180">
        <v>0</v>
      </c>
      <c r="E39" s="180">
        <v>0</v>
      </c>
      <c r="F39" s="180">
        <v>0</v>
      </c>
      <c r="G39" s="180">
        <v>0</v>
      </c>
      <c r="H39" s="180">
        <v>0</v>
      </c>
      <c r="I39" s="180">
        <v>0</v>
      </c>
      <c r="J39" s="180">
        <v>0</v>
      </c>
      <c r="K39" s="180"/>
      <c r="L39" s="180">
        <v>0</v>
      </c>
      <c r="M39" s="180">
        <v>34281100</v>
      </c>
      <c r="N39" s="180"/>
      <c r="O39" s="180">
        <v>0</v>
      </c>
      <c r="P39" s="180">
        <v>0</v>
      </c>
      <c r="Q39" s="180">
        <v>0</v>
      </c>
      <c r="R39" s="180">
        <v>0</v>
      </c>
      <c r="S39" s="180">
        <v>0</v>
      </c>
      <c r="T39" s="180">
        <v>0</v>
      </c>
      <c r="U39" s="180">
        <v>0</v>
      </c>
      <c r="V39" s="180">
        <v>0</v>
      </c>
      <c r="W39" s="180">
        <v>0</v>
      </c>
      <c r="X39" s="180">
        <v>0</v>
      </c>
      <c r="Y39" s="180">
        <v>0</v>
      </c>
      <c r="Z39" s="180">
        <v>0</v>
      </c>
      <c r="AA39" s="180">
        <v>0</v>
      </c>
      <c r="AB39" s="180">
        <v>0</v>
      </c>
      <c r="AC39" s="180">
        <v>16928740</v>
      </c>
      <c r="AD39" s="180"/>
      <c r="AE39" s="180">
        <v>0</v>
      </c>
      <c r="AF39" s="180">
        <v>0</v>
      </c>
      <c r="AG39" s="180">
        <v>0</v>
      </c>
      <c r="AH39" s="180">
        <v>0</v>
      </c>
      <c r="AI39" s="180">
        <v>0</v>
      </c>
      <c r="AJ39" s="180">
        <v>0</v>
      </c>
      <c r="AK39" s="180">
        <v>0</v>
      </c>
      <c r="AL39" s="180">
        <v>0</v>
      </c>
      <c r="AM39" s="180">
        <v>0</v>
      </c>
      <c r="AN39" s="180">
        <v>0</v>
      </c>
      <c r="AO39" s="180">
        <v>0</v>
      </c>
      <c r="AP39" s="180">
        <v>0</v>
      </c>
      <c r="AQ39" s="180">
        <v>0</v>
      </c>
      <c r="AR39" s="180">
        <v>0</v>
      </c>
      <c r="AS39" s="180">
        <v>0</v>
      </c>
      <c r="AT39" s="180">
        <v>0</v>
      </c>
      <c r="AU39" s="180">
        <v>0</v>
      </c>
      <c r="AV39" s="180">
        <v>0</v>
      </c>
      <c r="AW39" s="180">
        <v>0</v>
      </c>
      <c r="AX39" s="180">
        <v>0</v>
      </c>
      <c r="AY39" s="180">
        <v>0</v>
      </c>
      <c r="AZ39" s="180">
        <v>0</v>
      </c>
      <c r="BA39" s="180">
        <v>12900953</v>
      </c>
      <c r="BB39" s="180">
        <v>0</v>
      </c>
      <c r="BC39" s="180">
        <v>0</v>
      </c>
      <c r="BD39" s="180">
        <v>0</v>
      </c>
      <c r="BE39" s="180">
        <v>0</v>
      </c>
      <c r="BF39" s="180">
        <v>0</v>
      </c>
      <c r="BG39" s="180">
        <v>186416</v>
      </c>
      <c r="BH39" s="180">
        <v>0</v>
      </c>
      <c r="BI39" s="180">
        <v>0</v>
      </c>
      <c r="BJ39" s="180">
        <v>21964235</v>
      </c>
      <c r="BK39" s="180">
        <v>0</v>
      </c>
      <c r="BL39" s="180">
        <v>0</v>
      </c>
      <c r="BM39" s="180">
        <v>0</v>
      </c>
      <c r="BN39" s="180">
        <v>5931460</v>
      </c>
      <c r="BO39" s="180">
        <v>0</v>
      </c>
      <c r="BP39" s="180">
        <v>0</v>
      </c>
      <c r="BQ39" s="180">
        <v>0</v>
      </c>
      <c r="BR39" s="180">
        <v>0</v>
      </c>
      <c r="BS39" s="180">
        <v>0</v>
      </c>
      <c r="BT39" s="180">
        <v>0</v>
      </c>
      <c r="BU39" s="180">
        <v>0</v>
      </c>
      <c r="BV39" s="180">
        <v>0</v>
      </c>
      <c r="BW39" s="180">
        <v>0</v>
      </c>
      <c r="BX39" s="180"/>
      <c r="BY39" s="180"/>
      <c r="BZ39" s="180">
        <v>0</v>
      </c>
      <c r="CA39" s="180">
        <v>0</v>
      </c>
      <c r="CB39" s="180"/>
      <c r="CC39" s="180">
        <v>0</v>
      </c>
      <c r="CD39" s="180">
        <v>0</v>
      </c>
      <c r="CE39" s="180">
        <v>81341548</v>
      </c>
      <c r="CF39" s="180">
        <v>0</v>
      </c>
      <c r="CG39" s="180">
        <v>3239130</v>
      </c>
      <c r="CH39" s="180">
        <v>0</v>
      </c>
      <c r="CI39" s="180">
        <v>0</v>
      </c>
      <c r="CJ39" s="180">
        <v>0</v>
      </c>
      <c r="CK39" s="180">
        <v>4496629</v>
      </c>
      <c r="CL39" s="180">
        <v>0</v>
      </c>
      <c r="CM39" s="180">
        <v>0</v>
      </c>
      <c r="CN39" s="180">
        <v>0</v>
      </c>
      <c r="CO39" s="180">
        <v>0</v>
      </c>
      <c r="CP39" s="180">
        <v>0</v>
      </c>
      <c r="CQ39" s="180">
        <v>0</v>
      </c>
      <c r="CR39" s="180">
        <v>0</v>
      </c>
      <c r="CS39" s="180">
        <v>0</v>
      </c>
      <c r="CT39" s="180"/>
      <c r="CU39" s="180"/>
    </row>
    <row r="40" spans="1:99" x14ac:dyDescent="0.3">
      <c r="A40" s="155">
        <v>100</v>
      </c>
      <c r="B40" s="180" t="s">
        <v>242</v>
      </c>
      <c r="C40" s="180"/>
      <c r="D40" s="180">
        <v>0</v>
      </c>
      <c r="E40" s="180">
        <v>0</v>
      </c>
      <c r="F40" s="180">
        <v>0</v>
      </c>
      <c r="G40" s="180">
        <v>0</v>
      </c>
      <c r="H40" s="180">
        <v>0</v>
      </c>
      <c r="I40" s="180">
        <v>0</v>
      </c>
      <c r="J40" s="180">
        <v>0</v>
      </c>
      <c r="K40" s="180"/>
      <c r="L40" s="180">
        <v>0</v>
      </c>
      <c r="M40" s="180">
        <v>0</v>
      </c>
      <c r="N40" s="180"/>
      <c r="O40" s="180">
        <v>0</v>
      </c>
      <c r="P40" s="180">
        <v>0</v>
      </c>
      <c r="Q40" s="180">
        <v>0</v>
      </c>
      <c r="R40" s="180">
        <v>0</v>
      </c>
      <c r="S40" s="180">
        <v>0</v>
      </c>
      <c r="T40" s="180">
        <v>0</v>
      </c>
      <c r="U40" s="180">
        <v>0</v>
      </c>
      <c r="V40" s="180">
        <v>0</v>
      </c>
      <c r="W40" s="180">
        <v>0</v>
      </c>
      <c r="X40" s="180">
        <v>0</v>
      </c>
      <c r="Y40" s="180">
        <v>0</v>
      </c>
      <c r="Z40" s="180">
        <v>0</v>
      </c>
      <c r="AA40" s="180">
        <v>0</v>
      </c>
      <c r="AB40" s="180">
        <v>0</v>
      </c>
      <c r="AC40" s="180">
        <v>0</v>
      </c>
      <c r="AD40" s="180"/>
      <c r="AE40" s="180">
        <v>0</v>
      </c>
      <c r="AF40" s="180">
        <v>0</v>
      </c>
      <c r="AG40" s="180">
        <v>0</v>
      </c>
      <c r="AH40" s="180">
        <v>0</v>
      </c>
      <c r="AI40" s="180">
        <v>0</v>
      </c>
      <c r="AJ40" s="180">
        <v>0</v>
      </c>
      <c r="AK40" s="180">
        <v>0</v>
      </c>
      <c r="AL40" s="180">
        <v>0</v>
      </c>
      <c r="AM40" s="180">
        <v>0</v>
      </c>
      <c r="AN40" s="180">
        <v>0</v>
      </c>
      <c r="AO40" s="180">
        <v>0</v>
      </c>
      <c r="AP40" s="180">
        <v>0</v>
      </c>
      <c r="AQ40" s="180">
        <v>0</v>
      </c>
      <c r="AR40" s="180">
        <v>0</v>
      </c>
      <c r="AS40" s="180">
        <v>0</v>
      </c>
      <c r="AT40" s="180">
        <v>0</v>
      </c>
      <c r="AU40" s="180">
        <v>0</v>
      </c>
      <c r="AV40" s="180">
        <v>0</v>
      </c>
      <c r="AW40" s="180">
        <v>0</v>
      </c>
      <c r="AX40" s="180">
        <v>0</v>
      </c>
      <c r="AY40" s="180">
        <v>0</v>
      </c>
      <c r="AZ40" s="180">
        <v>0</v>
      </c>
      <c r="BA40" s="180">
        <v>712537</v>
      </c>
      <c r="BB40" s="180">
        <v>0</v>
      </c>
      <c r="BC40" s="180">
        <v>0</v>
      </c>
      <c r="BD40" s="180">
        <v>0</v>
      </c>
      <c r="BE40" s="180">
        <v>0</v>
      </c>
      <c r="BF40" s="180">
        <v>0</v>
      </c>
      <c r="BG40" s="180">
        <v>0</v>
      </c>
      <c r="BH40" s="180">
        <v>0</v>
      </c>
      <c r="BI40" s="180">
        <v>0</v>
      </c>
      <c r="BJ40" s="180">
        <v>6138</v>
      </c>
      <c r="BK40" s="180">
        <v>0</v>
      </c>
      <c r="BL40" s="180">
        <v>0</v>
      </c>
      <c r="BM40" s="180">
        <v>0</v>
      </c>
      <c r="BN40" s="180">
        <v>30662</v>
      </c>
      <c r="BO40" s="180">
        <v>0</v>
      </c>
      <c r="BP40" s="180">
        <v>0</v>
      </c>
      <c r="BQ40" s="180">
        <v>0</v>
      </c>
      <c r="BR40" s="180">
        <v>0</v>
      </c>
      <c r="BS40" s="180">
        <v>0</v>
      </c>
      <c r="BT40" s="180">
        <v>0</v>
      </c>
      <c r="BU40" s="180">
        <v>0</v>
      </c>
      <c r="BV40" s="180">
        <v>0</v>
      </c>
      <c r="BW40" s="180">
        <v>0</v>
      </c>
      <c r="BX40" s="180"/>
      <c r="BY40" s="180"/>
      <c r="BZ40" s="180">
        <v>0</v>
      </c>
      <c r="CA40" s="180">
        <v>0</v>
      </c>
      <c r="CB40" s="180"/>
      <c r="CC40" s="180">
        <v>0</v>
      </c>
      <c r="CD40" s="180">
        <v>0</v>
      </c>
      <c r="CE40" s="180">
        <v>406756</v>
      </c>
      <c r="CF40" s="180">
        <v>0</v>
      </c>
      <c r="CG40" s="180">
        <v>0</v>
      </c>
      <c r="CH40" s="180">
        <v>0</v>
      </c>
      <c r="CI40" s="180">
        <v>0</v>
      </c>
      <c r="CJ40" s="180">
        <v>0</v>
      </c>
      <c r="CK40" s="180">
        <v>363551</v>
      </c>
      <c r="CL40" s="180">
        <v>0</v>
      </c>
      <c r="CM40" s="180">
        <v>0</v>
      </c>
      <c r="CN40" s="180">
        <v>0</v>
      </c>
      <c r="CO40" s="180">
        <v>0</v>
      </c>
      <c r="CP40" s="180">
        <v>0</v>
      </c>
      <c r="CQ40" s="180">
        <v>0</v>
      </c>
      <c r="CR40" s="180">
        <v>0</v>
      </c>
      <c r="CS40" s="180">
        <v>0</v>
      </c>
      <c r="CT40" s="180"/>
      <c r="CU40" s="180"/>
    </row>
    <row r="41" spans="1:99" x14ac:dyDescent="0.3">
      <c r="A41" s="155">
        <v>101</v>
      </c>
      <c r="B41" s="180" t="s">
        <v>241</v>
      </c>
      <c r="C41" s="180"/>
      <c r="D41" s="180">
        <v>0</v>
      </c>
      <c r="E41" s="180">
        <v>0</v>
      </c>
      <c r="F41" s="180">
        <v>0</v>
      </c>
      <c r="G41" s="180">
        <v>0</v>
      </c>
      <c r="H41" s="180">
        <v>0</v>
      </c>
      <c r="I41" s="180">
        <v>0</v>
      </c>
      <c r="J41" s="180">
        <v>0</v>
      </c>
      <c r="K41" s="180"/>
      <c r="L41" s="180">
        <v>0</v>
      </c>
      <c r="M41" s="180">
        <v>6330714</v>
      </c>
      <c r="N41" s="180"/>
      <c r="O41" s="180">
        <v>0</v>
      </c>
      <c r="P41" s="180">
        <v>0</v>
      </c>
      <c r="Q41" s="180">
        <v>0</v>
      </c>
      <c r="R41" s="180">
        <v>0</v>
      </c>
      <c r="S41" s="180">
        <v>0</v>
      </c>
      <c r="T41" s="180">
        <v>0</v>
      </c>
      <c r="U41" s="180">
        <v>0</v>
      </c>
      <c r="V41" s="180">
        <v>0</v>
      </c>
      <c r="W41" s="180">
        <v>0</v>
      </c>
      <c r="X41" s="180">
        <v>0</v>
      </c>
      <c r="Y41" s="180">
        <v>0</v>
      </c>
      <c r="Z41" s="180">
        <v>0</v>
      </c>
      <c r="AA41" s="180">
        <v>0</v>
      </c>
      <c r="AB41" s="180">
        <v>0</v>
      </c>
      <c r="AC41" s="180">
        <v>346406</v>
      </c>
      <c r="AD41" s="180"/>
      <c r="AE41" s="180">
        <v>0</v>
      </c>
      <c r="AF41" s="180">
        <v>0</v>
      </c>
      <c r="AG41" s="180">
        <v>0</v>
      </c>
      <c r="AH41" s="180">
        <v>0</v>
      </c>
      <c r="AI41" s="180">
        <v>0</v>
      </c>
      <c r="AJ41" s="180">
        <v>0</v>
      </c>
      <c r="AK41" s="180">
        <v>0</v>
      </c>
      <c r="AL41" s="180">
        <v>0</v>
      </c>
      <c r="AM41" s="180">
        <v>0</v>
      </c>
      <c r="AN41" s="180">
        <v>0</v>
      </c>
      <c r="AO41" s="180">
        <v>0</v>
      </c>
      <c r="AP41" s="180">
        <v>0</v>
      </c>
      <c r="AQ41" s="180">
        <v>0</v>
      </c>
      <c r="AR41" s="180">
        <v>0</v>
      </c>
      <c r="AS41" s="180">
        <v>0</v>
      </c>
      <c r="AT41" s="180">
        <v>0</v>
      </c>
      <c r="AU41" s="180">
        <v>0</v>
      </c>
      <c r="AV41" s="180">
        <v>0</v>
      </c>
      <c r="AW41" s="180">
        <v>0</v>
      </c>
      <c r="AX41" s="180">
        <v>0</v>
      </c>
      <c r="AY41" s="180">
        <v>0</v>
      </c>
      <c r="AZ41" s="180">
        <v>0</v>
      </c>
      <c r="BA41" s="180">
        <v>1327134</v>
      </c>
      <c r="BB41" s="180">
        <v>0</v>
      </c>
      <c r="BC41" s="180">
        <v>0</v>
      </c>
      <c r="BD41" s="180">
        <v>0</v>
      </c>
      <c r="BE41" s="180">
        <v>0</v>
      </c>
      <c r="BF41" s="180">
        <v>0</v>
      </c>
      <c r="BG41" s="180">
        <v>0</v>
      </c>
      <c r="BH41" s="180">
        <v>0</v>
      </c>
      <c r="BI41" s="180">
        <v>0</v>
      </c>
      <c r="BJ41" s="180">
        <v>2131313</v>
      </c>
      <c r="BK41" s="180">
        <v>0</v>
      </c>
      <c r="BL41" s="180">
        <v>0</v>
      </c>
      <c r="BM41" s="180">
        <v>0</v>
      </c>
      <c r="BN41" s="180">
        <v>304761</v>
      </c>
      <c r="BO41" s="180">
        <v>0</v>
      </c>
      <c r="BP41" s="180">
        <v>0</v>
      </c>
      <c r="BQ41" s="180">
        <v>0</v>
      </c>
      <c r="BR41" s="180">
        <v>0</v>
      </c>
      <c r="BS41" s="180">
        <v>0</v>
      </c>
      <c r="BT41" s="180">
        <v>0</v>
      </c>
      <c r="BU41" s="180">
        <v>0</v>
      </c>
      <c r="BV41" s="180">
        <v>0</v>
      </c>
      <c r="BW41" s="180">
        <v>0</v>
      </c>
      <c r="BX41" s="180"/>
      <c r="BY41" s="180"/>
      <c r="BZ41" s="180">
        <v>0</v>
      </c>
      <c r="CA41" s="180">
        <v>0</v>
      </c>
      <c r="CB41" s="180"/>
      <c r="CC41" s="180">
        <v>0</v>
      </c>
      <c r="CD41" s="180">
        <v>0</v>
      </c>
      <c r="CE41" s="180">
        <v>5601259</v>
      </c>
      <c r="CF41" s="180">
        <v>0</v>
      </c>
      <c r="CG41" s="180">
        <v>162864</v>
      </c>
      <c r="CH41" s="180">
        <v>0</v>
      </c>
      <c r="CI41" s="180">
        <v>0</v>
      </c>
      <c r="CJ41" s="180">
        <v>0</v>
      </c>
      <c r="CK41" s="180">
        <v>266660</v>
      </c>
      <c r="CL41" s="180">
        <v>0</v>
      </c>
      <c r="CM41" s="180">
        <v>0</v>
      </c>
      <c r="CN41" s="180">
        <v>0</v>
      </c>
      <c r="CO41" s="180">
        <v>0</v>
      </c>
      <c r="CP41" s="180">
        <v>0</v>
      </c>
      <c r="CQ41" s="180">
        <v>0</v>
      </c>
      <c r="CR41" s="180">
        <v>0</v>
      </c>
      <c r="CS41" s="180">
        <v>0</v>
      </c>
      <c r="CT41" s="180"/>
      <c r="CU41" s="180"/>
    </row>
    <row r="42" spans="1:99" x14ac:dyDescent="0.3">
      <c r="A42" s="155">
        <v>102</v>
      </c>
      <c r="B42" s="180" t="s">
        <v>255</v>
      </c>
      <c r="C42" s="180"/>
      <c r="D42" s="180">
        <v>97.87</v>
      </c>
      <c r="E42" s="180">
        <v>99.8</v>
      </c>
      <c r="F42" s="180">
        <v>96.25</v>
      </c>
      <c r="G42" s="180">
        <v>99.15</v>
      </c>
      <c r="H42" s="180">
        <v>99.93</v>
      </c>
      <c r="I42" s="180">
        <v>98.8</v>
      </c>
      <c r="J42" s="180">
        <v>99.15</v>
      </c>
      <c r="K42" s="180"/>
      <c r="L42" s="180">
        <v>94.88</v>
      </c>
      <c r="M42" s="180">
        <v>99.24</v>
      </c>
      <c r="N42" s="180"/>
      <c r="O42" s="180">
        <v>99.56</v>
      </c>
      <c r="P42" s="180">
        <v>0</v>
      </c>
      <c r="Q42" s="180">
        <v>98.58</v>
      </c>
      <c r="R42" s="180">
        <v>95.72</v>
      </c>
      <c r="S42" s="180">
        <v>97.39</v>
      </c>
      <c r="T42" s="180">
        <v>99.61</v>
      </c>
      <c r="U42" s="180">
        <v>99.78</v>
      </c>
      <c r="V42" s="180">
        <v>99.57</v>
      </c>
      <c r="W42" s="180">
        <v>98.66</v>
      </c>
      <c r="X42" s="180">
        <v>99.37</v>
      </c>
      <c r="Y42" s="180">
        <v>0</v>
      </c>
      <c r="Z42" s="180">
        <v>97.96</v>
      </c>
      <c r="AA42" s="180">
        <v>98.15</v>
      </c>
      <c r="AB42" s="180">
        <v>96.71</v>
      </c>
      <c r="AC42" s="180">
        <v>96.38</v>
      </c>
      <c r="AD42" s="180"/>
      <c r="AE42" s="180">
        <v>99.59</v>
      </c>
      <c r="AF42" s="180">
        <v>89.22</v>
      </c>
      <c r="AG42" s="180">
        <v>96.45</v>
      </c>
      <c r="AH42" s="180">
        <v>98.52</v>
      </c>
      <c r="AI42" s="180">
        <v>99.34</v>
      </c>
      <c r="AJ42" s="180">
        <v>99.7</v>
      </c>
      <c r="AK42" s="180">
        <v>93.26</v>
      </c>
      <c r="AL42" s="180">
        <v>99.21</v>
      </c>
      <c r="AM42" s="180">
        <v>98.35</v>
      </c>
      <c r="AN42" s="180">
        <v>97.35</v>
      </c>
      <c r="AO42" s="180">
        <v>97.28</v>
      </c>
      <c r="AP42" s="180">
        <v>98.8</v>
      </c>
      <c r="AQ42" s="180">
        <v>98.24</v>
      </c>
      <c r="AR42" s="180">
        <v>97.77</v>
      </c>
      <c r="AS42" s="180">
        <v>98.25</v>
      </c>
      <c r="AT42" s="180">
        <v>96.37</v>
      </c>
      <c r="AU42" s="180">
        <v>98.3</v>
      </c>
      <c r="AV42" s="180">
        <v>99.32</v>
      </c>
      <c r="AW42" s="180">
        <v>96.46</v>
      </c>
      <c r="AX42" s="180">
        <v>98.32</v>
      </c>
      <c r="AY42" s="180">
        <v>91.97</v>
      </c>
      <c r="AZ42" s="180">
        <v>90.28</v>
      </c>
      <c r="BA42" s="180">
        <v>99.83</v>
      </c>
      <c r="BB42" s="180">
        <v>98.91</v>
      </c>
      <c r="BC42" s="180">
        <v>96.12</v>
      </c>
      <c r="BD42" s="180">
        <v>98.34</v>
      </c>
      <c r="BE42" s="180">
        <v>97.36</v>
      </c>
      <c r="BF42" s="180">
        <v>99.91</v>
      </c>
      <c r="BG42" s="180">
        <v>98.17</v>
      </c>
      <c r="BH42" s="180">
        <v>98.45</v>
      </c>
      <c r="BI42" s="180">
        <v>97.67</v>
      </c>
      <c r="BJ42" s="180">
        <v>98.88</v>
      </c>
      <c r="BK42" s="180">
        <v>99.12</v>
      </c>
      <c r="BL42" s="180">
        <v>88.15</v>
      </c>
      <c r="BM42" s="180">
        <v>99.2</v>
      </c>
      <c r="BN42" s="180">
        <v>97.12</v>
      </c>
      <c r="BO42" s="180">
        <v>99.84</v>
      </c>
      <c r="BP42" s="180">
        <v>99.81</v>
      </c>
      <c r="BQ42" s="180">
        <v>98.51</v>
      </c>
      <c r="BR42" s="180">
        <v>96.42</v>
      </c>
      <c r="BS42" s="180">
        <v>99.53</v>
      </c>
      <c r="BT42" s="180">
        <v>0</v>
      </c>
      <c r="BU42" s="180">
        <v>99.91</v>
      </c>
      <c r="BV42" s="180">
        <v>98.72</v>
      </c>
      <c r="BW42" s="180">
        <v>99.93</v>
      </c>
      <c r="BX42" s="180"/>
      <c r="BY42" s="180"/>
      <c r="BZ42" s="180">
        <v>98.63</v>
      </c>
      <c r="CA42" s="180">
        <v>99.18</v>
      </c>
      <c r="CB42" s="180"/>
      <c r="CC42" s="180">
        <v>93.81</v>
      </c>
      <c r="CD42" s="180">
        <v>99.47</v>
      </c>
      <c r="CE42" s="180">
        <v>98.67</v>
      </c>
      <c r="CF42" s="180">
        <v>100</v>
      </c>
      <c r="CG42" s="180">
        <v>97.97</v>
      </c>
      <c r="CH42" s="180">
        <v>96.7</v>
      </c>
      <c r="CI42" s="180">
        <v>99.15</v>
      </c>
      <c r="CJ42" s="180">
        <v>99.33</v>
      </c>
      <c r="CK42" s="180">
        <v>99.41</v>
      </c>
      <c r="CL42" s="180">
        <v>94.63</v>
      </c>
      <c r="CM42" s="180">
        <v>99.78</v>
      </c>
      <c r="CN42" s="180">
        <v>92.04</v>
      </c>
      <c r="CO42" s="180">
        <v>99.9</v>
      </c>
      <c r="CP42" s="180">
        <v>97.73</v>
      </c>
      <c r="CQ42" s="180">
        <v>98.46</v>
      </c>
      <c r="CR42" s="180">
        <v>99.32</v>
      </c>
      <c r="CS42" s="180">
        <v>99.39</v>
      </c>
      <c r="CT42" s="180"/>
      <c r="CU42" s="180"/>
    </row>
    <row r="43" spans="1:99" x14ac:dyDescent="0.3">
      <c r="A43" s="155">
        <v>103</v>
      </c>
      <c r="B43" s="180" t="s">
        <v>256</v>
      </c>
      <c r="C43" s="180"/>
      <c r="D43" s="180">
        <v>100</v>
      </c>
      <c r="E43" s="180">
        <v>100</v>
      </c>
      <c r="F43" s="180">
        <v>97.92</v>
      </c>
      <c r="G43" s="180">
        <v>100</v>
      </c>
      <c r="H43" s="180">
        <v>99.85</v>
      </c>
      <c r="I43" s="180">
        <v>100</v>
      </c>
      <c r="J43" s="180">
        <v>100</v>
      </c>
      <c r="K43" s="180"/>
      <c r="L43" s="180">
        <v>100</v>
      </c>
      <c r="M43" s="180">
        <v>100</v>
      </c>
      <c r="N43" s="180"/>
      <c r="O43" s="180">
        <v>100</v>
      </c>
      <c r="P43" s="180">
        <v>0</v>
      </c>
      <c r="Q43" s="180">
        <v>100</v>
      </c>
      <c r="R43" s="180">
        <v>100</v>
      </c>
      <c r="S43" s="180">
        <v>100</v>
      </c>
      <c r="T43" s="180">
        <v>100</v>
      </c>
      <c r="U43" s="180">
        <v>100</v>
      </c>
      <c r="V43" s="180">
        <v>100</v>
      </c>
      <c r="W43" s="180">
        <v>100</v>
      </c>
      <c r="X43" s="180">
        <v>100</v>
      </c>
      <c r="Y43" s="180">
        <v>0</v>
      </c>
      <c r="Z43" s="180">
        <v>100</v>
      </c>
      <c r="AA43" s="180">
        <v>100</v>
      </c>
      <c r="AB43" s="180">
        <v>100</v>
      </c>
      <c r="AC43" s="180">
        <v>99.77</v>
      </c>
      <c r="AD43" s="180"/>
      <c r="AE43" s="180">
        <v>100</v>
      </c>
      <c r="AF43" s="180">
        <v>100</v>
      </c>
      <c r="AG43" s="180">
        <v>99.56</v>
      </c>
      <c r="AH43" s="180">
        <v>100</v>
      </c>
      <c r="AI43" s="180">
        <v>100</v>
      </c>
      <c r="AJ43" s="180">
        <v>100</v>
      </c>
      <c r="AK43" s="180">
        <v>100</v>
      </c>
      <c r="AL43" s="180">
        <v>100</v>
      </c>
      <c r="AM43" s="180">
        <v>100</v>
      </c>
      <c r="AN43" s="180">
        <v>100</v>
      </c>
      <c r="AO43" s="180">
        <v>100</v>
      </c>
      <c r="AP43" s="180">
        <v>99.29</v>
      </c>
      <c r="AQ43" s="180">
        <v>100</v>
      </c>
      <c r="AR43" s="180">
        <v>100</v>
      </c>
      <c r="AS43" s="180">
        <v>100</v>
      </c>
      <c r="AT43" s="180">
        <v>100</v>
      </c>
      <c r="AU43" s="180">
        <v>100</v>
      </c>
      <c r="AV43" s="180">
        <v>100</v>
      </c>
      <c r="AW43" s="180">
        <v>100</v>
      </c>
      <c r="AX43" s="180">
        <v>100</v>
      </c>
      <c r="AY43" s="180">
        <v>100</v>
      </c>
      <c r="AZ43" s="180">
        <v>100</v>
      </c>
      <c r="BA43" s="180">
        <v>99.69</v>
      </c>
      <c r="BB43" s="180">
        <v>100</v>
      </c>
      <c r="BC43" s="180">
        <v>99.8</v>
      </c>
      <c r="BD43" s="180">
        <v>100</v>
      </c>
      <c r="BE43" s="180">
        <v>100</v>
      </c>
      <c r="BF43" s="180">
        <v>100</v>
      </c>
      <c r="BG43" s="180">
        <v>100</v>
      </c>
      <c r="BH43" s="180">
        <v>99.14</v>
      </c>
      <c r="BI43" s="180">
        <v>100</v>
      </c>
      <c r="BJ43" s="180">
        <v>100</v>
      </c>
      <c r="BK43" s="180">
        <v>100</v>
      </c>
      <c r="BL43" s="180">
        <v>100</v>
      </c>
      <c r="BM43" s="180">
        <v>100</v>
      </c>
      <c r="BN43" s="180">
        <v>100</v>
      </c>
      <c r="BO43" s="180">
        <v>100</v>
      </c>
      <c r="BP43" s="180">
        <v>100</v>
      </c>
      <c r="BQ43" s="180">
        <v>100</v>
      </c>
      <c r="BR43" s="180">
        <v>100</v>
      </c>
      <c r="BS43" s="180">
        <v>99.36</v>
      </c>
      <c r="BT43" s="180">
        <v>0</v>
      </c>
      <c r="BU43" s="180">
        <v>100</v>
      </c>
      <c r="BV43" s="180">
        <v>100</v>
      </c>
      <c r="BW43" s="180">
        <v>100</v>
      </c>
      <c r="BX43" s="180"/>
      <c r="BY43" s="180"/>
      <c r="BZ43" s="180">
        <v>100</v>
      </c>
      <c r="CA43" s="180">
        <v>100</v>
      </c>
      <c r="CB43" s="180"/>
      <c r="CC43" s="180">
        <v>100</v>
      </c>
      <c r="CD43" s="180">
        <v>100</v>
      </c>
      <c r="CE43" s="180">
        <v>99.77</v>
      </c>
      <c r="CF43" s="180">
        <v>100</v>
      </c>
      <c r="CG43" s="180">
        <v>99.96</v>
      </c>
      <c r="CH43" s="180">
        <v>100</v>
      </c>
      <c r="CI43" s="180">
        <v>100</v>
      </c>
      <c r="CJ43" s="180">
        <v>100</v>
      </c>
      <c r="CK43" s="180">
        <v>99.98</v>
      </c>
      <c r="CL43" s="180">
        <v>100</v>
      </c>
      <c r="CM43" s="180">
        <v>100</v>
      </c>
      <c r="CN43" s="180">
        <v>100</v>
      </c>
      <c r="CO43" s="180">
        <v>100</v>
      </c>
      <c r="CP43" s="180">
        <v>100</v>
      </c>
      <c r="CQ43" s="180">
        <v>100</v>
      </c>
      <c r="CR43" s="180">
        <v>100</v>
      </c>
      <c r="CS43" s="180">
        <v>98.07</v>
      </c>
      <c r="CT43" s="180"/>
      <c r="CU43" s="180"/>
    </row>
    <row r="44" spans="1:99" x14ac:dyDescent="0.3">
      <c r="A44" s="155">
        <v>171</v>
      </c>
      <c r="B44" s="180" t="s">
        <v>208</v>
      </c>
      <c r="C44" s="180"/>
      <c r="D44" s="180">
        <v>0</v>
      </c>
      <c r="E44" s="180">
        <v>370939</v>
      </c>
      <c r="F44" s="180">
        <v>149638</v>
      </c>
      <c r="G44" s="180">
        <v>0</v>
      </c>
      <c r="H44" s="180">
        <v>368981</v>
      </c>
      <c r="I44" s="180">
        <v>0</v>
      </c>
      <c r="J44" s="180">
        <v>239408</v>
      </c>
      <c r="K44" s="180"/>
      <c r="L44" s="180">
        <v>8541</v>
      </c>
      <c r="M44" s="180">
        <v>261290</v>
      </c>
      <c r="N44" s="180"/>
      <c r="O44" s="180">
        <v>32388</v>
      </c>
      <c r="P44" s="180">
        <v>0</v>
      </c>
      <c r="Q44" s="180">
        <v>50807</v>
      </c>
      <c r="R44" s="180">
        <v>0</v>
      </c>
      <c r="S44" s="180">
        <v>0</v>
      </c>
      <c r="T44" s="180">
        <v>190803</v>
      </c>
      <c r="U44" s="180">
        <v>0</v>
      </c>
      <c r="V44" s="180">
        <v>119007</v>
      </c>
      <c r="W44" s="180">
        <v>384084</v>
      </c>
      <c r="X44" s="180">
        <v>296935</v>
      </c>
      <c r="Y44" s="180">
        <v>0</v>
      </c>
      <c r="Z44" s="180">
        <v>222042</v>
      </c>
      <c r="AA44" s="180">
        <v>70317</v>
      </c>
      <c r="AB44" s="180">
        <v>0</v>
      </c>
      <c r="AC44" s="180">
        <v>0</v>
      </c>
      <c r="AD44" s="180"/>
      <c r="AE44" s="180">
        <v>0</v>
      </c>
      <c r="AF44" s="180">
        <v>0</v>
      </c>
      <c r="AG44" s="180">
        <v>2139236</v>
      </c>
      <c r="AH44" s="180">
        <v>0</v>
      </c>
      <c r="AI44" s="180">
        <v>117071</v>
      </c>
      <c r="AJ44" s="180">
        <v>0</v>
      </c>
      <c r="AK44" s="180">
        <v>0</v>
      </c>
      <c r="AL44" s="180">
        <v>0</v>
      </c>
      <c r="AM44" s="180">
        <v>571773</v>
      </c>
      <c r="AN44" s="180">
        <v>168309</v>
      </c>
      <c r="AO44" s="180">
        <v>75710</v>
      </c>
      <c r="AP44" s="180">
        <v>3904</v>
      </c>
      <c r="AQ44" s="180">
        <v>0</v>
      </c>
      <c r="AR44" s="180">
        <v>260243</v>
      </c>
      <c r="AS44" s="180">
        <v>13126</v>
      </c>
      <c r="AT44" s="180">
        <v>6064</v>
      </c>
      <c r="AU44" s="180">
        <v>0</v>
      </c>
      <c r="AV44" s="180">
        <v>48782</v>
      </c>
      <c r="AW44" s="180">
        <v>0</v>
      </c>
      <c r="AX44" s="180">
        <v>12224</v>
      </c>
      <c r="AY44" s="180">
        <v>147717</v>
      </c>
      <c r="AZ44" s="180">
        <v>27022</v>
      </c>
      <c r="BA44" s="180">
        <v>7545339</v>
      </c>
      <c r="BB44" s="180">
        <v>0</v>
      </c>
      <c r="BC44" s="180">
        <v>243888</v>
      </c>
      <c r="BD44" s="180">
        <v>0</v>
      </c>
      <c r="BE44" s="180">
        <v>63371</v>
      </c>
      <c r="BF44" s="180">
        <v>0</v>
      </c>
      <c r="BG44" s="180">
        <v>0</v>
      </c>
      <c r="BH44" s="180">
        <v>28734</v>
      </c>
      <c r="BI44" s="180">
        <v>25656</v>
      </c>
      <c r="BJ44" s="180">
        <v>279559</v>
      </c>
      <c r="BK44" s="180">
        <v>0</v>
      </c>
      <c r="BL44" s="180">
        <v>0</v>
      </c>
      <c r="BM44" s="180">
        <v>629798</v>
      </c>
      <c r="BN44" s="180">
        <v>2246698</v>
      </c>
      <c r="BO44" s="180">
        <v>53541</v>
      </c>
      <c r="BP44" s="180">
        <v>0</v>
      </c>
      <c r="BQ44" s="180">
        <v>0</v>
      </c>
      <c r="BR44" s="180">
        <v>0</v>
      </c>
      <c r="BS44" s="180">
        <v>253520</v>
      </c>
      <c r="BT44" s="180">
        <v>0</v>
      </c>
      <c r="BU44" s="180">
        <v>0</v>
      </c>
      <c r="BV44" s="180">
        <v>56872</v>
      </c>
      <c r="BW44" s="180">
        <v>506692</v>
      </c>
      <c r="BX44" s="180"/>
      <c r="BY44" s="180"/>
      <c r="BZ44" s="180">
        <v>571692</v>
      </c>
      <c r="CA44" s="180">
        <v>0</v>
      </c>
      <c r="CB44" s="180"/>
      <c r="CC44" s="180">
        <v>550528</v>
      </c>
      <c r="CD44" s="180">
        <v>23530452</v>
      </c>
      <c r="CE44" s="180">
        <v>1871743</v>
      </c>
      <c r="CF44" s="180">
        <v>0</v>
      </c>
      <c r="CG44" s="180">
        <v>0</v>
      </c>
      <c r="CH44" s="180">
        <v>36632</v>
      </c>
      <c r="CI44" s="180">
        <v>115743</v>
      </c>
      <c r="CJ44" s="180">
        <v>43284326</v>
      </c>
      <c r="CK44" s="180">
        <v>810592</v>
      </c>
      <c r="CL44" s="180">
        <v>69684</v>
      </c>
      <c r="CM44" s="180">
        <v>432932</v>
      </c>
      <c r="CN44" s="180">
        <v>16796</v>
      </c>
      <c r="CO44" s="180">
        <v>189351</v>
      </c>
      <c r="CP44" s="180">
        <v>51530</v>
      </c>
      <c r="CQ44" s="180">
        <v>99903</v>
      </c>
      <c r="CR44" s="180">
        <v>557337</v>
      </c>
      <c r="CS44" s="180">
        <v>554656</v>
      </c>
      <c r="CT44" s="180"/>
      <c r="CU44" s="180"/>
    </row>
    <row r="45" spans="1:99" x14ac:dyDescent="0.3">
      <c r="A45" s="155">
        <v>191</v>
      </c>
      <c r="B45" s="180" t="s">
        <v>224</v>
      </c>
      <c r="C45" s="180"/>
      <c r="D45" s="180">
        <v>0</v>
      </c>
      <c r="E45" s="180">
        <v>0</v>
      </c>
      <c r="F45" s="180">
        <v>436322</v>
      </c>
      <c r="G45" s="180">
        <v>0</v>
      </c>
      <c r="H45" s="180">
        <v>0</v>
      </c>
      <c r="I45" s="180">
        <v>0</v>
      </c>
      <c r="J45" s="180">
        <v>0</v>
      </c>
      <c r="K45" s="180"/>
      <c r="L45" s="180">
        <v>0</v>
      </c>
      <c r="M45" s="180">
        <v>110597</v>
      </c>
      <c r="N45" s="180"/>
      <c r="O45" s="180">
        <v>0</v>
      </c>
      <c r="P45" s="180">
        <v>0</v>
      </c>
      <c r="Q45" s="180">
        <v>0</v>
      </c>
      <c r="R45" s="180">
        <v>0</v>
      </c>
      <c r="S45" s="180">
        <v>0</v>
      </c>
      <c r="T45" s="180">
        <v>0</v>
      </c>
      <c r="U45" s="180">
        <v>0</v>
      </c>
      <c r="V45" s="180">
        <v>0</v>
      </c>
      <c r="W45" s="180">
        <v>0</v>
      </c>
      <c r="X45" s="180">
        <v>0</v>
      </c>
      <c r="Y45" s="180">
        <v>0</v>
      </c>
      <c r="Z45" s="180">
        <v>0</v>
      </c>
      <c r="AA45" s="180">
        <v>0</v>
      </c>
      <c r="AB45" s="180">
        <v>0</v>
      </c>
      <c r="AC45" s="180">
        <v>0</v>
      </c>
      <c r="AD45" s="180"/>
      <c r="AE45" s="180">
        <v>2057270</v>
      </c>
      <c r="AF45" s="180">
        <v>67405</v>
      </c>
      <c r="AG45" s="180">
        <v>566230</v>
      </c>
      <c r="AH45" s="180">
        <v>0</v>
      </c>
      <c r="AI45" s="180">
        <v>0</v>
      </c>
      <c r="AJ45" s="180">
        <v>0</v>
      </c>
      <c r="AK45" s="180">
        <v>603436</v>
      </c>
      <c r="AL45" s="180">
        <v>301608</v>
      </c>
      <c r="AM45" s="180">
        <v>0</v>
      </c>
      <c r="AN45" s="180">
        <v>916669</v>
      </c>
      <c r="AO45" s="180">
        <v>0</v>
      </c>
      <c r="AP45" s="180">
        <v>0</v>
      </c>
      <c r="AQ45" s="180">
        <v>0</v>
      </c>
      <c r="AR45" s="180">
        <v>117881</v>
      </c>
      <c r="AS45" s="180">
        <v>0</v>
      </c>
      <c r="AT45" s="180">
        <v>0</v>
      </c>
      <c r="AU45" s="180">
        <v>0</v>
      </c>
      <c r="AV45" s="180">
        <v>0</v>
      </c>
      <c r="AW45" s="180">
        <v>0</v>
      </c>
      <c r="AX45" s="180">
        <v>0</v>
      </c>
      <c r="AY45" s="180">
        <v>885706</v>
      </c>
      <c r="AZ45" s="180">
        <v>0</v>
      </c>
      <c r="BA45" s="180">
        <v>0</v>
      </c>
      <c r="BB45" s="180">
        <v>0</v>
      </c>
      <c r="BC45" s="180">
        <v>0</v>
      </c>
      <c r="BD45" s="180">
        <v>0</v>
      </c>
      <c r="BE45" s="180">
        <v>25000</v>
      </c>
      <c r="BF45" s="180">
        <v>0</v>
      </c>
      <c r="BG45" s="180">
        <v>79820</v>
      </c>
      <c r="BH45" s="180">
        <v>0</v>
      </c>
      <c r="BI45" s="180">
        <v>982713</v>
      </c>
      <c r="BJ45" s="180">
        <v>221420</v>
      </c>
      <c r="BK45" s="180">
        <v>0</v>
      </c>
      <c r="BL45" s="180">
        <v>0</v>
      </c>
      <c r="BM45" s="180">
        <v>0</v>
      </c>
      <c r="BN45" s="180">
        <v>0</v>
      </c>
      <c r="BO45" s="180">
        <v>0</v>
      </c>
      <c r="BP45" s="180">
        <v>0</v>
      </c>
      <c r="BQ45" s="180">
        <v>0</v>
      </c>
      <c r="BR45" s="180">
        <v>0</v>
      </c>
      <c r="BS45" s="180">
        <v>0</v>
      </c>
      <c r="BT45" s="180">
        <v>0</v>
      </c>
      <c r="BU45" s="180">
        <v>0</v>
      </c>
      <c r="BV45" s="180">
        <v>0</v>
      </c>
      <c r="BW45" s="180">
        <v>0</v>
      </c>
      <c r="BX45" s="180"/>
      <c r="BY45" s="180"/>
      <c r="BZ45" s="180">
        <v>43750</v>
      </c>
      <c r="CA45" s="180">
        <v>0</v>
      </c>
      <c r="CB45" s="180"/>
      <c r="CC45" s="180">
        <v>0</v>
      </c>
      <c r="CD45" s="180">
        <v>0</v>
      </c>
      <c r="CE45" s="180">
        <v>224055</v>
      </c>
      <c r="CF45" s="180">
        <v>0</v>
      </c>
      <c r="CG45" s="180">
        <v>0</v>
      </c>
      <c r="CH45" s="180">
        <v>0</v>
      </c>
      <c r="CI45" s="180">
        <v>0</v>
      </c>
      <c r="CJ45" s="180">
        <v>7059431</v>
      </c>
      <c r="CK45" s="180">
        <v>0</v>
      </c>
      <c r="CL45" s="180">
        <v>0</v>
      </c>
      <c r="CM45" s="180">
        <v>0</v>
      </c>
      <c r="CN45" s="180">
        <v>556877</v>
      </c>
      <c r="CO45" s="180">
        <v>0</v>
      </c>
      <c r="CP45" s="180">
        <v>0</v>
      </c>
      <c r="CQ45" s="180">
        <v>0</v>
      </c>
      <c r="CR45" s="180">
        <v>0</v>
      </c>
      <c r="CS45" s="180">
        <v>0</v>
      </c>
      <c r="CT45" s="180"/>
      <c r="CU45" s="180"/>
    </row>
    <row r="46" spans="1:99" x14ac:dyDescent="0.3">
      <c r="A46" s="155">
        <v>192</v>
      </c>
      <c r="B46" s="180" t="s">
        <v>235</v>
      </c>
      <c r="C46" s="180"/>
      <c r="D46" s="180">
        <v>0</v>
      </c>
      <c r="E46" s="180">
        <v>0</v>
      </c>
      <c r="F46" s="180">
        <v>0</v>
      </c>
      <c r="G46" s="180">
        <v>0</v>
      </c>
      <c r="H46" s="180">
        <v>0</v>
      </c>
      <c r="I46" s="180">
        <v>0</v>
      </c>
      <c r="J46" s="180">
        <v>0</v>
      </c>
      <c r="K46" s="180"/>
      <c r="L46" s="180">
        <v>0</v>
      </c>
      <c r="M46" s="180">
        <v>0</v>
      </c>
      <c r="N46" s="180"/>
      <c r="O46" s="180">
        <v>0</v>
      </c>
      <c r="P46" s="180">
        <v>0</v>
      </c>
      <c r="Q46" s="180">
        <v>0</v>
      </c>
      <c r="R46" s="180">
        <v>0</v>
      </c>
      <c r="S46" s="180">
        <v>0</v>
      </c>
      <c r="T46" s="180">
        <v>0</v>
      </c>
      <c r="U46" s="180">
        <v>0</v>
      </c>
      <c r="V46" s="180">
        <v>0</v>
      </c>
      <c r="W46" s="180">
        <v>0</v>
      </c>
      <c r="X46" s="180">
        <v>0</v>
      </c>
      <c r="Y46" s="180">
        <v>0</v>
      </c>
      <c r="Z46" s="180">
        <v>0</v>
      </c>
      <c r="AA46" s="180">
        <v>0</v>
      </c>
      <c r="AB46" s="180">
        <v>0</v>
      </c>
      <c r="AC46" s="180">
        <v>0</v>
      </c>
      <c r="AD46" s="180"/>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1027947</v>
      </c>
      <c r="BK46" s="180">
        <v>0</v>
      </c>
      <c r="BL46" s="180">
        <v>0</v>
      </c>
      <c r="BM46" s="180">
        <v>0</v>
      </c>
      <c r="BN46" s="180">
        <v>0</v>
      </c>
      <c r="BO46" s="180">
        <v>0</v>
      </c>
      <c r="BP46" s="180">
        <v>0</v>
      </c>
      <c r="BQ46" s="180">
        <v>0</v>
      </c>
      <c r="BR46" s="180">
        <v>0</v>
      </c>
      <c r="BS46" s="180">
        <v>0</v>
      </c>
      <c r="BT46" s="180">
        <v>0</v>
      </c>
      <c r="BU46" s="180">
        <v>0</v>
      </c>
      <c r="BV46" s="180">
        <v>0</v>
      </c>
      <c r="BW46" s="180">
        <v>0</v>
      </c>
      <c r="BX46" s="180"/>
      <c r="BY46" s="180"/>
      <c r="BZ46" s="180">
        <v>0</v>
      </c>
      <c r="CA46" s="180">
        <v>0</v>
      </c>
      <c r="CB46" s="180"/>
      <c r="CC46" s="180">
        <v>0</v>
      </c>
      <c r="CD46" s="180">
        <v>0</v>
      </c>
      <c r="CE46" s="180">
        <v>0</v>
      </c>
      <c r="CF46" s="180">
        <v>0</v>
      </c>
      <c r="CG46" s="180">
        <v>0</v>
      </c>
      <c r="CH46" s="180">
        <v>0</v>
      </c>
      <c r="CI46" s="180">
        <v>0</v>
      </c>
      <c r="CJ46" s="180">
        <v>0</v>
      </c>
      <c r="CK46" s="180">
        <v>0</v>
      </c>
      <c r="CL46" s="180">
        <v>0</v>
      </c>
      <c r="CM46" s="180">
        <v>0</v>
      </c>
      <c r="CN46" s="180">
        <v>0</v>
      </c>
      <c r="CO46" s="180">
        <v>0</v>
      </c>
      <c r="CP46" s="180">
        <v>0</v>
      </c>
      <c r="CQ46" s="180">
        <v>0</v>
      </c>
      <c r="CR46" s="180">
        <v>0</v>
      </c>
      <c r="CS46" s="180">
        <v>0</v>
      </c>
      <c r="CT46" s="180"/>
      <c r="CU46" s="180"/>
    </row>
    <row r="47" spans="1:99" x14ac:dyDescent="0.3">
      <c r="A47" s="155">
        <v>252</v>
      </c>
      <c r="B47" s="180" t="s">
        <v>95</v>
      </c>
      <c r="C47" s="180"/>
      <c r="D47" s="180">
        <v>83013</v>
      </c>
      <c r="E47" s="180">
        <v>4931301</v>
      </c>
      <c r="F47" s="180">
        <v>1326182</v>
      </c>
      <c r="G47" s="180">
        <v>152569</v>
      </c>
      <c r="H47" s="180">
        <v>13138693</v>
      </c>
      <c r="I47" s="180">
        <v>847464</v>
      </c>
      <c r="J47" s="180">
        <v>3554158</v>
      </c>
      <c r="K47" s="180"/>
      <c r="L47" s="180">
        <v>1188525</v>
      </c>
      <c r="M47" s="180">
        <v>43394589</v>
      </c>
      <c r="N47" s="180"/>
      <c r="O47" s="180">
        <v>324830</v>
      </c>
      <c r="P47" s="180">
        <v>2108931</v>
      </c>
      <c r="Q47" s="180">
        <v>1178641</v>
      </c>
      <c r="R47" s="180">
        <v>3881</v>
      </c>
      <c r="S47" s="180">
        <v>235866</v>
      </c>
      <c r="T47" s="180">
        <v>2451566</v>
      </c>
      <c r="U47" s="180">
        <v>7565579</v>
      </c>
      <c r="V47" s="180">
        <v>18142130</v>
      </c>
      <c r="W47" s="180">
        <v>22444360</v>
      </c>
      <c r="X47" s="180">
        <v>5573365</v>
      </c>
      <c r="Y47" s="180">
        <v>343875</v>
      </c>
      <c r="Z47" s="180">
        <v>9266681</v>
      </c>
      <c r="AA47" s="180">
        <v>4089053</v>
      </c>
      <c r="AB47" s="180">
        <v>11041</v>
      </c>
      <c r="AC47" s="180">
        <v>9358907</v>
      </c>
      <c r="AD47" s="180"/>
      <c r="AE47" s="180">
        <v>859242</v>
      </c>
      <c r="AF47" s="180">
        <v>171804</v>
      </c>
      <c r="AG47" s="180">
        <v>9349219</v>
      </c>
      <c r="AH47" s="180">
        <v>1772212</v>
      </c>
      <c r="AI47" s="180">
        <v>6158197</v>
      </c>
      <c r="AJ47" s="180">
        <v>6513219</v>
      </c>
      <c r="AK47" s="180">
        <v>482569</v>
      </c>
      <c r="AL47" s="180">
        <v>2831948</v>
      </c>
      <c r="AM47" s="180">
        <v>8016712</v>
      </c>
      <c r="AN47" s="180">
        <v>5188006</v>
      </c>
      <c r="AO47" s="180">
        <v>3606896</v>
      </c>
      <c r="AP47" s="180">
        <v>49417</v>
      </c>
      <c r="AQ47" s="180">
        <v>78556</v>
      </c>
      <c r="AR47" s="180">
        <v>3326952</v>
      </c>
      <c r="AS47" s="180">
        <v>276073</v>
      </c>
      <c r="AT47" s="180">
        <v>1194031</v>
      </c>
      <c r="AU47" s="180">
        <v>821939</v>
      </c>
      <c r="AV47" s="180">
        <v>289042</v>
      </c>
      <c r="AW47" s="180">
        <v>69916</v>
      </c>
      <c r="AX47" s="180">
        <v>793710</v>
      </c>
      <c r="AY47" s="180">
        <v>5344851</v>
      </c>
      <c r="AZ47" s="180">
        <v>1221549</v>
      </c>
      <c r="BA47" s="180">
        <v>268941397</v>
      </c>
      <c r="BB47" s="180">
        <v>3852172</v>
      </c>
      <c r="BC47" s="180">
        <v>3843899</v>
      </c>
      <c r="BD47" s="180">
        <v>4272063</v>
      </c>
      <c r="BE47" s="180">
        <v>1516616</v>
      </c>
      <c r="BF47" s="180">
        <v>3215288</v>
      </c>
      <c r="BG47" s="180">
        <v>46150</v>
      </c>
      <c r="BH47" s="180">
        <v>323387</v>
      </c>
      <c r="BI47" s="180">
        <v>1493251</v>
      </c>
      <c r="BJ47" s="180">
        <v>16076776</v>
      </c>
      <c r="BK47" s="180">
        <v>158539</v>
      </c>
      <c r="BL47" s="180">
        <v>24225</v>
      </c>
      <c r="BM47" s="180">
        <v>54684324</v>
      </c>
      <c r="BN47" s="180">
        <v>17788052</v>
      </c>
      <c r="BO47" s="180">
        <v>12993922</v>
      </c>
      <c r="BP47" s="180">
        <v>164051</v>
      </c>
      <c r="BQ47" s="180">
        <v>2031597</v>
      </c>
      <c r="BR47" s="180">
        <v>1024181</v>
      </c>
      <c r="BS47" s="180">
        <v>-1966674</v>
      </c>
      <c r="BT47" s="180">
        <v>4678271</v>
      </c>
      <c r="BU47" s="180">
        <v>2343391</v>
      </c>
      <c r="BV47" s="180">
        <v>3552697</v>
      </c>
      <c r="BW47" s="180">
        <v>5606241</v>
      </c>
      <c r="BX47" s="180"/>
      <c r="BY47" s="180"/>
      <c r="BZ47" s="180">
        <v>6287021</v>
      </c>
      <c r="CA47" s="180">
        <v>178679</v>
      </c>
      <c r="CB47" s="180"/>
      <c r="CC47" s="180">
        <v>8020044</v>
      </c>
      <c r="CD47" s="180">
        <v>280909012</v>
      </c>
      <c r="CE47" s="180">
        <v>68338243</v>
      </c>
      <c r="CF47" s="180">
        <v>1025408</v>
      </c>
      <c r="CG47" s="180">
        <v>6334507</v>
      </c>
      <c r="CH47" s="180">
        <v>417376</v>
      </c>
      <c r="CI47" s="180">
        <v>2558349</v>
      </c>
      <c r="CJ47" s="180">
        <v>243224336</v>
      </c>
      <c r="CK47" s="180">
        <v>21945842</v>
      </c>
      <c r="CL47" s="180">
        <v>460387</v>
      </c>
      <c r="CM47" s="180">
        <v>3621155</v>
      </c>
      <c r="CN47" s="180">
        <v>717342</v>
      </c>
      <c r="CO47" s="180">
        <v>15756244</v>
      </c>
      <c r="CP47" s="180">
        <v>5145443</v>
      </c>
      <c r="CQ47" s="180">
        <v>3258439</v>
      </c>
      <c r="CR47" s="180">
        <v>2703463</v>
      </c>
      <c r="CS47" s="180">
        <v>50170091</v>
      </c>
      <c r="CT47" s="180"/>
      <c r="CU47" s="180"/>
    </row>
    <row r="48" spans="1:99" x14ac:dyDescent="0.3">
      <c r="A48" s="155">
        <v>253</v>
      </c>
      <c r="B48" s="180" t="s">
        <v>96</v>
      </c>
      <c r="C48" s="180"/>
      <c r="D48" s="180">
        <v>193543</v>
      </c>
      <c r="E48" s="180">
        <v>598085</v>
      </c>
      <c r="F48" s="180">
        <v>728235</v>
      </c>
      <c r="G48" s="180">
        <v>319386</v>
      </c>
      <c r="H48" s="180">
        <v>6424330</v>
      </c>
      <c r="I48" s="180">
        <v>431297</v>
      </c>
      <c r="J48" s="180">
        <v>1082660</v>
      </c>
      <c r="K48" s="180"/>
      <c r="L48" s="180">
        <v>293668</v>
      </c>
      <c r="M48" s="180">
        <v>9561891</v>
      </c>
      <c r="N48" s="180"/>
      <c r="O48" s="180">
        <v>156226</v>
      </c>
      <c r="P48" s="180">
        <v>92794</v>
      </c>
      <c r="Q48" s="180">
        <v>497230</v>
      </c>
      <c r="R48" s="180">
        <v>62116</v>
      </c>
      <c r="S48" s="180">
        <v>83883</v>
      </c>
      <c r="T48" s="180">
        <v>121481</v>
      </c>
      <c r="U48" s="180">
        <v>192050</v>
      </c>
      <c r="V48" s="180">
        <v>3690753</v>
      </c>
      <c r="W48" s="180">
        <v>10473831</v>
      </c>
      <c r="X48" s="180">
        <v>1079103</v>
      </c>
      <c r="Y48" s="180">
        <v>176763</v>
      </c>
      <c r="Z48" s="180">
        <v>5600036</v>
      </c>
      <c r="AA48" s="180">
        <v>1199466</v>
      </c>
      <c r="AB48" s="180">
        <v>39486</v>
      </c>
      <c r="AC48" s="180">
        <v>3221891</v>
      </c>
      <c r="AD48" s="180"/>
      <c r="AE48" s="180">
        <v>244681</v>
      </c>
      <c r="AF48" s="180">
        <v>153103</v>
      </c>
      <c r="AG48" s="180">
        <v>7269941</v>
      </c>
      <c r="AH48" s="180">
        <v>708829</v>
      </c>
      <c r="AI48" s="180">
        <v>232364</v>
      </c>
      <c r="AJ48" s="180">
        <v>457545</v>
      </c>
      <c r="AK48" s="180">
        <v>24935</v>
      </c>
      <c r="AL48" s="180">
        <v>2927829</v>
      </c>
      <c r="AM48" s="180">
        <v>636539</v>
      </c>
      <c r="AN48" s="180">
        <v>1830354</v>
      </c>
      <c r="AO48" s="180">
        <v>880028</v>
      </c>
      <c r="AP48" s="180">
        <v>169124</v>
      </c>
      <c r="AQ48" s="180">
        <v>114272</v>
      </c>
      <c r="AR48" s="180">
        <v>1013368</v>
      </c>
      <c r="AS48" s="180">
        <v>246640</v>
      </c>
      <c r="AT48" s="180">
        <v>102249</v>
      </c>
      <c r="AU48" s="180">
        <v>45339</v>
      </c>
      <c r="AV48" s="180">
        <v>215777</v>
      </c>
      <c r="AW48" s="180">
        <v>113046</v>
      </c>
      <c r="AX48" s="180">
        <v>176454</v>
      </c>
      <c r="AY48" s="180">
        <v>1289547</v>
      </c>
      <c r="AZ48" s="180">
        <v>154475</v>
      </c>
      <c r="BA48" s="180">
        <v>10647552</v>
      </c>
      <c r="BB48" s="180">
        <v>927253</v>
      </c>
      <c r="BC48" s="180">
        <v>1308680</v>
      </c>
      <c r="BD48" s="180">
        <v>199355</v>
      </c>
      <c r="BE48" s="180">
        <v>182029</v>
      </c>
      <c r="BF48" s="180">
        <v>269573</v>
      </c>
      <c r="BG48" s="180">
        <v>55426</v>
      </c>
      <c r="BH48" s="180">
        <v>243294</v>
      </c>
      <c r="BI48" s="180">
        <v>865984</v>
      </c>
      <c r="BJ48" s="180">
        <v>10032022</v>
      </c>
      <c r="BK48" s="180">
        <v>120310</v>
      </c>
      <c r="BL48" s="180">
        <v>44666</v>
      </c>
      <c r="BM48" s="180">
        <v>9421294</v>
      </c>
      <c r="BN48" s="180">
        <v>3668273</v>
      </c>
      <c r="BO48" s="180">
        <v>1248893</v>
      </c>
      <c r="BP48" s="180">
        <v>15303</v>
      </c>
      <c r="BQ48" s="180">
        <v>740418</v>
      </c>
      <c r="BR48" s="180">
        <v>459882</v>
      </c>
      <c r="BS48" s="180">
        <v>760731</v>
      </c>
      <c r="BT48" s="180">
        <v>484266</v>
      </c>
      <c r="BU48" s="180">
        <v>152365</v>
      </c>
      <c r="BV48" s="180">
        <v>961855</v>
      </c>
      <c r="BW48" s="180">
        <v>426679</v>
      </c>
      <c r="BX48" s="180"/>
      <c r="BY48" s="180"/>
      <c r="BZ48" s="180">
        <v>1417381</v>
      </c>
      <c r="CA48" s="180">
        <v>17904</v>
      </c>
      <c r="CB48" s="180"/>
      <c r="CC48" s="180">
        <v>1229490</v>
      </c>
      <c r="CD48" s="180">
        <v>64217735</v>
      </c>
      <c r="CE48" s="180">
        <v>7265310</v>
      </c>
      <c r="CF48" s="180">
        <v>272427</v>
      </c>
      <c r="CG48" s="180">
        <v>2225288</v>
      </c>
      <c r="CH48" s="180">
        <v>104823</v>
      </c>
      <c r="CI48" s="180">
        <v>465827</v>
      </c>
      <c r="CJ48" s="180">
        <v>144991802</v>
      </c>
      <c r="CK48" s="180">
        <v>1970527</v>
      </c>
      <c r="CL48" s="180">
        <v>163815</v>
      </c>
      <c r="CM48" s="180">
        <v>1804248</v>
      </c>
      <c r="CN48" s="180">
        <v>404957</v>
      </c>
      <c r="CO48" s="180">
        <v>1906509</v>
      </c>
      <c r="CP48" s="180">
        <v>716483</v>
      </c>
      <c r="CQ48" s="180">
        <v>791553</v>
      </c>
      <c r="CR48" s="180">
        <v>504577</v>
      </c>
      <c r="CS48" s="180">
        <v>4886278</v>
      </c>
      <c r="CT48" s="180"/>
      <c r="CU48" s="180"/>
    </row>
    <row r="49" spans="1:99" x14ac:dyDescent="0.3">
      <c r="A49" s="155">
        <v>254</v>
      </c>
      <c r="B49" s="180" t="s">
        <v>97</v>
      </c>
      <c r="C49" s="180"/>
      <c r="D49" s="180">
        <v>720380</v>
      </c>
      <c r="E49" s="180">
        <v>4296890</v>
      </c>
      <c r="F49" s="180">
        <v>-216219</v>
      </c>
      <c r="G49" s="180">
        <v>517515</v>
      </c>
      <c r="H49" s="180">
        <v>9117257</v>
      </c>
      <c r="I49" s="180">
        <v>940876</v>
      </c>
      <c r="J49" s="180">
        <v>192513</v>
      </c>
      <c r="K49" s="180"/>
      <c r="L49" s="180">
        <v>795059</v>
      </c>
      <c r="M49" s="180">
        <v>28783035</v>
      </c>
      <c r="N49" s="180"/>
      <c r="O49" s="180">
        <v>888924</v>
      </c>
      <c r="P49" s="180">
        <v>2889824</v>
      </c>
      <c r="Q49" s="180">
        <v>471492</v>
      </c>
      <c r="R49" s="180">
        <v>273936</v>
      </c>
      <c r="S49" s="180">
        <v>339530</v>
      </c>
      <c r="T49" s="180">
        <v>1028328</v>
      </c>
      <c r="U49" s="180">
        <v>6274762</v>
      </c>
      <c r="V49" s="180">
        <v>2331599</v>
      </c>
      <c r="W49" s="180">
        <v>21008509</v>
      </c>
      <c r="X49" s="180">
        <v>1726460</v>
      </c>
      <c r="Y49" s="180">
        <v>3713484</v>
      </c>
      <c r="Z49" s="180">
        <v>7853571</v>
      </c>
      <c r="AA49" s="180">
        <v>1631998</v>
      </c>
      <c r="AB49" s="180">
        <v>93404</v>
      </c>
      <c r="AC49" s="180">
        <v>-17880080</v>
      </c>
      <c r="AD49" s="180"/>
      <c r="AE49" s="180">
        <v>792275</v>
      </c>
      <c r="AF49" s="180">
        <v>787593</v>
      </c>
      <c r="AG49" s="180">
        <v>1185944</v>
      </c>
      <c r="AH49" s="180">
        <v>1615519</v>
      </c>
      <c r="AI49" s="180">
        <v>11784683</v>
      </c>
      <c r="AJ49" s="180">
        <v>1355670</v>
      </c>
      <c r="AK49" s="180">
        <v>747760</v>
      </c>
      <c r="AL49" s="180">
        <v>7977577</v>
      </c>
      <c r="AM49" s="180">
        <v>3320637</v>
      </c>
      <c r="AN49" s="180">
        <v>-289226</v>
      </c>
      <c r="AO49" s="180">
        <v>863132</v>
      </c>
      <c r="AP49" s="180">
        <v>65708</v>
      </c>
      <c r="AQ49" s="180">
        <v>3407360</v>
      </c>
      <c r="AR49" s="180">
        <v>6726487</v>
      </c>
      <c r="AS49" s="180">
        <v>719674</v>
      </c>
      <c r="AT49" s="180">
        <v>377525</v>
      </c>
      <c r="AU49" s="180">
        <v>1871395</v>
      </c>
      <c r="AV49" s="180">
        <v>614016</v>
      </c>
      <c r="AW49" s="180">
        <v>77524</v>
      </c>
      <c r="AX49" s="180">
        <v>14197</v>
      </c>
      <c r="AY49" s="180">
        <v>-2993549</v>
      </c>
      <c r="AZ49" s="180">
        <v>1189119</v>
      </c>
      <c r="BA49" s="180">
        <v>10762974</v>
      </c>
      <c r="BB49" s="180">
        <v>4976325</v>
      </c>
      <c r="BC49" s="180">
        <v>1091176</v>
      </c>
      <c r="BD49" s="180">
        <v>3856045</v>
      </c>
      <c r="BE49" s="180">
        <v>1427958</v>
      </c>
      <c r="BF49" s="180">
        <v>1831901</v>
      </c>
      <c r="BG49" s="180">
        <v>262707</v>
      </c>
      <c r="BH49" s="180">
        <v>831558</v>
      </c>
      <c r="BI49" s="180">
        <v>2123782</v>
      </c>
      <c r="BJ49" s="180">
        <v>6246211</v>
      </c>
      <c r="BK49" s="180">
        <v>490861</v>
      </c>
      <c r="BL49" s="180">
        <v>305012</v>
      </c>
      <c r="BM49" s="180">
        <v>15200491</v>
      </c>
      <c r="BN49" s="180">
        <v>789457</v>
      </c>
      <c r="BO49" s="180">
        <v>3478152</v>
      </c>
      <c r="BP49" s="180">
        <v>253386</v>
      </c>
      <c r="BQ49" s="180">
        <v>3900498</v>
      </c>
      <c r="BR49" s="180">
        <v>756328</v>
      </c>
      <c r="BS49" s="180">
        <v>13614395</v>
      </c>
      <c r="BT49" s="180">
        <v>2130346</v>
      </c>
      <c r="BU49" s="180">
        <v>1616053</v>
      </c>
      <c r="BV49" s="180">
        <v>1450066</v>
      </c>
      <c r="BW49" s="180">
        <v>3869520</v>
      </c>
      <c r="BX49" s="180"/>
      <c r="BY49" s="180"/>
      <c r="BZ49" s="180">
        <v>-1160878</v>
      </c>
      <c r="CA49" s="180">
        <v>729302</v>
      </c>
      <c r="CB49" s="180"/>
      <c r="CC49" s="180">
        <v>-14669</v>
      </c>
      <c r="CD49" s="180">
        <v>55353740</v>
      </c>
      <c r="CE49" s="180">
        <v>-6678611</v>
      </c>
      <c r="CF49" s="180">
        <v>3293528</v>
      </c>
      <c r="CG49" s="180">
        <v>-181323</v>
      </c>
      <c r="CH49" s="180">
        <v>210176</v>
      </c>
      <c r="CI49" s="180">
        <v>919604</v>
      </c>
      <c r="CJ49" s="180">
        <v>15262516</v>
      </c>
      <c r="CK49" s="180">
        <v>8072204</v>
      </c>
      <c r="CL49" s="180">
        <v>758656</v>
      </c>
      <c r="CM49" s="180">
        <v>803756</v>
      </c>
      <c r="CN49" s="180">
        <v>751520</v>
      </c>
      <c r="CO49" s="180">
        <v>19937842</v>
      </c>
      <c r="CP49" s="180">
        <v>2554091</v>
      </c>
      <c r="CQ49" s="180">
        <v>1617670</v>
      </c>
      <c r="CR49" s="180">
        <v>2866103</v>
      </c>
      <c r="CS49" s="180">
        <v>7231768</v>
      </c>
      <c r="CT49" s="180"/>
      <c r="CU49" s="180"/>
    </row>
    <row r="50" spans="1:99" x14ac:dyDescent="0.3">
      <c r="A50" s="155">
        <v>255</v>
      </c>
      <c r="B50" s="180" t="s">
        <v>188</v>
      </c>
      <c r="C50" s="180"/>
      <c r="D50" s="180">
        <v>110626</v>
      </c>
      <c r="E50" s="180">
        <v>1901835</v>
      </c>
      <c r="F50" s="180">
        <v>222329</v>
      </c>
      <c r="G50" s="180">
        <v>52953</v>
      </c>
      <c r="H50" s="180">
        <v>7631914</v>
      </c>
      <c r="I50" s="180">
        <v>271035</v>
      </c>
      <c r="J50" s="180">
        <v>110005</v>
      </c>
      <c r="K50" s="180"/>
      <c r="L50" s="180">
        <v>52157</v>
      </c>
      <c r="M50" s="180">
        <v>6000892</v>
      </c>
      <c r="N50" s="180"/>
      <c r="O50" s="180">
        <v>242548</v>
      </c>
      <c r="P50" s="180">
        <v>3531</v>
      </c>
      <c r="Q50" s="180">
        <v>596821</v>
      </c>
      <c r="R50" s="180">
        <v>-20820</v>
      </c>
      <c r="S50" s="180">
        <v>-14130</v>
      </c>
      <c r="T50" s="180">
        <v>325579</v>
      </c>
      <c r="U50" s="180">
        <v>-88227</v>
      </c>
      <c r="V50" s="180">
        <v>2713122</v>
      </c>
      <c r="W50" s="180">
        <v>8119678</v>
      </c>
      <c r="X50" s="180">
        <v>205728</v>
      </c>
      <c r="Y50" s="180">
        <v>532055</v>
      </c>
      <c r="Z50" s="180">
        <v>4797951</v>
      </c>
      <c r="AA50" s="180">
        <v>-501869</v>
      </c>
      <c r="AB50" s="180">
        <v>32802</v>
      </c>
      <c r="AC50" s="180">
        <v>-375641</v>
      </c>
      <c r="AD50" s="180"/>
      <c r="AE50" s="180">
        <v>131333</v>
      </c>
      <c r="AF50" s="180">
        <v>108944</v>
      </c>
      <c r="AG50" s="180">
        <v>4479011</v>
      </c>
      <c r="AH50" s="180">
        <v>299629</v>
      </c>
      <c r="AI50" s="180">
        <v>6310595</v>
      </c>
      <c r="AJ50" s="180">
        <v>540437</v>
      </c>
      <c r="AK50" s="180">
        <v>70178</v>
      </c>
      <c r="AL50" s="180">
        <v>781331</v>
      </c>
      <c r="AM50" s="180">
        <v>1568845</v>
      </c>
      <c r="AN50" s="180">
        <v>-100862</v>
      </c>
      <c r="AO50" s="180">
        <v>78106</v>
      </c>
      <c r="AP50" s="180">
        <v>92761</v>
      </c>
      <c r="AQ50" s="180">
        <v>300435</v>
      </c>
      <c r="AR50" s="180">
        <v>1927138</v>
      </c>
      <c r="AS50" s="180">
        <v>-11139</v>
      </c>
      <c r="AT50" s="180">
        <v>12503</v>
      </c>
      <c r="AU50" s="180">
        <v>120841</v>
      </c>
      <c r="AV50" s="180">
        <v>167526</v>
      </c>
      <c r="AW50" s="180">
        <v>15433</v>
      </c>
      <c r="AX50" s="180">
        <v>26846</v>
      </c>
      <c r="AY50" s="180">
        <v>816912</v>
      </c>
      <c r="AZ50" s="180">
        <v>47173</v>
      </c>
      <c r="BA50" s="180">
        <v>38171919</v>
      </c>
      <c r="BB50" s="180">
        <v>417966</v>
      </c>
      <c r="BC50" s="180">
        <v>527790</v>
      </c>
      <c r="BD50" s="180">
        <v>593279</v>
      </c>
      <c r="BE50" s="180">
        <v>291815</v>
      </c>
      <c r="BF50" s="180">
        <v>236465</v>
      </c>
      <c r="BG50" s="180">
        <v>39831</v>
      </c>
      <c r="BH50" s="180">
        <v>76584</v>
      </c>
      <c r="BI50" s="180">
        <v>283874</v>
      </c>
      <c r="BJ50" s="180">
        <v>1821923</v>
      </c>
      <c r="BK50" s="180">
        <v>81697</v>
      </c>
      <c r="BL50" s="180">
        <v>34352</v>
      </c>
      <c r="BM50" s="180">
        <v>5404898</v>
      </c>
      <c r="BN50" s="180">
        <v>1857895</v>
      </c>
      <c r="BO50" s="180">
        <v>1430155</v>
      </c>
      <c r="BP50" s="180">
        <v>61336</v>
      </c>
      <c r="BQ50" s="180">
        <v>729251</v>
      </c>
      <c r="BR50" s="180">
        <v>-272663</v>
      </c>
      <c r="BS50" s="180">
        <v>5464270</v>
      </c>
      <c r="BT50" s="180">
        <v>853073</v>
      </c>
      <c r="BU50" s="180">
        <v>-72795</v>
      </c>
      <c r="BV50" s="180">
        <v>-199691</v>
      </c>
      <c r="BW50" s="180">
        <v>2033021</v>
      </c>
      <c r="BX50" s="180"/>
      <c r="BY50" s="180"/>
      <c r="BZ50" s="180">
        <v>198602</v>
      </c>
      <c r="CA50" s="180">
        <v>121670</v>
      </c>
      <c r="CB50" s="180"/>
      <c r="CC50" s="180">
        <v>592522</v>
      </c>
      <c r="CD50" s="180">
        <v>33315950</v>
      </c>
      <c r="CE50" s="180">
        <v>7761701</v>
      </c>
      <c r="CF50" s="180">
        <v>2312362</v>
      </c>
      <c r="CG50" s="180">
        <v>657463</v>
      </c>
      <c r="CH50" s="180">
        <v>-23157</v>
      </c>
      <c r="CI50" s="180">
        <v>229133</v>
      </c>
      <c r="CJ50" s="180">
        <v>62335708</v>
      </c>
      <c r="CK50" s="180">
        <v>2487038</v>
      </c>
      <c r="CL50" s="180">
        <v>-31514</v>
      </c>
      <c r="CM50" s="180">
        <v>3268442</v>
      </c>
      <c r="CN50" s="180">
        <v>141153</v>
      </c>
      <c r="CO50" s="180">
        <v>7396863</v>
      </c>
      <c r="CP50" s="180">
        <v>487215</v>
      </c>
      <c r="CQ50" s="180">
        <v>584197</v>
      </c>
      <c r="CR50" s="180">
        <v>1600622</v>
      </c>
      <c r="CS50" s="180">
        <v>12597853</v>
      </c>
      <c r="CT50" s="180"/>
      <c r="CU50" s="180"/>
    </row>
    <row r="51" spans="1:99" x14ac:dyDescent="0.3">
      <c r="A51" s="155">
        <v>327</v>
      </c>
      <c r="B51" s="180" t="s">
        <v>920</v>
      </c>
      <c r="C51" s="180"/>
      <c r="D51" s="180">
        <v>0</v>
      </c>
      <c r="E51" s="180">
        <v>0</v>
      </c>
      <c r="F51" s="180">
        <v>24040</v>
      </c>
      <c r="G51" s="180">
        <v>0</v>
      </c>
      <c r="H51" s="180">
        <v>0</v>
      </c>
      <c r="I51" s="180">
        <v>0</v>
      </c>
      <c r="J51" s="180">
        <v>624775</v>
      </c>
      <c r="K51" s="180"/>
      <c r="L51" s="180">
        <v>66250</v>
      </c>
      <c r="M51" s="180">
        <v>1555255</v>
      </c>
      <c r="N51" s="180"/>
      <c r="O51" s="180">
        <v>0</v>
      </c>
      <c r="P51" s="180">
        <v>8500</v>
      </c>
      <c r="Q51" s="180">
        <v>28360</v>
      </c>
      <c r="R51" s="180">
        <v>0</v>
      </c>
      <c r="S51" s="180">
        <v>177409</v>
      </c>
      <c r="T51" s="180">
        <v>0</v>
      </c>
      <c r="U51" s="180">
        <v>0</v>
      </c>
      <c r="V51" s="180">
        <v>0</v>
      </c>
      <c r="W51" s="180">
        <v>5245933</v>
      </c>
      <c r="X51" s="180">
        <v>0</v>
      </c>
      <c r="Y51" s="180">
        <v>12643</v>
      </c>
      <c r="Z51" s="180">
        <v>0</v>
      </c>
      <c r="AA51" s="180">
        <v>41727</v>
      </c>
      <c r="AB51" s="180">
        <v>0</v>
      </c>
      <c r="AC51" s="180">
        <v>427564</v>
      </c>
      <c r="AD51" s="180"/>
      <c r="AE51" s="180">
        <v>0</v>
      </c>
      <c r="AF51" s="180">
        <v>70445</v>
      </c>
      <c r="AG51" s="180">
        <v>390831</v>
      </c>
      <c r="AH51" s="180">
        <v>0</v>
      </c>
      <c r="AI51" s="180">
        <v>1303353</v>
      </c>
      <c r="AJ51" s="180">
        <v>0</v>
      </c>
      <c r="AK51" s="180">
        <v>558695</v>
      </c>
      <c r="AL51" s="180">
        <v>14186</v>
      </c>
      <c r="AM51" s="180">
        <v>148136</v>
      </c>
      <c r="AN51" s="180">
        <v>631356</v>
      </c>
      <c r="AO51" s="180">
        <v>72469</v>
      </c>
      <c r="AP51" s="180">
        <v>3348</v>
      </c>
      <c r="AQ51" s="180">
        <v>0</v>
      </c>
      <c r="AR51" s="180">
        <v>316070</v>
      </c>
      <c r="AS51" s="180">
        <v>43517</v>
      </c>
      <c r="AT51" s="180">
        <v>0</v>
      </c>
      <c r="AU51" s="180">
        <v>0</v>
      </c>
      <c r="AV51" s="180">
        <v>0</v>
      </c>
      <c r="AW51" s="180">
        <v>0</v>
      </c>
      <c r="AX51" s="180">
        <v>25750</v>
      </c>
      <c r="AY51" s="180">
        <v>23052</v>
      </c>
      <c r="AZ51" s="180">
        <v>4375</v>
      </c>
      <c r="BA51" s="180">
        <v>0</v>
      </c>
      <c r="BB51" s="180">
        <v>0</v>
      </c>
      <c r="BC51" s="180">
        <v>57846</v>
      </c>
      <c r="BD51" s="180">
        <v>0</v>
      </c>
      <c r="BE51" s="180">
        <v>235702</v>
      </c>
      <c r="BF51" s="180">
        <v>73084</v>
      </c>
      <c r="BG51" s="180">
        <v>0</v>
      </c>
      <c r="BH51" s="180">
        <v>5250</v>
      </c>
      <c r="BI51" s="180">
        <v>33218</v>
      </c>
      <c r="BJ51" s="180">
        <v>143019</v>
      </c>
      <c r="BK51" s="180">
        <v>0</v>
      </c>
      <c r="BL51" s="180">
        <v>0</v>
      </c>
      <c r="BM51" s="180">
        <v>0</v>
      </c>
      <c r="BN51" s="180">
        <v>1596862</v>
      </c>
      <c r="BO51" s="180">
        <v>146035</v>
      </c>
      <c r="BP51" s="180">
        <v>0</v>
      </c>
      <c r="BQ51" s="180">
        <v>0</v>
      </c>
      <c r="BR51" s="180">
        <v>38500</v>
      </c>
      <c r="BS51" s="180">
        <v>0</v>
      </c>
      <c r="BT51" s="180">
        <v>0</v>
      </c>
      <c r="BU51" s="180">
        <v>0</v>
      </c>
      <c r="BV51" s="180">
        <v>140780</v>
      </c>
      <c r="BW51" s="180">
        <v>0</v>
      </c>
      <c r="BX51" s="180"/>
      <c r="BY51" s="180"/>
      <c r="BZ51" s="180">
        <v>206018</v>
      </c>
      <c r="CA51" s="180">
        <v>0</v>
      </c>
      <c r="CB51" s="180"/>
      <c r="CC51" s="180">
        <v>112022</v>
      </c>
      <c r="CD51" s="180">
        <v>0</v>
      </c>
      <c r="CE51" s="180">
        <v>20413311</v>
      </c>
      <c r="CF51" s="180">
        <v>357356</v>
      </c>
      <c r="CG51" s="180">
        <v>4500</v>
      </c>
      <c r="CH51" s="180">
        <v>0</v>
      </c>
      <c r="CI51" s="180">
        <v>208937</v>
      </c>
      <c r="CJ51" s="180">
        <v>19783010</v>
      </c>
      <c r="CK51" s="180">
        <v>8000</v>
      </c>
      <c r="CL51" s="180">
        <v>131222</v>
      </c>
      <c r="CM51" s="180">
        <v>0</v>
      </c>
      <c r="CN51" s="180">
        <v>102033</v>
      </c>
      <c r="CO51" s="180">
        <v>0</v>
      </c>
      <c r="CP51" s="180">
        <v>982164</v>
      </c>
      <c r="CQ51" s="180">
        <v>19407</v>
      </c>
      <c r="CR51" s="180">
        <v>0</v>
      </c>
      <c r="CS51" s="180">
        <v>0</v>
      </c>
      <c r="CT51" s="180"/>
      <c r="CU51" s="180"/>
    </row>
    <row r="52" spans="1:99" x14ac:dyDescent="0.3">
      <c r="A52" s="155">
        <v>328</v>
      </c>
      <c r="B52" s="180" t="s">
        <v>306</v>
      </c>
      <c r="C52" s="180"/>
      <c r="D52" s="180">
        <v>0</v>
      </c>
      <c r="E52" s="180">
        <v>0</v>
      </c>
      <c r="F52" s="180">
        <v>2397919</v>
      </c>
      <c r="G52" s="180">
        <v>0</v>
      </c>
      <c r="H52" s="180">
        <v>0</v>
      </c>
      <c r="I52" s="180">
        <v>0</v>
      </c>
      <c r="J52" s="180">
        <v>0</v>
      </c>
      <c r="K52" s="180"/>
      <c r="L52" s="180">
        <v>0</v>
      </c>
      <c r="M52" s="180">
        <v>7213480</v>
      </c>
      <c r="N52" s="180"/>
      <c r="O52" s="180">
        <v>0</v>
      </c>
      <c r="P52" s="180">
        <v>0</v>
      </c>
      <c r="Q52" s="180">
        <v>0</v>
      </c>
      <c r="R52" s="180">
        <v>0</v>
      </c>
      <c r="S52" s="180">
        <v>0</v>
      </c>
      <c r="T52" s="180">
        <v>0</v>
      </c>
      <c r="U52" s="180">
        <v>0</v>
      </c>
      <c r="V52" s="180">
        <v>0</v>
      </c>
      <c r="W52" s="180">
        <v>3925088</v>
      </c>
      <c r="X52" s="180">
        <v>0</v>
      </c>
      <c r="Y52" s="180">
        <v>1807952</v>
      </c>
      <c r="Z52" s="180">
        <v>0</v>
      </c>
      <c r="AA52" s="180">
        <v>210596</v>
      </c>
      <c r="AB52" s="180">
        <v>0</v>
      </c>
      <c r="AC52" s="180">
        <v>0</v>
      </c>
      <c r="AD52" s="180"/>
      <c r="AE52" s="180">
        <v>3481279</v>
      </c>
      <c r="AF52" s="180">
        <v>0</v>
      </c>
      <c r="AG52" s="180">
        <v>4064412</v>
      </c>
      <c r="AH52" s="180">
        <v>0</v>
      </c>
      <c r="AI52" s="180">
        <v>0</v>
      </c>
      <c r="AJ52" s="180">
        <v>0</v>
      </c>
      <c r="AK52" s="180">
        <v>603035</v>
      </c>
      <c r="AL52" s="180">
        <v>379073</v>
      </c>
      <c r="AM52" s="180">
        <v>866081</v>
      </c>
      <c r="AN52" s="180">
        <v>1516617</v>
      </c>
      <c r="AO52" s="180">
        <v>166908</v>
      </c>
      <c r="AP52" s="180">
        <v>0</v>
      </c>
      <c r="AQ52" s="180">
        <v>0</v>
      </c>
      <c r="AR52" s="180">
        <v>920630</v>
      </c>
      <c r="AS52" s="180">
        <v>0</v>
      </c>
      <c r="AT52" s="180">
        <v>0</v>
      </c>
      <c r="AU52" s="180">
        <v>0</v>
      </c>
      <c r="AV52" s="180">
        <v>0</v>
      </c>
      <c r="AW52" s="180">
        <v>0</v>
      </c>
      <c r="AX52" s="180">
        <v>0</v>
      </c>
      <c r="AY52" s="180">
        <v>616524</v>
      </c>
      <c r="AZ52" s="180">
        <v>0</v>
      </c>
      <c r="BA52" s="180">
        <v>0</v>
      </c>
      <c r="BB52" s="180">
        <v>0</v>
      </c>
      <c r="BC52" s="180">
        <v>1068444</v>
      </c>
      <c r="BD52" s="180">
        <v>0</v>
      </c>
      <c r="BE52" s="180">
        <v>175108</v>
      </c>
      <c r="BF52" s="180">
        <v>0</v>
      </c>
      <c r="BG52" s="180">
        <v>0</v>
      </c>
      <c r="BH52" s="180">
        <v>2094061</v>
      </c>
      <c r="BI52" s="180">
        <v>4599823</v>
      </c>
      <c r="BJ52" s="180">
        <v>557941</v>
      </c>
      <c r="BK52" s="180">
        <v>0</v>
      </c>
      <c r="BL52" s="180">
        <v>0</v>
      </c>
      <c r="BM52" s="180">
        <v>0</v>
      </c>
      <c r="BN52" s="180">
        <v>1513421</v>
      </c>
      <c r="BO52" s="180">
        <v>354960</v>
      </c>
      <c r="BP52" s="180">
        <v>0</v>
      </c>
      <c r="BQ52" s="180">
        <v>0</v>
      </c>
      <c r="BR52" s="180">
        <v>0</v>
      </c>
      <c r="BS52" s="180">
        <v>0</v>
      </c>
      <c r="BT52" s="180">
        <v>0</v>
      </c>
      <c r="BU52" s="180">
        <v>0</v>
      </c>
      <c r="BV52" s="180">
        <v>0</v>
      </c>
      <c r="BW52" s="180">
        <v>0</v>
      </c>
      <c r="BX52" s="180"/>
      <c r="BY52" s="180"/>
      <c r="BZ52" s="180">
        <v>1191181</v>
      </c>
      <c r="CA52" s="180">
        <v>61929</v>
      </c>
      <c r="CB52" s="180"/>
      <c r="CC52" s="180">
        <v>36816</v>
      </c>
      <c r="CD52" s="180">
        <v>0</v>
      </c>
      <c r="CE52" s="180">
        <v>9580260</v>
      </c>
      <c r="CF52" s="180">
        <v>0</v>
      </c>
      <c r="CG52" s="180">
        <v>983058</v>
      </c>
      <c r="CH52" s="180">
        <v>0</v>
      </c>
      <c r="CI52" s="180">
        <v>0</v>
      </c>
      <c r="CJ52" s="180">
        <v>84690111</v>
      </c>
      <c r="CK52" s="180">
        <v>3740170</v>
      </c>
      <c r="CL52" s="180">
        <v>0</v>
      </c>
      <c r="CM52" s="180">
        <v>0</v>
      </c>
      <c r="CN52" s="180">
        <v>684850</v>
      </c>
      <c r="CO52" s="180">
        <v>643603</v>
      </c>
      <c r="CP52" s="180">
        <v>0</v>
      </c>
      <c r="CQ52" s="180">
        <v>178771</v>
      </c>
      <c r="CR52" s="180">
        <v>0</v>
      </c>
      <c r="CS52" s="180">
        <v>0</v>
      </c>
      <c r="CT52" s="180"/>
      <c r="CU52" s="180"/>
    </row>
    <row r="53" spans="1:99" x14ac:dyDescent="0.3">
      <c r="A53" s="155">
        <v>331</v>
      </c>
      <c r="B53" s="180" t="s">
        <v>238</v>
      </c>
      <c r="C53" s="180"/>
      <c r="D53" s="180">
        <v>0</v>
      </c>
      <c r="E53" s="180">
        <v>0</v>
      </c>
      <c r="F53" s="180">
        <v>51095</v>
      </c>
      <c r="G53" s="180">
        <v>0</v>
      </c>
      <c r="H53" s="180">
        <v>0</v>
      </c>
      <c r="I53" s="180">
        <v>0</v>
      </c>
      <c r="J53" s="180">
        <v>391482</v>
      </c>
      <c r="K53" s="180"/>
      <c r="L53" s="180">
        <v>0</v>
      </c>
      <c r="M53" s="180">
        <v>2471765</v>
      </c>
      <c r="N53" s="180"/>
      <c r="O53" s="180">
        <v>0</v>
      </c>
      <c r="P53" s="180">
        <v>0</v>
      </c>
      <c r="Q53" s="180">
        <v>110393</v>
      </c>
      <c r="R53" s="180">
        <v>0</v>
      </c>
      <c r="S53" s="180">
        <v>13000</v>
      </c>
      <c r="T53" s="180">
        <v>0</v>
      </c>
      <c r="U53" s="180">
        <v>0</v>
      </c>
      <c r="V53" s="180">
        <v>0</v>
      </c>
      <c r="W53" s="180">
        <v>1701057</v>
      </c>
      <c r="X53" s="180">
        <v>0</v>
      </c>
      <c r="Y53" s="180">
        <v>0</v>
      </c>
      <c r="Z53" s="180">
        <v>0</v>
      </c>
      <c r="AA53" s="180">
        <v>174726</v>
      </c>
      <c r="AB53" s="180">
        <v>0</v>
      </c>
      <c r="AC53" s="180">
        <v>29478</v>
      </c>
      <c r="AD53" s="180"/>
      <c r="AE53" s="180">
        <v>19000</v>
      </c>
      <c r="AF53" s="180">
        <v>41247</v>
      </c>
      <c r="AG53" s="180">
        <v>3561948</v>
      </c>
      <c r="AH53" s="180">
        <v>0</v>
      </c>
      <c r="AI53" s="180">
        <v>276179</v>
      </c>
      <c r="AJ53" s="180">
        <v>0</v>
      </c>
      <c r="AK53" s="180">
        <v>0</v>
      </c>
      <c r="AL53" s="180">
        <v>309571</v>
      </c>
      <c r="AM53" s="180">
        <v>213775</v>
      </c>
      <c r="AN53" s="180">
        <v>80477</v>
      </c>
      <c r="AO53" s="180">
        <v>203827</v>
      </c>
      <c r="AP53" s="180">
        <v>3204</v>
      </c>
      <c r="AQ53" s="180">
        <v>0</v>
      </c>
      <c r="AR53" s="180">
        <v>273450</v>
      </c>
      <c r="AS53" s="180">
        <v>78982</v>
      </c>
      <c r="AT53" s="180">
        <v>0</v>
      </c>
      <c r="AU53" s="180">
        <v>0</v>
      </c>
      <c r="AV53" s="180">
        <v>0</v>
      </c>
      <c r="AW53" s="180">
        <v>0</v>
      </c>
      <c r="AX53" s="180">
        <v>12366</v>
      </c>
      <c r="AY53" s="180">
        <v>92461</v>
      </c>
      <c r="AZ53" s="180">
        <v>0</v>
      </c>
      <c r="BA53" s="180">
        <v>0</v>
      </c>
      <c r="BB53" s="180">
        <v>0</v>
      </c>
      <c r="BC53" s="180">
        <v>418169</v>
      </c>
      <c r="BD53" s="180">
        <v>0</v>
      </c>
      <c r="BE53" s="180">
        <v>108684</v>
      </c>
      <c r="BF53" s="180">
        <v>312979</v>
      </c>
      <c r="BG53" s="180">
        <v>8682</v>
      </c>
      <c r="BH53" s="180">
        <v>107430</v>
      </c>
      <c r="BI53" s="180">
        <v>296375</v>
      </c>
      <c r="BJ53" s="180">
        <v>219376</v>
      </c>
      <c r="BK53" s="180">
        <v>0</v>
      </c>
      <c r="BL53" s="180">
        <v>0</v>
      </c>
      <c r="BM53" s="180">
        <v>0</v>
      </c>
      <c r="BN53" s="180">
        <v>95799</v>
      </c>
      <c r="BO53" s="180">
        <v>495891</v>
      </c>
      <c r="BP53" s="180">
        <v>0</v>
      </c>
      <c r="BQ53" s="180">
        <v>0</v>
      </c>
      <c r="BR53" s="180">
        <v>0</v>
      </c>
      <c r="BS53" s="180">
        <v>417049</v>
      </c>
      <c r="BT53" s="180">
        <v>0</v>
      </c>
      <c r="BU53" s="180">
        <v>0</v>
      </c>
      <c r="BV53" s="180">
        <v>122840</v>
      </c>
      <c r="BW53" s="180">
        <v>0</v>
      </c>
      <c r="BX53" s="180"/>
      <c r="BY53" s="180"/>
      <c r="BZ53" s="180">
        <v>546531</v>
      </c>
      <c r="CA53" s="180">
        <v>0</v>
      </c>
      <c r="CB53" s="180"/>
      <c r="CC53" s="180">
        <v>371066</v>
      </c>
      <c r="CD53" s="180">
        <v>0</v>
      </c>
      <c r="CE53" s="180">
        <v>2896349</v>
      </c>
      <c r="CF53" s="180">
        <v>-42000</v>
      </c>
      <c r="CG53" s="180">
        <v>40863</v>
      </c>
      <c r="CH53" s="180">
        <v>56793</v>
      </c>
      <c r="CI53" s="180">
        <v>175833</v>
      </c>
      <c r="CJ53" s="180">
        <v>25196308</v>
      </c>
      <c r="CK53" s="180">
        <v>494787</v>
      </c>
      <c r="CL53" s="180">
        <v>7229</v>
      </c>
      <c r="CM53" s="180">
        <v>0</v>
      </c>
      <c r="CN53" s="180">
        <v>22658</v>
      </c>
      <c r="CO53" s="180">
        <v>0</v>
      </c>
      <c r="CP53" s="180">
        <v>0</v>
      </c>
      <c r="CQ53" s="180">
        <v>151987</v>
      </c>
      <c r="CR53" s="180">
        <v>0</v>
      </c>
      <c r="CS53" s="180">
        <v>0</v>
      </c>
      <c r="CT53" s="180"/>
      <c r="CU53" s="180"/>
    </row>
    <row r="54" spans="1:99" x14ac:dyDescent="0.3">
      <c r="A54" s="155">
        <v>332</v>
      </c>
      <c r="B54" s="180" t="s">
        <v>239</v>
      </c>
      <c r="C54" s="180"/>
      <c r="D54" s="180">
        <v>0</v>
      </c>
      <c r="E54" s="180">
        <v>0</v>
      </c>
      <c r="F54" s="180">
        <v>1842579</v>
      </c>
      <c r="G54" s="180">
        <v>0</v>
      </c>
      <c r="H54" s="180">
        <v>0</v>
      </c>
      <c r="I54" s="180">
        <v>20500</v>
      </c>
      <c r="J54" s="180">
        <v>0</v>
      </c>
      <c r="K54" s="180"/>
      <c r="L54" s="180">
        <v>36385</v>
      </c>
      <c r="M54" s="180">
        <v>4245388</v>
      </c>
      <c r="N54" s="180"/>
      <c r="O54" s="180">
        <v>0</v>
      </c>
      <c r="P54" s="180">
        <v>27533</v>
      </c>
      <c r="Q54" s="180">
        <v>30557</v>
      </c>
      <c r="R54" s="180">
        <v>0</v>
      </c>
      <c r="S54" s="180">
        <v>34567</v>
      </c>
      <c r="T54" s="180">
        <v>0</v>
      </c>
      <c r="U54" s="180">
        <v>0</v>
      </c>
      <c r="V54" s="180">
        <v>0</v>
      </c>
      <c r="W54" s="180">
        <v>3195573</v>
      </c>
      <c r="X54" s="180">
        <v>0</v>
      </c>
      <c r="Y54" s="180">
        <v>540449</v>
      </c>
      <c r="Z54" s="180">
        <v>0</v>
      </c>
      <c r="AA54" s="180">
        <v>1003220</v>
      </c>
      <c r="AB54" s="180">
        <v>0</v>
      </c>
      <c r="AC54" s="180">
        <v>114959</v>
      </c>
      <c r="AD54" s="180"/>
      <c r="AE54" s="180">
        <v>2021356</v>
      </c>
      <c r="AF54" s="180">
        <v>67405</v>
      </c>
      <c r="AG54" s="180">
        <v>4818075</v>
      </c>
      <c r="AH54" s="180">
        <v>0</v>
      </c>
      <c r="AI54" s="180">
        <v>0</v>
      </c>
      <c r="AJ54" s="180">
        <v>0</v>
      </c>
      <c r="AK54" s="180">
        <v>512210</v>
      </c>
      <c r="AL54" s="180">
        <v>270582</v>
      </c>
      <c r="AM54" s="180">
        <v>580232</v>
      </c>
      <c r="AN54" s="180">
        <v>1120104</v>
      </c>
      <c r="AO54" s="180">
        <v>124337</v>
      </c>
      <c r="AP54" s="180">
        <v>0</v>
      </c>
      <c r="AQ54" s="180">
        <v>0</v>
      </c>
      <c r="AR54" s="180">
        <v>1013437</v>
      </c>
      <c r="AS54" s="180">
        <v>12186</v>
      </c>
      <c r="AT54" s="180">
        <v>0</v>
      </c>
      <c r="AU54" s="180">
        <v>0</v>
      </c>
      <c r="AV54" s="180">
        <v>0</v>
      </c>
      <c r="AW54" s="180">
        <v>0</v>
      </c>
      <c r="AX54" s="180">
        <v>0</v>
      </c>
      <c r="AY54" s="180">
        <v>912113</v>
      </c>
      <c r="AZ54" s="180">
        <v>0</v>
      </c>
      <c r="BA54" s="180">
        <v>0</v>
      </c>
      <c r="BB54" s="180">
        <v>0</v>
      </c>
      <c r="BC54" s="180">
        <v>648195</v>
      </c>
      <c r="BD54" s="180">
        <v>0</v>
      </c>
      <c r="BE54" s="180">
        <v>184805</v>
      </c>
      <c r="BF54" s="180">
        <v>19570</v>
      </c>
      <c r="BG54" s="180">
        <v>31077</v>
      </c>
      <c r="BH54" s="180">
        <v>51263</v>
      </c>
      <c r="BI54" s="180">
        <v>1743978</v>
      </c>
      <c r="BJ54" s="180">
        <v>897963</v>
      </c>
      <c r="BK54" s="180">
        <v>0</v>
      </c>
      <c r="BL54" s="180">
        <v>0</v>
      </c>
      <c r="BM54" s="180">
        <v>0</v>
      </c>
      <c r="BN54" s="180">
        <v>1284127</v>
      </c>
      <c r="BO54" s="180">
        <v>431030</v>
      </c>
      <c r="BP54" s="180">
        <v>0</v>
      </c>
      <c r="BQ54" s="180">
        <v>0</v>
      </c>
      <c r="BR54" s="180">
        <v>80518</v>
      </c>
      <c r="BS54" s="180">
        <v>0</v>
      </c>
      <c r="BT54" s="180">
        <v>0</v>
      </c>
      <c r="BU54" s="180">
        <v>0</v>
      </c>
      <c r="BV54" s="180">
        <v>245197</v>
      </c>
      <c r="BW54" s="180">
        <v>0</v>
      </c>
      <c r="BX54" s="180"/>
      <c r="BY54" s="180"/>
      <c r="BZ54" s="180">
        <v>138245</v>
      </c>
      <c r="CA54" s="180">
        <v>0</v>
      </c>
      <c r="CB54" s="180"/>
      <c r="CC54" s="180">
        <v>207865</v>
      </c>
      <c r="CD54" s="180">
        <v>0</v>
      </c>
      <c r="CE54" s="180">
        <v>6060107</v>
      </c>
      <c r="CF54" s="180">
        <v>0</v>
      </c>
      <c r="CG54" s="180">
        <v>1106964</v>
      </c>
      <c r="CH54" s="180">
        <v>21064</v>
      </c>
      <c r="CI54" s="180">
        <v>39802</v>
      </c>
      <c r="CJ54" s="180">
        <v>60775408</v>
      </c>
      <c r="CK54" s="180">
        <v>2697773</v>
      </c>
      <c r="CL54" s="180">
        <v>0</v>
      </c>
      <c r="CM54" s="180">
        <v>0</v>
      </c>
      <c r="CN54" s="180">
        <v>213109</v>
      </c>
      <c r="CO54" s="180">
        <v>638491</v>
      </c>
      <c r="CP54" s="180">
        <v>166090</v>
      </c>
      <c r="CQ54" s="180">
        <v>87600</v>
      </c>
      <c r="CR54" s="180">
        <v>0</v>
      </c>
      <c r="CS54" s="180">
        <v>0</v>
      </c>
      <c r="CT54" s="180"/>
      <c r="CU54" s="180"/>
    </row>
    <row r="55" spans="1:99" x14ac:dyDescent="0.3">
      <c r="A55" s="155">
        <v>333</v>
      </c>
      <c r="B55" s="180" t="s">
        <v>176</v>
      </c>
      <c r="C55" s="180"/>
      <c r="D55" s="180">
        <v>792781</v>
      </c>
      <c r="E55" s="180">
        <v>4505279</v>
      </c>
      <c r="F55" s="180">
        <v>1078032</v>
      </c>
      <c r="G55" s="180">
        <v>569204</v>
      </c>
      <c r="H55" s="180">
        <v>10811343</v>
      </c>
      <c r="I55" s="180">
        <v>1163896</v>
      </c>
      <c r="J55" s="180">
        <v>1422136</v>
      </c>
      <c r="K55" s="180"/>
      <c r="L55" s="180">
        <v>734184</v>
      </c>
      <c r="M55" s="180">
        <v>42938801</v>
      </c>
      <c r="N55" s="180"/>
      <c r="O55" s="180">
        <v>946612</v>
      </c>
      <c r="P55" s="180">
        <v>2896330</v>
      </c>
      <c r="Q55" s="180">
        <v>1143847</v>
      </c>
      <c r="R55" s="180">
        <v>270967</v>
      </c>
      <c r="S55" s="180">
        <v>347112</v>
      </c>
      <c r="T55" s="180">
        <v>1314930</v>
      </c>
      <c r="U55" s="180">
        <v>6648481</v>
      </c>
      <c r="V55" s="180">
        <v>12292323</v>
      </c>
      <c r="W55" s="180">
        <v>26690822</v>
      </c>
      <c r="X55" s="180">
        <v>3781616</v>
      </c>
      <c r="Y55" s="180">
        <v>3535227</v>
      </c>
      <c r="Z55" s="180">
        <v>11054561</v>
      </c>
      <c r="AA55" s="180">
        <v>2194633</v>
      </c>
      <c r="AB55" s="180">
        <v>86280</v>
      </c>
      <c r="AC55" s="180">
        <v>5490125</v>
      </c>
      <c r="AD55" s="180"/>
      <c r="AE55" s="180">
        <v>910243</v>
      </c>
      <c r="AF55" s="180">
        <v>765670</v>
      </c>
      <c r="AG55" s="180">
        <v>19203258</v>
      </c>
      <c r="AH55" s="180">
        <v>1654810</v>
      </c>
      <c r="AI55" s="180">
        <v>12346999</v>
      </c>
      <c r="AJ55" s="180">
        <v>1716990</v>
      </c>
      <c r="AK55" s="180">
        <v>921097</v>
      </c>
      <c r="AL55" s="180">
        <v>8643055</v>
      </c>
      <c r="AM55" s="180">
        <v>4570060</v>
      </c>
      <c r="AN55" s="180">
        <v>1127406</v>
      </c>
      <c r="AO55" s="180">
        <v>1485604</v>
      </c>
      <c r="AP55" s="180">
        <v>68370</v>
      </c>
      <c r="AQ55" s="180">
        <v>3429369</v>
      </c>
      <c r="AR55" s="180">
        <v>8675107</v>
      </c>
      <c r="AS55" s="180">
        <v>866202</v>
      </c>
      <c r="AT55" s="180">
        <v>377476</v>
      </c>
      <c r="AU55" s="180">
        <v>1870853</v>
      </c>
      <c r="AV55" s="180">
        <v>512953</v>
      </c>
      <c r="AW55" s="180">
        <v>79101</v>
      </c>
      <c r="AX55" s="180">
        <v>223063</v>
      </c>
      <c r="AY55" s="180">
        <v>3517045</v>
      </c>
      <c r="AZ55" s="180">
        <v>1217333</v>
      </c>
      <c r="BA55" s="180">
        <v>37178431</v>
      </c>
      <c r="BB55" s="180">
        <v>5127187</v>
      </c>
      <c r="BC55" s="180">
        <v>2295139</v>
      </c>
      <c r="BD55" s="180">
        <v>4162784</v>
      </c>
      <c r="BE55" s="180">
        <v>1489312</v>
      </c>
      <c r="BF55" s="180">
        <v>1942094</v>
      </c>
      <c r="BG55" s="180">
        <v>285349</v>
      </c>
      <c r="BH55" s="180">
        <v>1037063</v>
      </c>
      <c r="BI55" s="180">
        <v>3252844</v>
      </c>
      <c r="BJ55" s="180">
        <v>13217019</v>
      </c>
      <c r="BK55" s="180">
        <v>507668</v>
      </c>
      <c r="BL55" s="180">
        <v>303690</v>
      </c>
      <c r="BM55" s="180">
        <v>17147437</v>
      </c>
      <c r="BN55" s="180">
        <v>11544012</v>
      </c>
      <c r="BO55" s="180">
        <v>6506005</v>
      </c>
      <c r="BP55" s="180">
        <v>257496</v>
      </c>
      <c r="BQ55" s="180">
        <v>4578845</v>
      </c>
      <c r="BR55" s="180">
        <v>1252680</v>
      </c>
      <c r="BS55" s="180">
        <v>11194751</v>
      </c>
      <c r="BT55" s="180">
        <v>2719095</v>
      </c>
      <c r="BU55" s="180">
        <v>1681575</v>
      </c>
      <c r="BV55" s="180">
        <v>1912656</v>
      </c>
      <c r="BW55" s="180">
        <v>4597297</v>
      </c>
      <c r="BX55" s="180"/>
      <c r="BY55" s="180"/>
      <c r="BZ55" s="180">
        <v>2681104</v>
      </c>
      <c r="CA55" s="180">
        <v>735342</v>
      </c>
      <c r="CB55" s="180"/>
      <c r="CC55" s="180">
        <v>5060196</v>
      </c>
      <c r="CD55" s="180">
        <v>165036171</v>
      </c>
      <c r="CE55" s="180">
        <v>54245196</v>
      </c>
      <c r="CF55" s="180">
        <v>1049127</v>
      </c>
      <c r="CG55" s="180">
        <v>2033691</v>
      </c>
      <c r="CH55" s="180">
        <v>213317</v>
      </c>
      <c r="CI55" s="180">
        <v>1511864</v>
      </c>
      <c r="CJ55" s="180">
        <v>212628294</v>
      </c>
      <c r="CK55" s="180">
        <v>12020878</v>
      </c>
      <c r="CL55" s="180">
        <v>989022</v>
      </c>
      <c r="CM55" s="180">
        <v>3898046</v>
      </c>
      <c r="CN55" s="180">
        <v>950409</v>
      </c>
      <c r="CO55" s="180">
        <v>28312441</v>
      </c>
      <c r="CP55" s="180">
        <v>3657191</v>
      </c>
      <c r="CQ55" s="180">
        <v>1672537</v>
      </c>
      <c r="CR55" s="180">
        <v>3828497</v>
      </c>
      <c r="CS55" s="180">
        <v>16759985</v>
      </c>
      <c r="CT55" s="180"/>
      <c r="CU55" s="180"/>
    </row>
    <row r="56" spans="1:99" x14ac:dyDescent="0.3">
      <c r="A56" s="155">
        <v>334</v>
      </c>
      <c r="B56" s="180" t="s">
        <v>261</v>
      </c>
      <c r="C56" s="180"/>
      <c r="D56" s="180">
        <v>92846</v>
      </c>
      <c r="E56" s="180">
        <v>7265498</v>
      </c>
      <c r="F56" s="180">
        <v>5730431</v>
      </c>
      <c r="G56" s="180">
        <v>174113</v>
      </c>
      <c r="H56" s="180">
        <v>45459799</v>
      </c>
      <c r="I56" s="180">
        <v>1933304</v>
      </c>
      <c r="J56" s="180">
        <v>8293428</v>
      </c>
      <c r="K56" s="180"/>
      <c r="L56" s="180">
        <v>2538400</v>
      </c>
      <c r="M56" s="180">
        <v>89380520</v>
      </c>
      <c r="N56" s="180"/>
      <c r="O56" s="180">
        <v>467923</v>
      </c>
      <c r="P56" s="180">
        <v>2502224</v>
      </c>
      <c r="Q56" s="180">
        <v>3163288</v>
      </c>
      <c r="R56" s="180">
        <v>30118</v>
      </c>
      <c r="S56" s="180">
        <v>607980</v>
      </c>
      <c r="T56" s="180">
        <v>5362701</v>
      </c>
      <c r="U56" s="180">
        <v>8591893</v>
      </c>
      <c r="V56" s="180">
        <v>17350196</v>
      </c>
      <c r="W56" s="180">
        <v>20744890</v>
      </c>
      <c r="X56" s="180">
        <v>10438538</v>
      </c>
      <c r="Y56" s="180">
        <v>338029</v>
      </c>
      <c r="Z56" s="180">
        <v>12953269</v>
      </c>
      <c r="AA56" s="180">
        <v>7652534</v>
      </c>
      <c r="AB56" s="180">
        <v>91214</v>
      </c>
      <c r="AC56" s="180">
        <v>73594231</v>
      </c>
      <c r="AD56" s="180"/>
      <c r="AE56" s="180">
        <v>1121084</v>
      </c>
      <c r="AF56" s="180">
        <v>346884</v>
      </c>
      <c r="AG56" s="180">
        <v>46395640</v>
      </c>
      <c r="AH56" s="180">
        <v>2779490</v>
      </c>
      <c r="AI56" s="180">
        <v>3744361</v>
      </c>
      <c r="AJ56" s="180">
        <v>6748922</v>
      </c>
      <c r="AK56" s="180">
        <v>535178</v>
      </c>
      <c r="AL56" s="180">
        <v>3292841</v>
      </c>
      <c r="AM56" s="180">
        <v>10656131</v>
      </c>
      <c r="AN56" s="180">
        <v>7555196</v>
      </c>
      <c r="AO56" s="180">
        <v>6826942</v>
      </c>
      <c r="AP56" s="180">
        <v>130151</v>
      </c>
      <c r="AQ56" s="180">
        <v>121292</v>
      </c>
      <c r="AR56" s="180">
        <v>11038599</v>
      </c>
      <c r="AS56" s="180">
        <v>5634031</v>
      </c>
      <c r="AT56" s="180">
        <v>376672</v>
      </c>
      <c r="AU56" s="180">
        <v>576730</v>
      </c>
      <c r="AV56" s="180">
        <v>1161034</v>
      </c>
      <c r="AW56" s="180">
        <v>234418</v>
      </c>
      <c r="AX56" s="180">
        <v>1351326</v>
      </c>
      <c r="AY56" s="180">
        <v>8902151</v>
      </c>
      <c r="AZ56" s="180">
        <v>2528744</v>
      </c>
      <c r="BA56" s="180">
        <v>328984170</v>
      </c>
      <c r="BB56" s="180">
        <v>4440020</v>
      </c>
      <c r="BC56" s="180">
        <v>9502182</v>
      </c>
      <c r="BD56" s="180">
        <v>4349219</v>
      </c>
      <c r="BE56" s="180">
        <v>1598061</v>
      </c>
      <c r="BF56" s="180">
        <v>7314033</v>
      </c>
      <c r="BG56" s="180">
        <v>127123</v>
      </c>
      <c r="BH56" s="180">
        <v>856847</v>
      </c>
      <c r="BI56" s="180">
        <v>4046113</v>
      </c>
      <c r="BJ56" s="180">
        <v>40797744</v>
      </c>
      <c r="BK56" s="180">
        <v>243409</v>
      </c>
      <c r="BL56" s="180">
        <v>86409</v>
      </c>
      <c r="BM56" s="180">
        <v>87105554</v>
      </c>
      <c r="BN56" s="180">
        <v>62672070</v>
      </c>
      <c r="BO56" s="180">
        <v>20845804</v>
      </c>
      <c r="BP56" s="180">
        <v>340690</v>
      </c>
      <c r="BQ56" s="180">
        <v>1528250</v>
      </c>
      <c r="BR56" s="180">
        <v>4940740</v>
      </c>
      <c r="BS56" s="180">
        <v>11101459</v>
      </c>
      <c r="BT56" s="180">
        <v>4503632</v>
      </c>
      <c r="BU56" s="180">
        <v>2537060</v>
      </c>
      <c r="BV56" s="180">
        <v>7643548</v>
      </c>
      <c r="BW56" s="180">
        <v>9865029</v>
      </c>
      <c r="BX56" s="180"/>
      <c r="BY56" s="180"/>
      <c r="BZ56" s="180">
        <v>17586734</v>
      </c>
      <c r="CA56" s="180">
        <v>359794</v>
      </c>
      <c r="CB56" s="180"/>
      <c r="CC56" s="180">
        <v>24596629</v>
      </c>
      <c r="CD56" s="180">
        <v>614279845</v>
      </c>
      <c r="CE56" s="180">
        <v>132501900</v>
      </c>
      <c r="CF56" s="180">
        <v>1225505</v>
      </c>
      <c r="CG56" s="180">
        <v>9025580</v>
      </c>
      <c r="CH56" s="180">
        <v>1903598</v>
      </c>
      <c r="CI56" s="180">
        <v>6761887</v>
      </c>
      <c r="CJ56" s="180">
        <v>708167339</v>
      </c>
      <c r="CK56" s="180">
        <v>48934692</v>
      </c>
      <c r="CL56" s="180">
        <v>2062243</v>
      </c>
      <c r="CM56" s="180">
        <v>3608870</v>
      </c>
      <c r="CN56" s="180">
        <v>1719641</v>
      </c>
      <c r="CO56" s="180">
        <v>16708636</v>
      </c>
      <c r="CP56" s="180">
        <v>6738221</v>
      </c>
      <c r="CQ56" s="180">
        <v>4537821</v>
      </c>
      <c r="CR56" s="180">
        <v>6490669</v>
      </c>
      <c r="CS56" s="180">
        <v>48156466</v>
      </c>
      <c r="CT56" s="180"/>
      <c r="CU56" s="180"/>
    </row>
    <row r="57" spans="1:99" x14ac:dyDescent="0.3">
      <c r="A57" s="155">
        <v>335</v>
      </c>
      <c r="B57" s="180" t="s">
        <v>109</v>
      </c>
      <c r="C57" s="180"/>
      <c r="D57" s="180">
        <v>0</v>
      </c>
      <c r="E57" s="180">
        <v>0</v>
      </c>
      <c r="F57" s="180">
        <v>0</v>
      </c>
      <c r="G57" s="180">
        <v>0</v>
      </c>
      <c r="H57" s="180">
        <v>1383</v>
      </c>
      <c r="I57" s="180">
        <v>0</v>
      </c>
      <c r="J57" s="180">
        <v>599470</v>
      </c>
      <c r="K57" s="180"/>
      <c r="L57" s="180">
        <v>0</v>
      </c>
      <c r="M57" s="180">
        <v>0</v>
      </c>
      <c r="N57" s="180"/>
      <c r="O57" s="180">
        <v>0</v>
      </c>
      <c r="P57" s="180">
        <v>0</v>
      </c>
      <c r="Q57" s="180">
        <v>0</v>
      </c>
      <c r="R57" s="180">
        <v>0</v>
      </c>
      <c r="S57" s="180">
        <v>0</v>
      </c>
      <c r="T57" s="180">
        <v>31392</v>
      </c>
      <c r="U57" s="180">
        <v>0</v>
      </c>
      <c r="V57" s="180">
        <v>0</v>
      </c>
      <c r="W57" s="180">
        <v>0</v>
      </c>
      <c r="X57" s="180">
        <v>0</v>
      </c>
      <c r="Y57" s="180">
        <v>0</v>
      </c>
      <c r="Z57" s="180">
        <v>0</v>
      </c>
      <c r="AA57" s="180">
        <v>0</v>
      </c>
      <c r="AB57" s="180">
        <v>0</v>
      </c>
      <c r="AC57" s="180">
        <v>0</v>
      </c>
      <c r="AD57" s="180"/>
      <c r="AE57" s="180">
        <v>126155</v>
      </c>
      <c r="AF57" s="180">
        <v>0</v>
      </c>
      <c r="AG57" s="180">
        <v>1841712</v>
      </c>
      <c r="AH57" s="180">
        <v>117785</v>
      </c>
      <c r="AI57" s="180">
        <v>0</v>
      </c>
      <c r="AJ57" s="180">
        <v>840741</v>
      </c>
      <c r="AK57" s="180">
        <v>231065</v>
      </c>
      <c r="AL57" s="180">
        <v>1052658</v>
      </c>
      <c r="AM57" s="180">
        <v>441277</v>
      </c>
      <c r="AN57" s="180">
        <v>287387</v>
      </c>
      <c r="AO57" s="180">
        <v>0</v>
      </c>
      <c r="AP57" s="180">
        <v>0</v>
      </c>
      <c r="AQ57" s="180">
        <v>0</v>
      </c>
      <c r="AR57" s="180">
        <v>0</v>
      </c>
      <c r="AS57" s="180">
        <v>110089</v>
      </c>
      <c r="AT57" s="180">
        <v>0</v>
      </c>
      <c r="AU57" s="180">
        <v>0</v>
      </c>
      <c r="AV57" s="180">
        <v>150000</v>
      </c>
      <c r="AW57" s="180">
        <v>33861</v>
      </c>
      <c r="AX57" s="180">
        <v>0</v>
      </c>
      <c r="AY57" s="180">
        <v>0</v>
      </c>
      <c r="AZ57" s="180">
        <v>0</v>
      </c>
      <c r="BA57" s="180">
        <v>6114366</v>
      </c>
      <c r="BB57" s="180">
        <v>835306</v>
      </c>
      <c r="BC57" s="180">
        <v>0</v>
      </c>
      <c r="BD57" s="180">
        <v>0</v>
      </c>
      <c r="BE57" s="180">
        <v>168898</v>
      </c>
      <c r="BF57" s="180">
        <v>137199</v>
      </c>
      <c r="BG57" s="180">
        <v>0</v>
      </c>
      <c r="BH57" s="180">
        <v>0</v>
      </c>
      <c r="BI57" s="180">
        <v>0</v>
      </c>
      <c r="BJ57" s="180">
        <v>0</v>
      </c>
      <c r="BK57" s="180">
        <v>0</v>
      </c>
      <c r="BL57" s="180">
        <v>0</v>
      </c>
      <c r="BM57" s="180">
        <v>1660135</v>
      </c>
      <c r="BN57" s="180">
        <v>472219</v>
      </c>
      <c r="BO57" s="180">
        <v>641697</v>
      </c>
      <c r="BP57" s="180">
        <v>36563</v>
      </c>
      <c r="BQ57" s="180">
        <v>661107</v>
      </c>
      <c r="BR57" s="180">
        <v>0</v>
      </c>
      <c r="BS57" s="180">
        <v>0</v>
      </c>
      <c r="BT57" s="180">
        <v>0</v>
      </c>
      <c r="BU57" s="180">
        <v>0</v>
      </c>
      <c r="BV57" s="180">
        <v>0</v>
      </c>
      <c r="BW57" s="180">
        <v>0</v>
      </c>
      <c r="BX57" s="180"/>
      <c r="BY57" s="180"/>
      <c r="BZ57" s="180">
        <v>2309443</v>
      </c>
      <c r="CA57" s="180">
        <v>0</v>
      </c>
      <c r="CB57" s="180"/>
      <c r="CC57" s="180">
        <v>828932</v>
      </c>
      <c r="CD57" s="180">
        <v>17223871</v>
      </c>
      <c r="CE57" s="180">
        <v>7769037</v>
      </c>
      <c r="CF57" s="180">
        <v>0</v>
      </c>
      <c r="CG57" s="180">
        <v>0</v>
      </c>
      <c r="CH57" s="180">
        <v>0</v>
      </c>
      <c r="CI57" s="180">
        <v>0</v>
      </c>
      <c r="CJ57" s="180">
        <v>19217377</v>
      </c>
      <c r="CK57" s="180">
        <v>1582492</v>
      </c>
      <c r="CL57" s="180">
        <v>0</v>
      </c>
      <c r="CM57" s="180">
        <v>0</v>
      </c>
      <c r="CN57" s="180">
        <v>92217</v>
      </c>
      <c r="CO57" s="180">
        <v>407296</v>
      </c>
      <c r="CP57" s="180">
        <v>0</v>
      </c>
      <c r="CQ57" s="180">
        <v>0</v>
      </c>
      <c r="CR57" s="180">
        <v>0</v>
      </c>
      <c r="CS57" s="180">
        <v>0</v>
      </c>
      <c r="CT57" s="180"/>
      <c r="CU57" s="180"/>
    </row>
    <row r="58" spans="1:99" x14ac:dyDescent="0.3">
      <c r="A58" s="559">
        <v>336</v>
      </c>
      <c r="B58" s="560" t="s">
        <v>921</v>
      </c>
      <c r="C58" s="560"/>
      <c r="D58" s="560">
        <v>5898</v>
      </c>
      <c r="E58" s="560">
        <v>1562406</v>
      </c>
      <c r="F58" s="560">
        <v>189789</v>
      </c>
      <c r="G58" s="560">
        <v>3867</v>
      </c>
      <c r="H58" s="560">
        <v>714115</v>
      </c>
      <c r="I58" s="560">
        <v>20313</v>
      </c>
      <c r="J58" s="560">
        <v>942667</v>
      </c>
      <c r="K58" s="560"/>
      <c r="L58" s="560">
        <v>45429</v>
      </c>
      <c r="M58" s="560">
        <v>2166311</v>
      </c>
      <c r="N58" s="560"/>
      <c r="O58" s="560">
        <v>61489</v>
      </c>
      <c r="P58" s="560">
        <v>369244</v>
      </c>
      <c r="Q58" s="560">
        <v>388613</v>
      </c>
      <c r="R58" s="560">
        <v>0</v>
      </c>
      <c r="S58" s="560">
        <v>11451</v>
      </c>
      <c r="T58" s="560">
        <v>273164</v>
      </c>
      <c r="U58" s="560">
        <v>216129</v>
      </c>
      <c r="V58" s="560">
        <v>312985</v>
      </c>
      <c r="W58" s="560">
        <v>1173176</v>
      </c>
      <c r="X58" s="560">
        <v>975798</v>
      </c>
      <c r="Y58" s="560">
        <v>16662</v>
      </c>
      <c r="Z58" s="560">
        <v>306786</v>
      </c>
      <c r="AA58" s="560">
        <v>443221</v>
      </c>
      <c r="AB58" s="560">
        <v>8691</v>
      </c>
      <c r="AC58" s="560">
        <v>445210</v>
      </c>
      <c r="AD58" s="560"/>
      <c r="AE58" s="560">
        <v>157086</v>
      </c>
      <c r="AF58" s="560">
        <v>2016</v>
      </c>
      <c r="AG58" s="560">
        <v>5848182</v>
      </c>
      <c r="AH58" s="560">
        <v>141844</v>
      </c>
      <c r="AI58" s="560">
        <v>249481</v>
      </c>
      <c r="AJ58" s="560">
        <v>18600</v>
      </c>
      <c r="AK58" s="560">
        <v>1901</v>
      </c>
      <c r="AL58" s="560">
        <v>1117635</v>
      </c>
      <c r="AM58" s="560">
        <v>1237582</v>
      </c>
      <c r="AN58" s="560">
        <v>563442</v>
      </c>
      <c r="AO58" s="560">
        <v>121556</v>
      </c>
      <c r="AP58" s="560">
        <v>4715</v>
      </c>
      <c r="AQ58" s="560">
        <v>36006</v>
      </c>
      <c r="AR58" s="560">
        <v>78166</v>
      </c>
      <c r="AS58" s="560">
        <v>175448</v>
      </c>
      <c r="AT58" s="560">
        <v>8414</v>
      </c>
      <c r="AU58" s="560">
        <v>0</v>
      </c>
      <c r="AV58" s="560">
        <v>219702</v>
      </c>
      <c r="AW58" s="560">
        <v>3218</v>
      </c>
      <c r="AX58" s="560">
        <v>14183</v>
      </c>
      <c r="AY58" s="560">
        <v>434739</v>
      </c>
      <c r="AZ58" s="560">
        <v>12946</v>
      </c>
      <c r="BA58" s="560">
        <v>12522502</v>
      </c>
      <c r="BB58" s="560">
        <v>978762</v>
      </c>
      <c r="BC58" s="560">
        <v>354849</v>
      </c>
      <c r="BD58" s="560">
        <v>0</v>
      </c>
      <c r="BE58" s="560">
        <v>214802</v>
      </c>
      <c r="BF58" s="560">
        <v>188051</v>
      </c>
      <c r="BG58" s="560">
        <v>33007</v>
      </c>
      <c r="BH58" s="560">
        <v>266099</v>
      </c>
      <c r="BI58" s="560">
        <v>628919</v>
      </c>
      <c r="BJ58" s="560">
        <v>2306821</v>
      </c>
      <c r="BK58" s="560">
        <v>77407</v>
      </c>
      <c r="BL58" s="560">
        <v>0</v>
      </c>
      <c r="BM58" s="560">
        <v>2343061</v>
      </c>
      <c r="BN58" s="560">
        <v>2462248</v>
      </c>
      <c r="BO58" s="560">
        <v>519081</v>
      </c>
      <c r="BP58" s="560">
        <v>40810</v>
      </c>
      <c r="BQ58" s="560">
        <v>754150</v>
      </c>
      <c r="BR58" s="560">
        <v>109117</v>
      </c>
      <c r="BS58">
        <v>3714112</v>
      </c>
      <c r="BT58">
        <v>358428</v>
      </c>
      <c r="BU58">
        <v>339423</v>
      </c>
      <c r="BV58">
        <v>149013</v>
      </c>
      <c r="BW58">
        <v>199075</v>
      </c>
      <c r="BZ58">
        <v>3237341</v>
      </c>
      <c r="CA58">
        <v>8446</v>
      </c>
      <c r="CC58">
        <v>1753079</v>
      </c>
      <c r="CD58">
        <v>48742407</v>
      </c>
      <c r="CE58">
        <v>17046944</v>
      </c>
      <c r="CF58">
        <v>9672</v>
      </c>
      <c r="CG58">
        <v>203548</v>
      </c>
      <c r="CH58">
        <v>58280</v>
      </c>
      <c r="CI58">
        <v>226136</v>
      </c>
      <c r="CJ58">
        <v>77630939</v>
      </c>
      <c r="CK58">
        <v>1212145</v>
      </c>
      <c r="CL58">
        <v>195519</v>
      </c>
      <c r="CM58">
        <v>189507</v>
      </c>
      <c r="CN58">
        <v>132059</v>
      </c>
      <c r="CO58">
        <v>1159050</v>
      </c>
      <c r="CP58">
        <v>622553</v>
      </c>
      <c r="CQ58">
        <v>503182</v>
      </c>
      <c r="CR58">
        <v>362275</v>
      </c>
      <c r="CS58">
        <v>2029806</v>
      </c>
    </row>
    <row r="59" spans="1:99" x14ac:dyDescent="0.3">
      <c r="A59" s="155">
        <v>337</v>
      </c>
      <c r="B59" s="180" t="s">
        <v>245</v>
      </c>
      <c r="C59" s="180"/>
      <c r="D59" s="180">
        <v>0</v>
      </c>
      <c r="E59" s="180">
        <v>1666838</v>
      </c>
      <c r="F59" s="180">
        <v>784787</v>
      </c>
      <c r="G59" s="180">
        <v>0</v>
      </c>
      <c r="H59" s="180">
        <v>2042600</v>
      </c>
      <c r="I59" s="180">
        <v>0</v>
      </c>
      <c r="J59" s="180">
        <v>1016279</v>
      </c>
      <c r="K59" s="180"/>
      <c r="L59" s="180">
        <v>64605</v>
      </c>
      <c r="M59" s="180">
        <v>1142707</v>
      </c>
      <c r="N59" s="180"/>
      <c r="O59" s="180">
        <v>278563</v>
      </c>
      <c r="P59" s="180">
        <v>0</v>
      </c>
      <c r="Q59" s="180">
        <v>252358</v>
      </c>
      <c r="R59" s="180">
        <v>0</v>
      </c>
      <c r="S59" s="180">
        <v>0</v>
      </c>
      <c r="T59" s="180">
        <v>789166</v>
      </c>
      <c r="U59" s="180">
        <v>0</v>
      </c>
      <c r="V59" s="180">
        <v>0</v>
      </c>
      <c r="W59" s="180">
        <v>456210</v>
      </c>
      <c r="X59" s="180">
        <v>1160449</v>
      </c>
      <c r="Y59" s="180">
        <v>0</v>
      </c>
      <c r="Z59" s="180">
        <v>311044</v>
      </c>
      <c r="AA59" s="180">
        <v>68090</v>
      </c>
      <c r="AB59" s="180">
        <v>0</v>
      </c>
      <c r="AC59" s="180">
        <v>0</v>
      </c>
      <c r="AD59" s="180"/>
      <c r="AE59" s="180">
        <v>0</v>
      </c>
      <c r="AF59" s="180">
        <v>0</v>
      </c>
      <c r="AG59" s="180">
        <v>19357924</v>
      </c>
      <c r="AH59" s="180">
        <v>0</v>
      </c>
      <c r="AI59" s="180">
        <v>357397</v>
      </c>
      <c r="AJ59" s="180">
        <v>0</v>
      </c>
      <c r="AK59" s="180">
        <v>0</v>
      </c>
      <c r="AL59" s="180">
        <v>0</v>
      </c>
      <c r="AM59" s="180">
        <v>3060144</v>
      </c>
      <c r="AN59" s="180">
        <v>1129185</v>
      </c>
      <c r="AO59" s="180">
        <v>67787</v>
      </c>
      <c r="AP59" s="180">
        <v>0</v>
      </c>
      <c r="AQ59" s="180">
        <v>0</v>
      </c>
      <c r="AR59" s="180">
        <v>299411</v>
      </c>
      <c r="AS59" s="180">
        <v>24508</v>
      </c>
      <c r="AT59" s="180">
        <v>56077</v>
      </c>
      <c r="AU59" s="180">
        <v>0</v>
      </c>
      <c r="AV59" s="180">
        <v>403170</v>
      </c>
      <c r="AW59" s="180">
        <v>0</v>
      </c>
      <c r="AX59" s="180">
        <v>33235</v>
      </c>
      <c r="AY59" s="180">
        <v>1541206</v>
      </c>
      <c r="AZ59" s="180">
        <v>415522</v>
      </c>
      <c r="BA59" s="180">
        <v>41692160</v>
      </c>
      <c r="BB59" s="180">
        <v>0</v>
      </c>
      <c r="BC59" s="180">
        <v>1205665</v>
      </c>
      <c r="BD59" s="180">
        <v>0</v>
      </c>
      <c r="BE59" s="180">
        <v>0</v>
      </c>
      <c r="BF59" s="180">
        <v>0</v>
      </c>
      <c r="BG59" s="180">
        <v>0</v>
      </c>
      <c r="BH59" s="180">
        <v>54802</v>
      </c>
      <c r="BI59" s="180">
        <v>71219</v>
      </c>
      <c r="BJ59" s="180">
        <v>8313108</v>
      </c>
      <c r="BK59" s="180">
        <v>0</v>
      </c>
      <c r="BL59" s="180">
        <v>0</v>
      </c>
      <c r="BM59" s="180">
        <v>3687558</v>
      </c>
      <c r="BN59" s="180">
        <v>5044522</v>
      </c>
      <c r="BO59" s="180">
        <v>49922</v>
      </c>
      <c r="BP59" s="180">
        <v>0</v>
      </c>
      <c r="BQ59" s="180">
        <v>0</v>
      </c>
      <c r="BR59" s="180">
        <v>0</v>
      </c>
      <c r="BS59">
        <v>12968171</v>
      </c>
      <c r="BT59">
        <v>237759</v>
      </c>
      <c r="BU59">
        <v>0</v>
      </c>
      <c r="BV59">
        <v>61749</v>
      </c>
      <c r="BW59">
        <v>2346872</v>
      </c>
      <c r="BZ59">
        <v>3318170</v>
      </c>
      <c r="CA59">
        <v>0</v>
      </c>
      <c r="CC59">
        <v>4775646</v>
      </c>
      <c r="CD59">
        <v>223320550</v>
      </c>
      <c r="CE59">
        <v>16709452</v>
      </c>
      <c r="CF59">
        <v>0</v>
      </c>
      <c r="CG59">
        <v>0</v>
      </c>
      <c r="CH59">
        <v>212208</v>
      </c>
      <c r="CI59">
        <v>2364083</v>
      </c>
      <c r="CJ59">
        <v>371718533</v>
      </c>
      <c r="CK59">
        <v>2751793</v>
      </c>
      <c r="CL59">
        <v>187338</v>
      </c>
      <c r="CM59">
        <v>3373798</v>
      </c>
      <c r="CN59">
        <v>104939</v>
      </c>
      <c r="CO59">
        <v>739990</v>
      </c>
      <c r="CP59">
        <v>93334</v>
      </c>
      <c r="CQ59">
        <v>0</v>
      </c>
      <c r="CR59">
        <v>0</v>
      </c>
      <c r="CS59">
        <v>2844254</v>
      </c>
    </row>
    <row r="60" spans="1:99" x14ac:dyDescent="0.3">
      <c r="A60" s="563">
        <v>338</v>
      </c>
      <c r="B60" s="564" t="s">
        <v>108</v>
      </c>
      <c r="C60" s="564"/>
      <c r="D60" s="564">
        <v>73462</v>
      </c>
      <c r="E60" s="564">
        <v>3078649</v>
      </c>
      <c r="F60" s="564">
        <v>3100115</v>
      </c>
      <c r="G60" s="564">
        <v>55790</v>
      </c>
      <c r="H60" s="564">
        <v>4670648</v>
      </c>
      <c r="I60" s="564">
        <v>428260</v>
      </c>
      <c r="J60" s="564">
        <v>3186820</v>
      </c>
      <c r="K60" s="564"/>
      <c r="L60" s="564">
        <v>425625</v>
      </c>
      <c r="M60" s="564">
        <v>26325866</v>
      </c>
      <c r="N60" s="564"/>
      <c r="O60" s="564">
        <v>383066</v>
      </c>
      <c r="P60" s="564">
        <v>373557</v>
      </c>
      <c r="Q60" s="564">
        <v>1091897</v>
      </c>
      <c r="R60" s="564">
        <v>0</v>
      </c>
      <c r="S60" s="564">
        <v>26222</v>
      </c>
      <c r="T60" s="564">
        <v>1488525</v>
      </c>
      <c r="U60" s="564">
        <v>1270642</v>
      </c>
      <c r="V60" s="564">
        <v>10871083</v>
      </c>
      <c r="W60" s="564">
        <v>5401500</v>
      </c>
      <c r="X60" s="564">
        <v>10737445</v>
      </c>
      <c r="Y60" s="564">
        <v>16662</v>
      </c>
      <c r="Z60" s="564">
        <v>3461191</v>
      </c>
      <c r="AA60" s="564">
        <v>4285238</v>
      </c>
      <c r="AB60" s="564">
        <v>8691</v>
      </c>
      <c r="AC60" s="564">
        <v>28881437</v>
      </c>
      <c r="AD60" s="564"/>
      <c r="AE60" s="564">
        <v>446482</v>
      </c>
      <c r="AF60" s="564">
        <v>29327</v>
      </c>
      <c r="AG60" s="564">
        <v>45559883</v>
      </c>
      <c r="AH60" s="564">
        <v>201750</v>
      </c>
      <c r="AI60" s="564">
        <v>2420884</v>
      </c>
      <c r="AJ60" s="564">
        <v>1485384</v>
      </c>
      <c r="AK60" s="564">
        <v>442110</v>
      </c>
      <c r="AL60" s="564">
        <v>1266633</v>
      </c>
      <c r="AM60" s="564">
        <v>5680542</v>
      </c>
      <c r="AN60" s="564">
        <v>2925755</v>
      </c>
      <c r="AO60" s="564">
        <v>1233075</v>
      </c>
      <c r="AP60" s="564">
        <v>57615</v>
      </c>
      <c r="AQ60" s="564">
        <v>56119</v>
      </c>
      <c r="AR60" s="564">
        <v>6052849</v>
      </c>
      <c r="AS60" s="564">
        <v>418603</v>
      </c>
      <c r="AT60" s="564">
        <v>99691</v>
      </c>
      <c r="AU60" s="564">
        <v>143012</v>
      </c>
      <c r="AV60" s="564">
        <v>819547</v>
      </c>
      <c r="AW60" s="564">
        <v>37827</v>
      </c>
      <c r="AX60" s="564">
        <v>449904</v>
      </c>
      <c r="AY60" s="564">
        <v>10806278</v>
      </c>
      <c r="AZ60" s="564">
        <v>660289</v>
      </c>
      <c r="BA60" s="564">
        <v>88422364</v>
      </c>
      <c r="BB60" s="564">
        <v>1050734</v>
      </c>
      <c r="BC60" s="564">
        <v>2914068</v>
      </c>
      <c r="BD60" s="564">
        <v>363630</v>
      </c>
      <c r="BE60" s="564">
        <v>299981</v>
      </c>
      <c r="BF60" s="564">
        <v>391107</v>
      </c>
      <c r="BG60" s="564">
        <v>39212</v>
      </c>
      <c r="BH60" s="564">
        <v>990551</v>
      </c>
      <c r="BI60" s="564">
        <v>2093877</v>
      </c>
      <c r="BJ60" s="564">
        <v>22249294</v>
      </c>
      <c r="BK60" s="564">
        <v>128829</v>
      </c>
      <c r="BL60" s="564">
        <v>0</v>
      </c>
      <c r="BM60" s="564">
        <v>8905642</v>
      </c>
      <c r="BN60" s="564">
        <v>20942255</v>
      </c>
      <c r="BO60" s="564">
        <v>6124276</v>
      </c>
      <c r="BP60" s="564">
        <v>40810</v>
      </c>
      <c r="BQ60" s="564">
        <v>854785</v>
      </c>
      <c r="BR60" s="564">
        <v>1223419</v>
      </c>
      <c r="BS60">
        <v>25213509</v>
      </c>
      <c r="BT60">
        <v>566607</v>
      </c>
      <c r="BU60">
        <v>378231</v>
      </c>
      <c r="BV60">
        <v>864214</v>
      </c>
      <c r="BW60">
        <v>3549750</v>
      </c>
      <c r="BZ60">
        <v>11943420</v>
      </c>
      <c r="CA60">
        <v>8446</v>
      </c>
      <c r="CC60">
        <v>13581522</v>
      </c>
      <c r="CD60">
        <v>403191647</v>
      </c>
      <c r="CE60">
        <v>110048173</v>
      </c>
      <c r="CF60">
        <v>445508</v>
      </c>
      <c r="CG60">
        <v>3403435</v>
      </c>
      <c r="CH60">
        <v>295106</v>
      </c>
      <c r="CI60">
        <v>9058510</v>
      </c>
      <c r="CJ60">
        <v>567153132</v>
      </c>
      <c r="CK60">
        <v>11366484</v>
      </c>
      <c r="CL60">
        <v>459496</v>
      </c>
      <c r="CM60">
        <v>8206924</v>
      </c>
      <c r="CN60">
        <v>300472</v>
      </c>
      <c r="CO60">
        <v>11780455</v>
      </c>
      <c r="CP60">
        <v>2079384</v>
      </c>
      <c r="CQ60">
        <v>834828</v>
      </c>
      <c r="CR60">
        <v>4158491</v>
      </c>
      <c r="CS60">
        <v>15908261</v>
      </c>
    </row>
    <row r="61" spans="1:99" x14ac:dyDescent="0.3">
      <c r="A61" s="155">
        <v>339</v>
      </c>
      <c r="B61" s="180" t="s">
        <v>181</v>
      </c>
      <c r="C61" s="180"/>
      <c r="D61" s="180">
        <v>5434</v>
      </c>
      <c r="E61" s="180">
        <v>86495</v>
      </c>
      <c r="F61" s="180">
        <v>620098</v>
      </c>
      <c r="G61" s="180">
        <v>645</v>
      </c>
      <c r="H61" s="180">
        <v>184777</v>
      </c>
      <c r="I61" s="180">
        <v>12044</v>
      </c>
      <c r="J61" s="180">
        <v>365066</v>
      </c>
      <c r="K61" s="180"/>
      <c r="L61" s="180">
        <v>39090</v>
      </c>
      <c r="M61" s="180">
        <v>3901358</v>
      </c>
      <c r="N61" s="180"/>
      <c r="O61" s="180">
        <v>45682</v>
      </c>
      <c r="P61" s="180">
        <v>43508</v>
      </c>
      <c r="Q61" s="180">
        <v>145434</v>
      </c>
      <c r="R61" s="180">
        <v>0</v>
      </c>
      <c r="S61" s="180">
        <v>40941</v>
      </c>
      <c r="T61" s="180">
        <v>33322</v>
      </c>
      <c r="U61" s="180">
        <v>74586</v>
      </c>
      <c r="V61" s="180">
        <v>3693980</v>
      </c>
      <c r="W61" s="180">
        <v>3821999</v>
      </c>
      <c r="X61" s="180">
        <v>437882</v>
      </c>
      <c r="Y61" s="180">
        <v>7825</v>
      </c>
      <c r="Z61" s="180">
        <v>40435</v>
      </c>
      <c r="AA61" s="180">
        <v>172044</v>
      </c>
      <c r="AB61" s="180">
        <v>1600</v>
      </c>
      <c r="AC61" s="180">
        <v>938366</v>
      </c>
      <c r="AD61" s="180"/>
      <c r="AE61" s="180">
        <v>113264</v>
      </c>
      <c r="AF61" s="180">
        <v>56239</v>
      </c>
      <c r="AG61" s="180">
        <v>1967837</v>
      </c>
      <c r="AH61" s="180">
        <v>21790</v>
      </c>
      <c r="AI61" s="180">
        <v>702787</v>
      </c>
      <c r="AJ61" s="180">
        <v>15521</v>
      </c>
      <c r="AK61" s="180">
        <v>9400</v>
      </c>
      <c r="AL61" s="180">
        <v>507555</v>
      </c>
      <c r="AM61" s="180">
        <v>598841</v>
      </c>
      <c r="AN61" s="180">
        <v>298013</v>
      </c>
      <c r="AO61" s="180">
        <v>76347</v>
      </c>
      <c r="AP61" s="180">
        <v>27680</v>
      </c>
      <c r="AQ61" s="180">
        <v>9301</v>
      </c>
      <c r="AR61" s="180">
        <v>738023</v>
      </c>
      <c r="AS61" s="180">
        <v>140025</v>
      </c>
      <c r="AT61" s="180">
        <v>28817</v>
      </c>
      <c r="AU61" s="180">
        <v>0</v>
      </c>
      <c r="AV61" s="180">
        <v>101699</v>
      </c>
      <c r="AW61" s="180">
        <v>0</v>
      </c>
      <c r="AX61" s="180">
        <v>0</v>
      </c>
      <c r="AY61" s="180">
        <v>380492</v>
      </c>
      <c r="AZ61" s="180">
        <v>59190</v>
      </c>
      <c r="BA61" s="180">
        <v>13682136</v>
      </c>
      <c r="BB61" s="180">
        <v>0</v>
      </c>
      <c r="BC61" s="180">
        <v>904311</v>
      </c>
      <c r="BD61" s="180">
        <v>0</v>
      </c>
      <c r="BE61" s="180">
        <v>97825</v>
      </c>
      <c r="BF61" s="180">
        <v>15025</v>
      </c>
      <c r="BG61" s="180">
        <v>37163</v>
      </c>
      <c r="BH61" s="180">
        <v>287976</v>
      </c>
      <c r="BI61" s="180">
        <v>668933</v>
      </c>
      <c r="BJ61" s="180">
        <v>2037600</v>
      </c>
      <c r="BK61" s="180">
        <v>450</v>
      </c>
      <c r="BL61" s="180">
        <v>50</v>
      </c>
      <c r="BM61" s="180">
        <v>1106492</v>
      </c>
      <c r="BN61" s="180">
        <v>1993042</v>
      </c>
      <c r="BO61" s="180">
        <v>33259</v>
      </c>
      <c r="BP61" s="180">
        <v>9000</v>
      </c>
      <c r="BQ61" s="180">
        <v>61901</v>
      </c>
      <c r="BR61" s="180">
        <v>165966</v>
      </c>
      <c r="BS61" s="180">
        <v>6607375</v>
      </c>
      <c r="BT61" s="180">
        <v>0</v>
      </c>
      <c r="BU61" s="180">
        <v>35375</v>
      </c>
      <c r="BV61" s="180">
        <v>32278</v>
      </c>
      <c r="BW61" s="180">
        <v>49950</v>
      </c>
      <c r="BX61" s="180"/>
      <c r="BY61" s="180"/>
      <c r="BZ61" s="180">
        <v>116503</v>
      </c>
      <c r="CA61" s="180">
        <v>0</v>
      </c>
      <c r="CB61" s="180"/>
      <c r="CC61" s="180">
        <v>907851</v>
      </c>
      <c r="CD61" s="180">
        <v>9971519</v>
      </c>
      <c r="CE61" s="180">
        <v>8200963</v>
      </c>
      <c r="CF61" s="180">
        <v>68277</v>
      </c>
      <c r="CG61" s="180">
        <v>669186</v>
      </c>
      <c r="CH61" s="180">
        <v>72461</v>
      </c>
      <c r="CI61" s="180">
        <v>563244</v>
      </c>
      <c r="CJ61" s="180">
        <v>30016951</v>
      </c>
      <c r="CK61" s="180">
        <v>1085683</v>
      </c>
      <c r="CL61" s="180">
        <v>0</v>
      </c>
      <c r="CM61" s="180">
        <v>61220</v>
      </c>
      <c r="CN61" s="180">
        <v>19764</v>
      </c>
      <c r="CO61" s="180">
        <v>9614032</v>
      </c>
      <c r="CP61" s="180">
        <v>1859</v>
      </c>
      <c r="CQ61" s="180">
        <v>54223</v>
      </c>
      <c r="CR61" s="180">
        <v>376942</v>
      </c>
      <c r="CS61" s="180">
        <v>4041990</v>
      </c>
      <c r="CT61" s="180"/>
      <c r="CU61" s="180"/>
    </row>
    <row r="62" spans="1:99" x14ac:dyDescent="0.3">
      <c r="A62" s="155">
        <v>341</v>
      </c>
      <c r="B62" s="180" t="s">
        <v>922</v>
      </c>
      <c r="C62" s="180"/>
      <c r="D62" s="180">
        <v>269788</v>
      </c>
      <c r="E62" s="180">
        <v>4352934</v>
      </c>
      <c r="F62" s="180">
        <v>2896471</v>
      </c>
      <c r="G62" s="180">
        <v>172402</v>
      </c>
      <c r="H62" s="180">
        <v>7508662</v>
      </c>
      <c r="I62" s="180">
        <v>1225884</v>
      </c>
      <c r="J62" s="180">
        <v>3103160</v>
      </c>
      <c r="K62" s="180"/>
      <c r="L62" s="180">
        <v>673987</v>
      </c>
      <c r="M62" s="180">
        <v>33462837</v>
      </c>
      <c r="N62" s="180"/>
      <c r="O62" s="180">
        <v>706487</v>
      </c>
      <c r="P62" s="180">
        <v>353677</v>
      </c>
      <c r="Q62" s="180">
        <v>1377631</v>
      </c>
      <c r="R62" s="180">
        <v>63238</v>
      </c>
      <c r="S62" s="180">
        <v>218239</v>
      </c>
      <c r="T62" s="180">
        <v>2085376</v>
      </c>
      <c r="U62" s="180">
        <v>1424281</v>
      </c>
      <c r="V62" s="180">
        <v>6181991</v>
      </c>
      <c r="W62" s="180">
        <v>13765882</v>
      </c>
      <c r="X62" s="180">
        <v>3668396</v>
      </c>
      <c r="Y62" s="180">
        <v>930864</v>
      </c>
      <c r="Z62" s="180">
        <v>4206142</v>
      </c>
      <c r="AA62" s="180">
        <v>4987579</v>
      </c>
      <c r="AB62" s="180">
        <v>47169</v>
      </c>
      <c r="AC62" s="180">
        <v>8387569</v>
      </c>
      <c r="AD62" s="180"/>
      <c r="AE62" s="180">
        <v>941417</v>
      </c>
      <c r="AF62" s="180">
        <v>369954</v>
      </c>
      <c r="AG62" s="180">
        <v>27602207</v>
      </c>
      <c r="AH62" s="180">
        <v>595588</v>
      </c>
      <c r="AI62" s="180">
        <v>4776112</v>
      </c>
      <c r="AJ62" s="180">
        <v>1845946</v>
      </c>
      <c r="AK62" s="180">
        <v>145174</v>
      </c>
      <c r="AL62" s="180">
        <v>3346149</v>
      </c>
      <c r="AM62" s="180">
        <v>5251186</v>
      </c>
      <c r="AN62" s="180">
        <v>2715793</v>
      </c>
      <c r="AO62" s="180">
        <v>2813765</v>
      </c>
      <c r="AP62" s="180">
        <v>30089</v>
      </c>
      <c r="AQ62" s="180">
        <v>469076</v>
      </c>
      <c r="AR62" s="180">
        <v>4603289</v>
      </c>
      <c r="AS62" s="180">
        <v>562836</v>
      </c>
      <c r="AT62" s="180">
        <v>91472</v>
      </c>
      <c r="AU62" s="180">
        <v>289360</v>
      </c>
      <c r="AV62" s="180">
        <v>1009807</v>
      </c>
      <c r="AW62" s="180">
        <v>69238</v>
      </c>
      <c r="AX62" s="180">
        <v>348282</v>
      </c>
      <c r="AY62" s="180">
        <v>4427584</v>
      </c>
      <c r="AZ62" s="180">
        <v>336161</v>
      </c>
      <c r="BA62" s="180">
        <v>54352774</v>
      </c>
      <c r="BB62" s="180">
        <v>2102788</v>
      </c>
      <c r="BC62" s="180">
        <v>3481107</v>
      </c>
      <c r="BD62" s="180">
        <v>1287555</v>
      </c>
      <c r="BE62" s="180">
        <v>1042779</v>
      </c>
      <c r="BF62" s="180">
        <v>1463173</v>
      </c>
      <c r="BG62" s="180">
        <v>199708</v>
      </c>
      <c r="BH62" s="180">
        <v>923761</v>
      </c>
      <c r="BI62" s="180">
        <v>2544426</v>
      </c>
      <c r="BJ62" s="180">
        <v>11299480</v>
      </c>
      <c r="BK62" s="180">
        <v>336968</v>
      </c>
      <c r="BL62" s="180">
        <v>109905</v>
      </c>
      <c r="BM62" s="180">
        <v>17644447</v>
      </c>
      <c r="BN62" s="180">
        <v>12592323</v>
      </c>
      <c r="BO62" s="180">
        <v>8597843</v>
      </c>
      <c r="BP62" s="180">
        <v>159501</v>
      </c>
      <c r="BQ62" s="180">
        <v>2643669</v>
      </c>
      <c r="BR62" s="180">
        <v>1078781</v>
      </c>
      <c r="BS62">
        <v>8612955</v>
      </c>
      <c r="BT62" s="180">
        <v>1491576</v>
      </c>
      <c r="BU62" s="180">
        <v>646855</v>
      </c>
      <c r="BV62" s="180">
        <v>2270963</v>
      </c>
      <c r="BW62" s="180">
        <v>5367659</v>
      </c>
      <c r="BX62" s="180"/>
      <c r="BY62" s="180"/>
      <c r="BZ62" s="180">
        <v>5096149</v>
      </c>
      <c r="CA62" s="180">
        <v>240558</v>
      </c>
      <c r="CB62" s="180"/>
      <c r="CC62" s="180">
        <v>5684641</v>
      </c>
      <c r="CD62" s="180">
        <v>144097901</v>
      </c>
      <c r="CE62" s="180">
        <v>45678551</v>
      </c>
      <c r="CF62" s="180">
        <v>1627118</v>
      </c>
      <c r="CG62" s="180">
        <v>1528597</v>
      </c>
      <c r="CH62" s="180">
        <v>567656</v>
      </c>
      <c r="CI62" s="180">
        <v>1187078</v>
      </c>
      <c r="CJ62" s="180">
        <v>234752643</v>
      </c>
      <c r="CK62" s="180">
        <v>8567937</v>
      </c>
      <c r="CL62" s="180">
        <v>424949</v>
      </c>
      <c r="CM62" s="180">
        <v>5979414</v>
      </c>
      <c r="CN62" s="180">
        <v>500022</v>
      </c>
      <c r="CO62" s="180">
        <v>7486543</v>
      </c>
      <c r="CP62" s="180">
        <v>3101670</v>
      </c>
      <c r="CQ62" s="180">
        <v>1071582</v>
      </c>
      <c r="CR62" s="180">
        <v>3428567</v>
      </c>
      <c r="CS62" s="180">
        <v>11553579</v>
      </c>
      <c r="CT62" s="180"/>
      <c r="CU62" s="180"/>
    </row>
    <row r="63" spans="1:99" x14ac:dyDescent="0.3">
      <c r="A63" s="155">
        <v>343</v>
      </c>
      <c r="B63" s="180" t="s">
        <v>246</v>
      </c>
      <c r="C63" s="180"/>
      <c r="D63" s="180">
        <v>0</v>
      </c>
      <c r="E63" s="180">
        <v>305810</v>
      </c>
      <c r="F63" s="180">
        <v>121540</v>
      </c>
      <c r="G63" s="180">
        <v>0</v>
      </c>
      <c r="H63" s="180">
        <v>291800</v>
      </c>
      <c r="I63" s="180">
        <v>0</v>
      </c>
      <c r="J63" s="180">
        <v>235486</v>
      </c>
      <c r="K63" s="180"/>
      <c r="L63" s="180">
        <v>5982</v>
      </c>
      <c r="M63" s="180">
        <v>225780</v>
      </c>
      <c r="N63" s="180"/>
      <c r="O63" s="180">
        <v>29462</v>
      </c>
      <c r="P63" s="180">
        <v>0</v>
      </c>
      <c r="Q63" s="180">
        <v>41616</v>
      </c>
      <c r="R63" s="180">
        <v>0</v>
      </c>
      <c r="S63" s="180">
        <v>0</v>
      </c>
      <c r="T63" s="180">
        <v>165000</v>
      </c>
      <c r="U63" s="180">
        <v>0</v>
      </c>
      <c r="V63" s="180">
        <v>102001</v>
      </c>
      <c r="W63" s="180">
        <v>379432</v>
      </c>
      <c r="X63" s="180">
        <v>294278</v>
      </c>
      <c r="Y63" s="180">
        <v>0</v>
      </c>
      <c r="Z63" s="180">
        <v>210422</v>
      </c>
      <c r="AA63" s="180">
        <v>67609</v>
      </c>
      <c r="AB63" s="180">
        <v>0</v>
      </c>
      <c r="AC63" s="180">
        <v>0</v>
      </c>
      <c r="AD63" s="180"/>
      <c r="AE63" s="180">
        <v>0</v>
      </c>
      <c r="AF63" s="180">
        <v>0</v>
      </c>
      <c r="AG63" s="180">
        <v>1580361</v>
      </c>
      <c r="AH63" s="180">
        <v>0</v>
      </c>
      <c r="AI63" s="180">
        <v>113663</v>
      </c>
      <c r="AJ63" s="180">
        <v>0</v>
      </c>
      <c r="AK63" s="180">
        <v>0</v>
      </c>
      <c r="AL63" s="180">
        <v>0</v>
      </c>
      <c r="AM63" s="180">
        <v>509047</v>
      </c>
      <c r="AN63" s="180">
        <v>123057</v>
      </c>
      <c r="AO63" s="180">
        <v>72166</v>
      </c>
      <c r="AP63" s="180">
        <v>0</v>
      </c>
      <c r="AQ63" s="180">
        <v>0</v>
      </c>
      <c r="AR63" s="180">
        <v>161693</v>
      </c>
      <c r="AS63" s="180">
        <v>11363</v>
      </c>
      <c r="AT63" s="180">
        <v>3530</v>
      </c>
      <c r="AU63" s="180">
        <v>0</v>
      </c>
      <c r="AV63" s="180">
        <v>41021</v>
      </c>
      <c r="AW63" s="180">
        <v>0</v>
      </c>
      <c r="AX63" s="180">
        <v>10445</v>
      </c>
      <c r="AY63" s="180">
        <v>121130</v>
      </c>
      <c r="AZ63" s="180">
        <v>9453</v>
      </c>
      <c r="BA63" s="180">
        <v>3967753</v>
      </c>
      <c r="BB63" s="180">
        <v>0</v>
      </c>
      <c r="BC63" s="180">
        <v>219756</v>
      </c>
      <c r="BD63" s="180">
        <v>0</v>
      </c>
      <c r="BE63" s="180">
        <v>61448</v>
      </c>
      <c r="BF63" s="180">
        <v>312979</v>
      </c>
      <c r="BG63" s="180">
        <v>0</v>
      </c>
      <c r="BH63" s="180">
        <v>26752</v>
      </c>
      <c r="BI63" s="180">
        <v>24125</v>
      </c>
      <c r="BJ63" s="180">
        <v>252396</v>
      </c>
      <c r="BK63" s="180">
        <v>0</v>
      </c>
      <c r="BL63" s="180">
        <v>0</v>
      </c>
      <c r="BM63" s="180">
        <v>547748</v>
      </c>
      <c r="BN63" s="180">
        <v>3029370</v>
      </c>
      <c r="BO63" s="180">
        <v>48771</v>
      </c>
      <c r="BP63" s="180">
        <v>0</v>
      </c>
      <c r="BQ63" s="180">
        <v>0</v>
      </c>
      <c r="BR63" s="180">
        <v>0</v>
      </c>
      <c r="BS63" s="180">
        <v>205500</v>
      </c>
      <c r="BT63" s="180">
        <v>103841</v>
      </c>
      <c r="BU63" s="180">
        <v>0</v>
      </c>
      <c r="BV63" s="180">
        <v>57843</v>
      </c>
      <c r="BW63" s="180">
        <v>422481</v>
      </c>
      <c r="BX63" s="180"/>
      <c r="BY63" s="180"/>
      <c r="BZ63" s="180">
        <v>469897</v>
      </c>
      <c r="CA63" s="180">
        <v>0</v>
      </c>
      <c r="CB63" s="180"/>
      <c r="CC63" s="180">
        <v>418169</v>
      </c>
      <c r="CD63" s="180">
        <v>17096408</v>
      </c>
      <c r="CE63" s="180">
        <v>1544036</v>
      </c>
      <c r="CF63" s="180">
        <v>0</v>
      </c>
      <c r="CG63" s="180">
        <v>0</v>
      </c>
      <c r="CH63" s="180">
        <v>26609</v>
      </c>
      <c r="CI63" s="180">
        <v>64071</v>
      </c>
      <c r="CJ63" s="180">
        <v>36128900</v>
      </c>
      <c r="CK63" s="180">
        <v>723182</v>
      </c>
      <c r="CL63" s="180">
        <v>60660</v>
      </c>
      <c r="CM63" s="180">
        <v>385662</v>
      </c>
      <c r="CN63" s="180">
        <v>13117</v>
      </c>
      <c r="CO63" s="180">
        <v>174986</v>
      </c>
      <c r="CP63" s="180">
        <v>46666</v>
      </c>
      <c r="CQ63" s="180">
        <v>98493</v>
      </c>
      <c r="CR63" s="180">
        <v>0</v>
      </c>
      <c r="CS63" s="180">
        <v>146316</v>
      </c>
      <c r="CT63" s="180"/>
      <c r="CU63" s="180"/>
    </row>
    <row r="64" spans="1:99" x14ac:dyDescent="0.3">
      <c r="A64" s="155">
        <v>344</v>
      </c>
      <c r="B64" s="180" t="s">
        <v>179</v>
      </c>
      <c r="C64" s="180"/>
      <c r="D64" s="180">
        <v>0</v>
      </c>
      <c r="E64" s="180">
        <v>48685</v>
      </c>
      <c r="F64" s="180">
        <v>28098</v>
      </c>
      <c r="G64" s="180">
        <v>0</v>
      </c>
      <c r="H64" s="180">
        <v>77181</v>
      </c>
      <c r="I64" s="180">
        <v>0</v>
      </c>
      <c r="J64" s="180">
        <v>25811</v>
      </c>
      <c r="K64" s="180"/>
      <c r="L64" s="180">
        <v>2369</v>
      </c>
      <c r="M64" s="180">
        <v>37839</v>
      </c>
      <c r="N64" s="180"/>
      <c r="O64" s="180">
        <v>4930</v>
      </c>
      <c r="P64" s="180">
        <v>0</v>
      </c>
      <c r="Q64" s="180">
        <v>9191</v>
      </c>
      <c r="R64" s="180">
        <v>0</v>
      </c>
      <c r="S64" s="180">
        <v>0</v>
      </c>
      <c r="T64" s="180">
        <v>23325</v>
      </c>
      <c r="U64" s="180">
        <v>0</v>
      </c>
      <c r="V64" s="180">
        <v>19021</v>
      </c>
      <c r="W64" s="180">
        <v>34393</v>
      </c>
      <c r="X64" s="180">
        <v>2657</v>
      </c>
      <c r="Y64" s="180">
        <v>0</v>
      </c>
      <c r="Z64" s="180">
        <v>10787</v>
      </c>
      <c r="AA64" s="180">
        <v>2708</v>
      </c>
      <c r="AB64" s="180">
        <v>0</v>
      </c>
      <c r="AC64" s="180">
        <v>0</v>
      </c>
      <c r="AD64" s="180"/>
      <c r="AE64" s="180">
        <v>0</v>
      </c>
      <c r="AF64" s="180">
        <v>0</v>
      </c>
      <c r="AG64" s="180">
        <v>558888</v>
      </c>
      <c r="AH64" s="180">
        <v>0</v>
      </c>
      <c r="AI64" s="180">
        <v>558</v>
      </c>
      <c r="AJ64" s="180">
        <v>0</v>
      </c>
      <c r="AK64" s="180">
        <v>0</v>
      </c>
      <c r="AL64" s="180">
        <v>0</v>
      </c>
      <c r="AM64" s="180">
        <v>70205</v>
      </c>
      <c r="AN64" s="180">
        <v>43143</v>
      </c>
      <c r="AO64" s="180">
        <v>2275</v>
      </c>
      <c r="AP64" s="180">
        <v>0</v>
      </c>
      <c r="AQ64" s="180">
        <v>0</v>
      </c>
      <c r="AR64" s="180">
        <v>98549</v>
      </c>
      <c r="AS64" s="180">
        <v>1243</v>
      </c>
      <c r="AT64" s="180">
        <v>2385</v>
      </c>
      <c r="AU64" s="180">
        <v>0</v>
      </c>
      <c r="AV64" s="180">
        <v>7761</v>
      </c>
      <c r="AW64" s="180">
        <v>0</v>
      </c>
      <c r="AX64" s="180">
        <v>1779</v>
      </c>
      <c r="AY64" s="180">
        <v>26109</v>
      </c>
      <c r="AZ64" s="180">
        <v>17569</v>
      </c>
      <c r="BA64" s="180">
        <v>1160705</v>
      </c>
      <c r="BB64" s="180">
        <v>0</v>
      </c>
      <c r="BC64" s="180">
        <v>28799</v>
      </c>
      <c r="BD64" s="180">
        <v>0</v>
      </c>
      <c r="BE64" s="180">
        <v>1923</v>
      </c>
      <c r="BF64" s="180">
        <v>0</v>
      </c>
      <c r="BG64" s="180">
        <v>0</v>
      </c>
      <c r="BH64" s="180">
        <v>1982</v>
      </c>
      <c r="BI64" s="180">
        <v>1531</v>
      </c>
      <c r="BJ64" s="180">
        <v>34984</v>
      </c>
      <c r="BK64" s="180">
        <v>0</v>
      </c>
      <c r="BL64" s="180">
        <v>0</v>
      </c>
      <c r="BM64" s="180">
        <v>73146</v>
      </c>
      <c r="BN64" s="180">
        <v>95262</v>
      </c>
      <c r="BO64" s="180">
        <v>3817</v>
      </c>
      <c r="BP64" s="180">
        <v>0</v>
      </c>
      <c r="BQ64" s="180">
        <v>0</v>
      </c>
      <c r="BR64" s="180">
        <v>0</v>
      </c>
      <c r="BS64" s="180">
        <v>48020</v>
      </c>
      <c r="BT64" s="180">
        <v>7123</v>
      </c>
      <c r="BU64" s="180">
        <v>0</v>
      </c>
      <c r="BV64" s="180">
        <v>3416</v>
      </c>
      <c r="BW64" s="180">
        <v>81716</v>
      </c>
      <c r="BX64" s="180"/>
      <c r="BY64" s="180"/>
      <c r="BZ64" s="180">
        <v>102277</v>
      </c>
      <c r="CA64" s="180">
        <v>0</v>
      </c>
      <c r="CB64" s="180"/>
      <c r="CC64" s="180">
        <v>113680</v>
      </c>
      <c r="CD64" s="180">
        <v>7737500</v>
      </c>
      <c r="CE64" s="180">
        <v>410811</v>
      </c>
      <c r="CF64" s="180">
        <v>4507</v>
      </c>
      <c r="CG64" s="180">
        <v>0</v>
      </c>
      <c r="CH64" s="180">
        <v>10023</v>
      </c>
      <c r="CI64" s="180">
        <v>60205</v>
      </c>
      <c r="CJ64" s="180">
        <v>10157490</v>
      </c>
      <c r="CK64" s="180">
        <v>80641</v>
      </c>
      <c r="CL64" s="180">
        <v>9025</v>
      </c>
      <c r="CM64" s="180">
        <v>57770</v>
      </c>
      <c r="CN64" s="180">
        <v>3679</v>
      </c>
      <c r="CO64" s="180">
        <v>14365</v>
      </c>
      <c r="CP64" s="180">
        <v>4088</v>
      </c>
      <c r="CQ64" s="180">
        <v>0</v>
      </c>
      <c r="CR64" s="180">
        <v>20222</v>
      </c>
      <c r="CS64" s="180">
        <v>103839</v>
      </c>
      <c r="CT64" s="180"/>
      <c r="CU64" s="180"/>
    </row>
    <row r="65" spans="1:99" x14ac:dyDescent="0.3">
      <c r="A65" s="155">
        <v>349</v>
      </c>
      <c r="B65" s="180" t="s">
        <v>114</v>
      </c>
      <c r="C65" s="180"/>
      <c r="D65" s="180">
        <v>0</v>
      </c>
      <c r="E65" s="180">
        <v>0</v>
      </c>
      <c r="F65" s="180">
        <v>1804620</v>
      </c>
      <c r="G65" s="180">
        <v>0</v>
      </c>
      <c r="H65" s="180">
        <v>0</v>
      </c>
      <c r="I65" s="180">
        <v>62766</v>
      </c>
      <c r="J65" s="180">
        <v>5203508</v>
      </c>
      <c r="K65" s="180"/>
      <c r="L65" s="180">
        <v>201627</v>
      </c>
      <c r="M65" s="180">
        <v>31157915</v>
      </c>
      <c r="N65" s="180"/>
      <c r="O65" s="180">
        <v>0</v>
      </c>
      <c r="P65" s="180">
        <v>70346</v>
      </c>
      <c r="Q65" s="180">
        <v>1059189</v>
      </c>
      <c r="R65" s="180">
        <v>0</v>
      </c>
      <c r="S65" s="180">
        <v>523805</v>
      </c>
      <c r="T65" s="180">
        <v>0</v>
      </c>
      <c r="U65" s="180">
        <v>0</v>
      </c>
      <c r="V65" s="180">
        <v>0</v>
      </c>
      <c r="W65" s="180">
        <v>13864069</v>
      </c>
      <c r="X65" s="180">
        <v>0</v>
      </c>
      <c r="Y65" s="180">
        <v>146894</v>
      </c>
      <c r="Z65" s="180">
        <v>0</v>
      </c>
      <c r="AA65" s="180">
        <v>1957487</v>
      </c>
      <c r="AB65" s="180">
        <v>0</v>
      </c>
      <c r="AC65" s="180">
        <v>5584240</v>
      </c>
      <c r="AD65" s="180"/>
      <c r="AE65" s="180">
        <v>1336232</v>
      </c>
      <c r="AF65" s="180">
        <v>297073</v>
      </c>
      <c r="AG65" s="180">
        <v>37974313</v>
      </c>
      <c r="AH65" s="180">
        <v>0</v>
      </c>
      <c r="AI65" s="180">
        <v>2668030</v>
      </c>
      <c r="AJ65" s="180">
        <v>0</v>
      </c>
      <c r="AK65" s="180">
        <v>131397</v>
      </c>
      <c r="AL65" s="180">
        <v>13913219</v>
      </c>
      <c r="AM65" s="180">
        <v>2757086</v>
      </c>
      <c r="AN65" s="180">
        <v>1051384</v>
      </c>
      <c r="AO65" s="180">
        <v>2891096</v>
      </c>
      <c r="AP65" s="180">
        <v>8281</v>
      </c>
      <c r="AQ65" s="180">
        <v>0</v>
      </c>
      <c r="AR65" s="180">
        <v>6729399</v>
      </c>
      <c r="AS65" s="180">
        <v>989910</v>
      </c>
      <c r="AT65" s="180">
        <v>0</v>
      </c>
      <c r="AU65" s="180">
        <v>0</v>
      </c>
      <c r="AV65" s="180">
        <v>0</v>
      </c>
      <c r="AW65" s="180">
        <v>0</v>
      </c>
      <c r="AX65" s="180">
        <v>141216</v>
      </c>
      <c r="AY65" s="180">
        <v>3423207</v>
      </c>
      <c r="AZ65" s="180">
        <v>48059</v>
      </c>
      <c r="BA65" s="180">
        <v>0</v>
      </c>
      <c r="BB65" s="180">
        <v>0</v>
      </c>
      <c r="BC65" s="180">
        <v>5068795</v>
      </c>
      <c r="BD65" s="180">
        <v>0</v>
      </c>
      <c r="BE65" s="180">
        <v>510939</v>
      </c>
      <c r="BF65" s="180">
        <v>164958</v>
      </c>
      <c r="BG65" s="180">
        <v>243197</v>
      </c>
      <c r="BH65" s="180">
        <v>3413987</v>
      </c>
      <c r="BI65" s="180">
        <v>5602162</v>
      </c>
      <c r="BJ65" s="180">
        <v>3754251</v>
      </c>
      <c r="BK65" s="180">
        <v>0</v>
      </c>
      <c r="BL65" s="180">
        <v>0</v>
      </c>
      <c r="BM65" s="180">
        <v>0</v>
      </c>
      <c r="BN65" s="180">
        <v>3461524</v>
      </c>
      <c r="BO65" s="180">
        <v>4481968</v>
      </c>
      <c r="BP65" s="180">
        <v>0</v>
      </c>
      <c r="BQ65" s="180">
        <v>0</v>
      </c>
      <c r="BR65" s="180">
        <v>473700</v>
      </c>
      <c r="BS65" s="180">
        <v>381886</v>
      </c>
      <c r="BT65" s="180">
        <v>0</v>
      </c>
      <c r="BU65" s="180">
        <v>0</v>
      </c>
      <c r="BV65" s="180">
        <v>847557</v>
      </c>
      <c r="BW65" s="180">
        <v>0</v>
      </c>
      <c r="BX65" s="180"/>
      <c r="BY65" s="180"/>
      <c r="BZ65" s="180">
        <v>3097409</v>
      </c>
      <c r="CA65" s="180">
        <v>2185</v>
      </c>
      <c r="CB65" s="180"/>
      <c r="CC65" s="180">
        <v>7554608</v>
      </c>
      <c r="CD65" s="180">
        <v>0</v>
      </c>
      <c r="CE65" s="180">
        <v>22254925</v>
      </c>
      <c r="CF65" s="180">
        <v>2920411</v>
      </c>
      <c r="CG65" s="180">
        <v>2575041</v>
      </c>
      <c r="CH65" s="180">
        <v>575752</v>
      </c>
      <c r="CI65" s="180">
        <v>3947960</v>
      </c>
      <c r="CJ65" s="180">
        <v>578236861</v>
      </c>
      <c r="CK65" s="180">
        <v>7973739</v>
      </c>
      <c r="CL65" s="180">
        <v>239429</v>
      </c>
      <c r="CM65" s="180">
        <v>0</v>
      </c>
      <c r="CN65" s="180">
        <v>858821</v>
      </c>
      <c r="CO65" s="180">
        <v>886997</v>
      </c>
      <c r="CP65" s="180">
        <v>623385</v>
      </c>
      <c r="CQ65" s="180">
        <v>2552308</v>
      </c>
      <c r="CR65" s="180">
        <v>0</v>
      </c>
      <c r="CS65" s="180">
        <v>0</v>
      </c>
      <c r="CT65" s="180"/>
      <c r="CU65" s="180"/>
    </row>
    <row r="66" spans="1:99" x14ac:dyDescent="0.3">
      <c r="A66" s="155">
        <v>350</v>
      </c>
      <c r="B66" s="180" t="s">
        <v>923</v>
      </c>
      <c r="C66" s="180"/>
      <c r="D66" s="180">
        <v>0</v>
      </c>
      <c r="E66" s="180">
        <v>0</v>
      </c>
      <c r="F66" s="180">
        <v>7765</v>
      </c>
      <c r="G66" s="180">
        <v>0</v>
      </c>
      <c r="H66" s="180">
        <v>0</v>
      </c>
      <c r="I66" s="180">
        <v>2156</v>
      </c>
      <c r="J66" s="180">
        <v>519</v>
      </c>
      <c r="K66" s="180"/>
      <c r="L66" s="180">
        <v>48683</v>
      </c>
      <c r="M66" s="180">
        <v>891552</v>
      </c>
      <c r="N66" s="180"/>
      <c r="O66" s="180">
        <v>0</v>
      </c>
      <c r="P66" s="180">
        <v>2175</v>
      </c>
      <c r="Q66" s="180">
        <v>74184</v>
      </c>
      <c r="R66" s="180">
        <v>0</v>
      </c>
      <c r="S66" s="180">
        <v>63374</v>
      </c>
      <c r="T66" s="180">
        <v>0</v>
      </c>
      <c r="U66" s="180">
        <v>0</v>
      </c>
      <c r="V66" s="180">
        <v>0</v>
      </c>
      <c r="W66" s="180">
        <v>291834</v>
      </c>
      <c r="X66" s="180">
        <v>0</v>
      </c>
      <c r="Y66" s="180">
        <v>292959</v>
      </c>
      <c r="Z66" s="180">
        <v>0</v>
      </c>
      <c r="AA66" s="180">
        <v>22494</v>
      </c>
      <c r="AB66" s="180">
        <v>0</v>
      </c>
      <c r="AC66" s="180">
        <v>66836</v>
      </c>
      <c r="AD66" s="180"/>
      <c r="AE66" s="180">
        <v>33</v>
      </c>
      <c r="AF66" s="180">
        <v>35488</v>
      </c>
      <c r="AG66" s="180">
        <v>142589</v>
      </c>
      <c r="AH66" s="180">
        <v>0</v>
      </c>
      <c r="AI66" s="180">
        <v>4500</v>
      </c>
      <c r="AJ66" s="180">
        <v>0</v>
      </c>
      <c r="AK66" s="180">
        <v>14</v>
      </c>
      <c r="AL66" s="180">
        <v>1119</v>
      </c>
      <c r="AM66" s="180">
        <v>42</v>
      </c>
      <c r="AN66" s="180">
        <v>528</v>
      </c>
      <c r="AO66" s="180">
        <v>240</v>
      </c>
      <c r="AP66" s="180">
        <v>6</v>
      </c>
      <c r="AQ66" s="180">
        <v>0</v>
      </c>
      <c r="AR66" s="180">
        <v>16190</v>
      </c>
      <c r="AS66" s="180">
        <v>0</v>
      </c>
      <c r="AT66" s="180">
        <v>0</v>
      </c>
      <c r="AU66" s="180">
        <v>0</v>
      </c>
      <c r="AV66" s="180">
        <v>0</v>
      </c>
      <c r="AW66" s="180">
        <v>0</v>
      </c>
      <c r="AX66" s="180">
        <v>192</v>
      </c>
      <c r="AY66" s="180">
        <v>110092</v>
      </c>
      <c r="AZ66" s="180">
        <v>334</v>
      </c>
      <c r="BA66" s="180">
        <v>0</v>
      </c>
      <c r="BB66" s="180">
        <v>247824</v>
      </c>
      <c r="BC66" s="180">
        <v>9452</v>
      </c>
      <c r="BD66" s="180">
        <v>0</v>
      </c>
      <c r="BE66" s="180">
        <v>111067</v>
      </c>
      <c r="BF66" s="180">
        <v>288</v>
      </c>
      <c r="BG66" s="180">
        <v>11</v>
      </c>
      <c r="BH66" s="180">
        <v>461</v>
      </c>
      <c r="BI66" s="180">
        <v>90201</v>
      </c>
      <c r="BJ66" s="180">
        <v>35553</v>
      </c>
      <c r="BK66" s="180">
        <v>0</v>
      </c>
      <c r="BL66" s="180">
        <v>0</v>
      </c>
      <c r="BM66" s="180">
        <v>0</v>
      </c>
      <c r="BN66" s="180">
        <v>51979</v>
      </c>
      <c r="BO66" s="180">
        <v>3791</v>
      </c>
      <c r="BP66" s="180">
        <v>0</v>
      </c>
      <c r="BQ66" s="180">
        <v>0</v>
      </c>
      <c r="BR66" s="180">
        <v>417</v>
      </c>
      <c r="BS66" s="180">
        <v>0</v>
      </c>
      <c r="BT66" s="180">
        <v>0</v>
      </c>
      <c r="BU66" s="180">
        <v>0</v>
      </c>
      <c r="BV66" s="180">
        <v>4994</v>
      </c>
      <c r="BW66" s="180">
        <v>0</v>
      </c>
      <c r="BX66" s="180"/>
      <c r="BY66" s="180"/>
      <c r="BZ66" s="180">
        <v>184117</v>
      </c>
      <c r="CA66" s="180">
        <v>1656</v>
      </c>
      <c r="CB66" s="180"/>
      <c r="CC66" s="180">
        <v>16414</v>
      </c>
      <c r="CD66" s="180">
        <v>0</v>
      </c>
      <c r="CE66" s="180">
        <v>122429</v>
      </c>
      <c r="CF66" s="180">
        <v>0</v>
      </c>
      <c r="CG66" s="180">
        <v>16029</v>
      </c>
      <c r="CH66" s="180">
        <v>62203</v>
      </c>
      <c r="CI66" s="180">
        <v>9048</v>
      </c>
      <c r="CJ66" s="180">
        <v>2797811</v>
      </c>
      <c r="CK66" s="180">
        <v>41629</v>
      </c>
      <c r="CL66" s="180">
        <v>136</v>
      </c>
      <c r="CM66" s="180">
        <v>0</v>
      </c>
      <c r="CN66" s="180">
        <v>328</v>
      </c>
      <c r="CO66" s="180">
        <v>30658</v>
      </c>
      <c r="CP66" s="180">
        <v>468</v>
      </c>
      <c r="CQ66" s="180">
        <v>19476</v>
      </c>
      <c r="CR66" s="180">
        <v>0</v>
      </c>
      <c r="CS66" s="180">
        <v>0</v>
      </c>
      <c r="CT66" s="180"/>
      <c r="CU66" s="180"/>
    </row>
    <row r="67" spans="1:99" x14ac:dyDescent="0.3">
      <c r="A67" s="155">
        <v>351</v>
      </c>
      <c r="B67" s="180" t="s">
        <v>223</v>
      </c>
      <c r="C67" s="180"/>
      <c r="D67" s="180">
        <v>0</v>
      </c>
      <c r="E67" s="180">
        <v>0</v>
      </c>
      <c r="F67" s="180">
        <v>0</v>
      </c>
      <c r="G67" s="180">
        <v>0</v>
      </c>
      <c r="H67" s="180">
        <v>0</v>
      </c>
      <c r="I67" s="180">
        <v>0</v>
      </c>
      <c r="J67" s="180">
        <v>54095</v>
      </c>
      <c r="K67" s="180"/>
      <c r="L67" s="180">
        <v>0</v>
      </c>
      <c r="M67" s="180">
        <v>494828</v>
      </c>
      <c r="N67" s="180"/>
      <c r="O67" s="180">
        <v>0</v>
      </c>
      <c r="P67" s="180">
        <v>0</v>
      </c>
      <c r="Q67" s="180">
        <v>25751</v>
      </c>
      <c r="R67" s="180">
        <v>0</v>
      </c>
      <c r="S67" s="180">
        <v>14625</v>
      </c>
      <c r="T67" s="180">
        <v>0</v>
      </c>
      <c r="U67" s="180">
        <v>0</v>
      </c>
      <c r="V67" s="180">
        <v>0</v>
      </c>
      <c r="W67" s="180">
        <v>372122</v>
      </c>
      <c r="X67" s="180">
        <v>0</v>
      </c>
      <c r="Y67" s="180">
        <v>0</v>
      </c>
      <c r="Z67" s="180">
        <v>0</v>
      </c>
      <c r="AA67" s="180">
        <v>201733</v>
      </c>
      <c r="AB67" s="180">
        <v>0</v>
      </c>
      <c r="AC67" s="180">
        <v>0</v>
      </c>
      <c r="AD67" s="180"/>
      <c r="AE67" s="180">
        <v>33942</v>
      </c>
      <c r="AF67" s="180">
        <v>1850</v>
      </c>
      <c r="AG67" s="180">
        <v>770238</v>
      </c>
      <c r="AH67" s="180">
        <v>0</v>
      </c>
      <c r="AI67" s="180">
        <v>13604</v>
      </c>
      <c r="AJ67" s="180">
        <v>0</v>
      </c>
      <c r="AK67" s="180">
        <v>14726</v>
      </c>
      <c r="AL67" s="180">
        <v>426379</v>
      </c>
      <c r="AM67" s="180">
        <v>30546</v>
      </c>
      <c r="AN67" s="180">
        <v>15012</v>
      </c>
      <c r="AO67" s="180">
        <v>52917</v>
      </c>
      <c r="AP67" s="180">
        <v>700</v>
      </c>
      <c r="AQ67" s="180">
        <v>0</v>
      </c>
      <c r="AR67" s="180">
        <v>66108</v>
      </c>
      <c r="AS67" s="180">
        <v>8757</v>
      </c>
      <c r="AT67" s="180">
        <v>0</v>
      </c>
      <c r="AU67" s="180">
        <v>0</v>
      </c>
      <c r="AV67" s="180">
        <v>0</v>
      </c>
      <c r="AW67" s="180">
        <v>0</v>
      </c>
      <c r="AX67" s="180">
        <v>2726</v>
      </c>
      <c r="AY67" s="180">
        <v>943</v>
      </c>
      <c r="AZ67" s="180">
        <v>0</v>
      </c>
      <c r="BA67" s="180">
        <v>0</v>
      </c>
      <c r="BB67" s="180">
        <v>0</v>
      </c>
      <c r="BC67" s="180">
        <v>125308</v>
      </c>
      <c r="BD67" s="180">
        <v>0</v>
      </c>
      <c r="BE67" s="180">
        <v>9589</v>
      </c>
      <c r="BF67" s="180">
        <v>2866</v>
      </c>
      <c r="BG67" s="180">
        <v>0</v>
      </c>
      <c r="BH67" s="180">
        <v>31797</v>
      </c>
      <c r="BI67" s="180">
        <v>30901</v>
      </c>
      <c r="BJ67" s="180">
        <v>21840</v>
      </c>
      <c r="BK67" s="180">
        <v>0</v>
      </c>
      <c r="BL67" s="180">
        <v>0</v>
      </c>
      <c r="BM67" s="180">
        <v>0</v>
      </c>
      <c r="BN67" s="180">
        <v>11128</v>
      </c>
      <c r="BO67" s="180">
        <v>82330</v>
      </c>
      <c r="BP67" s="180">
        <v>0</v>
      </c>
      <c r="BQ67" s="180">
        <v>0</v>
      </c>
      <c r="BR67" s="180">
        <v>0</v>
      </c>
      <c r="BS67">
        <v>0</v>
      </c>
      <c r="BT67" s="180">
        <v>0</v>
      </c>
      <c r="BU67" s="180">
        <v>0</v>
      </c>
      <c r="BV67" s="180">
        <v>15327</v>
      </c>
      <c r="BW67" s="180">
        <v>0</v>
      </c>
      <c r="BX67" s="180"/>
      <c r="BY67" s="180"/>
      <c r="BZ67" s="180">
        <v>13058</v>
      </c>
      <c r="CA67" s="180">
        <v>0</v>
      </c>
      <c r="CB67" s="180"/>
      <c r="CC67" s="180">
        <v>143435</v>
      </c>
      <c r="CD67" s="180">
        <v>0</v>
      </c>
      <c r="CE67" s="180">
        <v>374897</v>
      </c>
      <c r="CF67" s="180">
        <v>94430</v>
      </c>
      <c r="CG67" s="180">
        <v>0</v>
      </c>
      <c r="CH67" s="180">
        <v>15930</v>
      </c>
      <c r="CI67" s="180">
        <v>88680</v>
      </c>
      <c r="CJ67" s="180">
        <v>28859928</v>
      </c>
      <c r="CK67" s="180">
        <v>93381</v>
      </c>
      <c r="CL67" s="180">
        <v>3009</v>
      </c>
      <c r="CM67" s="180">
        <v>0</v>
      </c>
      <c r="CN67" s="180">
        <v>0</v>
      </c>
      <c r="CO67" s="180">
        <v>0</v>
      </c>
      <c r="CP67" s="180">
        <v>0</v>
      </c>
      <c r="CQ67" s="180">
        <v>77033</v>
      </c>
      <c r="CR67" s="180">
        <v>0</v>
      </c>
      <c r="CS67" s="180">
        <v>0</v>
      </c>
      <c r="CT67" s="180"/>
      <c r="CU67" s="180"/>
    </row>
    <row r="68" spans="1:99" x14ac:dyDescent="0.3">
      <c r="A68" s="155">
        <v>352</v>
      </c>
      <c r="B68" s="180" t="s">
        <v>225</v>
      </c>
      <c r="C68" s="180"/>
      <c r="D68" s="180">
        <v>0</v>
      </c>
      <c r="E68" s="180">
        <v>0</v>
      </c>
      <c r="F68" s="180">
        <v>0</v>
      </c>
      <c r="G68" s="180">
        <v>0</v>
      </c>
      <c r="H68" s="180">
        <v>0</v>
      </c>
      <c r="I68" s="180">
        <v>0</v>
      </c>
      <c r="J68" s="180">
        <v>0</v>
      </c>
      <c r="K68" s="180"/>
      <c r="L68" s="180">
        <v>0</v>
      </c>
      <c r="M68" s="180">
        <v>128202</v>
      </c>
      <c r="N68" s="180"/>
      <c r="O68" s="180">
        <v>0</v>
      </c>
      <c r="P68" s="180">
        <v>0</v>
      </c>
      <c r="Q68" s="180">
        <v>30557</v>
      </c>
      <c r="R68" s="180">
        <v>0</v>
      </c>
      <c r="S68" s="180">
        <v>10007</v>
      </c>
      <c r="T68" s="180">
        <v>0</v>
      </c>
      <c r="U68" s="180">
        <v>0</v>
      </c>
      <c r="V68" s="180">
        <v>0</v>
      </c>
      <c r="W68" s="180">
        <v>0</v>
      </c>
      <c r="X68" s="180">
        <v>0</v>
      </c>
      <c r="Y68" s="180">
        <v>0</v>
      </c>
      <c r="Z68" s="180">
        <v>0</v>
      </c>
      <c r="AA68" s="180">
        <v>0</v>
      </c>
      <c r="AB68" s="180">
        <v>0</v>
      </c>
      <c r="AC68" s="180">
        <v>0</v>
      </c>
      <c r="AD68" s="180"/>
      <c r="AE68" s="180">
        <v>0</v>
      </c>
      <c r="AF68" s="180">
        <v>0</v>
      </c>
      <c r="AG68" s="180">
        <v>1288279</v>
      </c>
      <c r="AH68" s="180">
        <v>0</v>
      </c>
      <c r="AI68" s="180">
        <v>0</v>
      </c>
      <c r="AJ68" s="180">
        <v>0</v>
      </c>
      <c r="AK68" s="180">
        <v>5993</v>
      </c>
      <c r="AL68" s="180">
        <v>1377413</v>
      </c>
      <c r="AM68" s="180">
        <v>0</v>
      </c>
      <c r="AN68" s="180">
        <v>8192</v>
      </c>
      <c r="AO68" s="180">
        <v>257348</v>
      </c>
      <c r="AP68" s="180">
        <v>0</v>
      </c>
      <c r="AQ68" s="180">
        <v>0</v>
      </c>
      <c r="AR68" s="180">
        <v>260000</v>
      </c>
      <c r="AS68" s="180">
        <v>43683</v>
      </c>
      <c r="AT68" s="180">
        <v>0</v>
      </c>
      <c r="AU68" s="180">
        <v>0</v>
      </c>
      <c r="AV68" s="180">
        <v>0</v>
      </c>
      <c r="AW68" s="180">
        <v>0</v>
      </c>
      <c r="AX68" s="180">
        <v>0</v>
      </c>
      <c r="AY68" s="180">
        <v>131433</v>
      </c>
      <c r="AZ68" s="180">
        <v>0</v>
      </c>
      <c r="BA68" s="180">
        <v>0</v>
      </c>
      <c r="BB68" s="180">
        <v>0</v>
      </c>
      <c r="BC68" s="180">
        <v>0</v>
      </c>
      <c r="BD68" s="180">
        <v>0</v>
      </c>
      <c r="BE68" s="180">
        <v>75479</v>
      </c>
      <c r="BF68" s="180">
        <v>0</v>
      </c>
      <c r="BG68" s="180">
        <v>0</v>
      </c>
      <c r="BH68" s="180">
        <v>29543</v>
      </c>
      <c r="BI68" s="180">
        <v>0</v>
      </c>
      <c r="BJ68" s="180">
        <v>68681</v>
      </c>
      <c r="BK68" s="180">
        <v>0</v>
      </c>
      <c r="BL68" s="180">
        <v>0</v>
      </c>
      <c r="BM68" s="180">
        <v>0</v>
      </c>
      <c r="BN68" s="180">
        <v>548000</v>
      </c>
      <c r="BO68" s="180">
        <v>0</v>
      </c>
      <c r="BP68" s="180">
        <v>0</v>
      </c>
      <c r="BQ68" s="180">
        <v>0</v>
      </c>
      <c r="BR68" s="180">
        <v>17790</v>
      </c>
      <c r="BS68">
        <v>202178</v>
      </c>
      <c r="BT68" s="180">
        <v>0</v>
      </c>
      <c r="BU68" s="180">
        <v>0</v>
      </c>
      <c r="BV68" s="180">
        <v>209544</v>
      </c>
      <c r="BW68" s="180">
        <v>0</v>
      </c>
      <c r="BX68" s="180"/>
      <c r="BY68" s="180"/>
      <c r="BZ68" s="180">
        <v>0</v>
      </c>
      <c r="CA68" s="180">
        <v>0</v>
      </c>
      <c r="CB68" s="180"/>
      <c r="CC68" s="180">
        <v>0</v>
      </c>
      <c r="CD68" s="180">
        <v>0</v>
      </c>
      <c r="CE68" s="180">
        <v>0</v>
      </c>
      <c r="CF68" s="180">
        <v>0</v>
      </c>
      <c r="CG68" s="180">
        <v>0</v>
      </c>
      <c r="CH68" s="180">
        <v>0</v>
      </c>
      <c r="CI68" s="180">
        <v>12288</v>
      </c>
      <c r="CJ68" s="180">
        <v>120720</v>
      </c>
      <c r="CK68" s="180">
        <v>9305</v>
      </c>
      <c r="CL68" s="180">
        <v>0</v>
      </c>
      <c r="CM68" s="180">
        <v>0</v>
      </c>
      <c r="CN68" s="180">
        <v>0</v>
      </c>
      <c r="CO68" s="180">
        <v>0</v>
      </c>
      <c r="CP68" s="180">
        <v>0</v>
      </c>
      <c r="CQ68" s="180">
        <v>0</v>
      </c>
      <c r="CR68" s="180">
        <v>0</v>
      </c>
      <c r="CS68" s="180">
        <v>0</v>
      </c>
      <c r="CT68" s="180"/>
      <c r="CU68" s="180"/>
    </row>
    <row r="69" spans="1:99" x14ac:dyDescent="0.3">
      <c r="A69" s="155">
        <v>353</v>
      </c>
      <c r="B69" s="180" t="s">
        <v>226</v>
      </c>
      <c r="C69" s="180"/>
      <c r="D69" s="180">
        <v>0</v>
      </c>
      <c r="E69" s="180">
        <v>0</v>
      </c>
      <c r="F69" s="180">
        <v>0</v>
      </c>
      <c r="G69" s="180">
        <v>0</v>
      </c>
      <c r="H69" s="180">
        <v>0</v>
      </c>
      <c r="I69" s="180">
        <v>0</v>
      </c>
      <c r="J69" s="180">
        <v>0</v>
      </c>
      <c r="K69" s="180"/>
      <c r="L69" s="180">
        <v>0</v>
      </c>
      <c r="M69" s="180">
        <v>1837964</v>
      </c>
      <c r="N69" s="180"/>
      <c r="O69" s="180">
        <v>0</v>
      </c>
      <c r="P69" s="180">
        <v>0</v>
      </c>
      <c r="Q69" s="180">
        <v>0</v>
      </c>
      <c r="R69" s="180">
        <v>0</v>
      </c>
      <c r="S69" s="180">
        <v>0</v>
      </c>
      <c r="T69" s="180">
        <v>0</v>
      </c>
      <c r="U69" s="180">
        <v>0</v>
      </c>
      <c r="V69" s="180">
        <v>0</v>
      </c>
      <c r="W69" s="180">
        <v>0</v>
      </c>
      <c r="X69" s="180">
        <v>0</v>
      </c>
      <c r="Y69" s="180">
        <v>0</v>
      </c>
      <c r="Z69" s="180">
        <v>0</v>
      </c>
      <c r="AA69" s="180">
        <v>0</v>
      </c>
      <c r="AB69" s="180">
        <v>0</v>
      </c>
      <c r="AC69" s="180">
        <v>0</v>
      </c>
      <c r="AD69" s="180"/>
      <c r="AE69" s="180">
        <v>0</v>
      </c>
      <c r="AF69" s="180">
        <v>0</v>
      </c>
      <c r="AG69" s="180">
        <v>0</v>
      </c>
      <c r="AH69" s="180">
        <v>0</v>
      </c>
      <c r="AI69" s="180">
        <v>0</v>
      </c>
      <c r="AJ69" s="180">
        <v>0</v>
      </c>
      <c r="AK69" s="180">
        <v>0</v>
      </c>
      <c r="AL69" s="180">
        <v>0</v>
      </c>
      <c r="AM69" s="180">
        <v>0</v>
      </c>
      <c r="AN69" s="180">
        <v>94280</v>
      </c>
      <c r="AO69" s="180">
        <v>0</v>
      </c>
      <c r="AP69" s="180">
        <v>0</v>
      </c>
      <c r="AQ69" s="180">
        <v>0</v>
      </c>
      <c r="AR69" s="180">
        <v>221000</v>
      </c>
      <c r="AS69" s="180">
        <v>0</v>
      </c>
      <c r="AT69" s="180">
        <v>0</v>
      </c>
      <c r="AU69" s="180">
        <v>0</v>
      </c>
      <c r="AV69" s="180">
        <v>0</v>
      </c>
      <c r="AW69" s="180">
        <v>0</v>
      </c>
      <c r="AX69" s="180">
        <v>0</v>
      </c>
      <c r="AY69" s="180">
        <v>249234</v>
      </c>
      <c r="AZ69" s="180">
        <v>16785</v>
      </c>
      <c r="BA69" s="180">
        <v>0</v>
      </c>
      <c r="BB69" s="180">
        <v>0</v>
      </c>
      <c r="BC69" s="180">
        <v>231059</v>
      </c>
      <c r="BD69" s="180">
        <v>0</v>
      </c>
      <c r="BE69" s="180">
        <v>0</v>
      </c>
      <c r="BF69" s="180">
        <v>0</v>
      </c>
      <c r="BG69" s="180">
        <v>0</v>
      </c>
      <c r="BH69" s="180">
        <v>0</v>
      </c>
      <c r="BI69" s="180">
        <v>0</v>
      </c>
      <c r="BJ69" s="180">
        <v>256621</v>
      </c>
      <c r="BK69" s="180">
        <v>0</v>
      </c>
      <c r="BL69" s="180">
        <v>0</v>
      </c>
      <c r="BM69" s="180">
        <v>0</v>
      </c>
      <c r="BN69" s="180">
        <v>0</v>
      </c>
      <c r="BO69" s="180">
        <v>0</v>
      </c>
      <c r="BP69" s="180">
        <v>0</v>
      </c>
      <c r="BQ69" s="180">
        <v>0</v>
      </c>
      <c r="BR69" s="180">
        <v>0</v>
      </c>
      <c r="BS69">
        <v>0</v>
      </c>
      <c r="BT69" s="180">
        <v>0</v>
      </c>
      <c r="BU69" s="180">
        <v>0</v>
      </c>
      <c r="BV69" s="180">
        <v>0</v>
      </c>
      <c r="BW69" s="180">
        <v>0</v>
      </c>
      <c r="BX69" s="180"/>
      <c r="BY69" s="180"/>
      <c r="BZ69" s="180">
        <v>125000</v>
      </c>
      <c r="CA69" s="180">
        <v>0</v>
      </c>
      <c r="CB69" s="180"/>
      <c r="CC69" s="180">
        <v>0</v>
      </c>
      <c r="CD69" s="180">
        <v>0</v>
      </c>
      <c r="CE69" s="180">
        <v>0</v>
      </c>
      <c r="CF69" s="180">
        <v>0</v>
      </c>
      <c r="CG69" s="180">
        <v>0</v>
      </c>
      <c r="CH69" s="180">
        <v>0</v>
      </c>
      <c r="CI69" s="180">
        <v>0</v>
      </c>
      <c r="CJ69" s="180">
        <v>342460</v>
      </c>
      <c r="CK69" s="180">
        <v>9305</v>
      </c>
      <c r="CL69" s="180">
        <v>0</v>
      </c>
      <c r="CM69" s="180">
        <v>0</v>
      </c>
      <c r="CN69" s="180">
        <v>0</v>
      </c>
      <c r="CO69" s="180">
        <v>28500</v>
      </c>
      <c r="CP69" s="180">
        <v>0</v>
      </c>
      <c r="CQ69" s="180">
        <v>0</v>
      </c>
      <c r="CR69" s="180">
        <v>0</v>
      </c>
      <c r="CS69" s="180">
        <v>0</v>
      </c>
      <c r="CT69" s="180"/>
      <c r="CU69" s="180"/>
    </row>
    <row r="70" spans="1:99" x14ac:dyDescent="0.3">
      <c r="A70" s="155">
        <v>356</v>
      </c>
      <c r="B70" s="180" t="s">
        <v>307</v>
      </c>
      <c r="C70" s="180"/>
      <c r="D70" s="180">
        <v>0</v>
      </c>
      <c r="E70" s="180">
        <v>0</v>
      </c>
      <c r="F70" s="180">
        <v>0</v>
      </c>
      <c r="G70" s="180">
        <v>0</v>
      </c>
      <c r="H70" s="180">
        <v>0</v>
      </c>
      <c r="I70" s="180">
        <v>0</v>
      </c>
      <c r="J70" s="180">
        <v>0</v>
      </c>
      <c r="K70" s="180"/>
      <c r="L70" s="180">
        <v>0</v>
      </c>
      <c r="M70" s="180">
        <v>60555743</v>
      </c>
      <c r="N70" s="180"/>
      <c r="O70" s="180">
        <v>0</v>
      </c>
      <c r="P70" s="180">
        <v>0</v>
      </c>
      <c r="Q70" s="180">
        <v>0</v>
      </c>
      <c r="R70" s="180">
        <v>0</v>
      </c>
      <c r="S70" s="180">
        <v>0</v>
      </c>
      <c r="T70" s="180">
        <v>0</v>
      </c>
      <c r="U70" s="180">
        <v>0</v>
      </c>
      <c r="V70" s="180">
        <v>0</v>
      </c>
      <c r="W70" s="180">
        <v>0</v>
      </c>
      <c r="X70" s="180">
        <v>0</v>
      </c>
      <c r="Y70" s="180">
        <v>0</v>
      </c>
      <c r="Z70" s="180">
        <v>0</v>
      </c>
      <c r="AA70" s="180">
        <v>0</v>
      </c>
      <c r="AB70" s="180">
        <v>0</v>
      </c>
      <c r="AC70" s="180">
        <v>58488279</v>
      </c>
      <c r="AD70" s="180"/>
      <c r="AE70" s="180">
        <v>0</v>
      </c>
      <c r="AF70" s="180">
        <v>0</v>
      </c>
      <c r="AG70" s="180">
        <v>0</v>
      </c>
      <c r="AH70" s="180">
        <v>0</v>
      </c>
      <c r="AI70" s="180">
        <v>0</v>
      </c>
      <c r="AJ70" s="180">
        <v>0</v>
      </c>
      <c r="AK70" s="180">
        <v>0</v>
      </c>
      <c r="AL70" s="180">
        <v>0</v>
      </c>
      <c r="AM70" s="180">
        <v>0</v>
      </c>
      <c r="AN70" s="180">
        <v>0</v>
      </c>
      <c r="AO70" s="180">
        <v>0</v>
      </c>
      <c r="AP70" s="180">
        <v>0</v>
      </c>
      <c r="AQ70" s="180">
        <v>0</v>
      </c>
      <c r="AR70" s="180">
        <v>0</v>
      </c>
      <c r="AS70" s="180">
        <v>0</v>
      </c>
      <c r="AT70" s="180">
        <v>0</v>
      </c>
      <c r="AU70" s="180">
        <v>0</v>
      </c>
      <c r="AV70" s="180">
        <v>0</v>
      </c>
      <c r="AW70" s="180">
        <v>0</v>
      </c>
      <c r="AX70" s="180">
        <v>0</v>
      </c>
      <c r="AY70" s="180">
        <v>0</v>
      </c>
      <c r="AZ70" s="180">
        <v>0</v>
      </c>
      <c r="BA70" s="180">
        <v>41369205</v>
      </c>
      <c r="BB70" s="180">
        <v>0</v>
      </c>
      <c r="BC70" s="180">
        <v>0</v>
      </c>
      <c r="BD70" s="180">
        <v>0</v>
      </c>
      <c r="BE70" s="180">
        <v>0</v>
      </c>
      <c r="BF70" s="180">
        <v>0</v>
      </c>
      <c r="BG70" s="180">
        <v>415728</v>
      </c>
      <c r="BH70" s="180">
        <v>0</v>
      </c>
      <c r="BI70" s="180">
        <v>0</v>
      </c>
      <c r="BJ70" s="180">
        <v>80013447</v>
      </c>
      <c r="BK70" s="180">
        <v>0</v>
      </c>
      <c r="BL70" s="180">
        <v>0</v>
      </c>
      <c r="BM70" s="180">
        <v>0</v>
      </c>
      <c r="BN70" s="180">
        <v>8971204</v>
      </c>
      <c r="BO70" s="180">
        <v>0</v>
      </c>
      <c r="BP70" s="180">
        <v>0</v>
      </c>
      <c r="BQ70" s="180">
        <v>0</v>
      </c>
      <c r="BR70" s="180">
        <v>0</v>
      </c>
      <c r="BS70">
        <v>0</v>
      </c>
      <c r="BT70" s="180">
        <v>0</v>
      </c>
      <c r="BU70" s="180">
        <v>0</v>
      </c>
      <c r="BV70" s="180">
        <v>0</v>
      </c>
      <c r="BW70" s="180">
        <v>0</v>
      </c>
      <c r="BX70" s="180"/>
      <c r="BY70" s="180"/>
      <c r="BZ70" s="180">
        <v>0</v>
      </c>
      <c r="CA70" s="180">
        <v>0</v>
      </c>
      <c r="CB70" s="180"/>
      <c r="CC70" s="180">
        <v>0</v>
      </c>
      <c r="CD70" s="180">
        <v>0</v>
      </c>
      <c r="CE70" s="180">
        <v>189385096</v>
      </c>
      <c r="CF70" s="180">
        <v>0</v>
      </c>
      <c r="CG70" s="180">
        <v>7733966</v>
      </c>
      <c r="CH70" s="180">
        <v>0</v>
      </c>
      <c r="CI70" s="180">
        <v>0</v>
      </c>
      <c r="CJ70" s="180">
        <v>0</v>
      </c>
      <c r="CK70" s="180">
        <v>11372362</v>
      </c>
      <c r="CL70" s="180">
        <v>0</v>
      </c>
      <c r="CM70" s="180">
        <v>0</v>
      </c>
      <c r="CN70" s="180">
        <v>0</v>
      </c>
      <c r="CO70" s="180">
        <v>0</v>
      </c>
      <c r="CP70" s="180">
        <v>0</v>
      </c>
      <c r="CQ70" s="180">
        <v>0</v>
      </c>
      <c r="CR70" s="180">
        <v>0</v>
      </c>
      <c r="CS70" s="180">
        <v>0</v>
      </c>
      <c r="CT70" s="180"/>
      <c r="CU70" s="180"/>
    </row>
    <row r="71" spans="1:99" x14ac:dyDescent="0.3">
      <c r="A71" s="155">
        <v>357</v>
      </c>
      <c r="B71" s="180" t="s">
        <v>308</v>
      </c>
      <c r="C71" s="180"/>
      <c r="D71" s="180">
        <v>0</v>
      </c>
      <c r="E71" s="180">
        <v>0</v>
      </c>
      <c r="F71" s="180">
        <v>0</v>
      </c>
      <c r="G71" s="180">
        <v>0</v>
      </c>
      <c r="H71" s="180">
        <v>0</v>
      </c>
      <c r="I71" s="180">
        <v>0</v>
      </c>
      <c r="J71" s="180">
        <v>0</v>
      </c>
      <c r="K71" s="180"/>
      <c r="L71" s="180">
        <v>0</v>
      </c>
      <c r="M71" s="180">
        <v>25878973</v>
      </c>
      <c r="N71" s="180"/>
      <c r="O71" s="180">
        <v>0</v>
      </c>
      <c r="P71" s="180">
        <v>0</v>
      </c>
      <c r="Q71" s="180">
        <v>0</v>
      </c>
      <c r="R71" s="180">
        <v>0</v>
      </c>
      <c r="S71" s="180">
        <v>0</v>
      </c>
      <c r="T71" s="180">
        <v>0</v>
      </c>
      <c r="U71" s="180">
        <v>0</v>
      </c>
      <c r="V71" s="180">
        <v>0</v>
      </c>
      <c r="W71" s="180">
        <v>0</v>
      </c>
      <c r="X71" s="180">
        <v>0</v>
      </c>
      <c r="Y71" s="180">
        <v>0</v>
      </c>
      <c r="Z71" s="180">
        <v>0</v>
      </c>
      <c r="AA71" s="180">
        <v>0</v>
      </c>
      <c r="AB71" s="180">
        <v>0</v>
      </c>
      <c r="AC71" s="180">
        <v>43163361</v>
      </c>
      <c r="AD71" s="180"/>
      <c r="AE71" s="180">
        <v>0</v>
      </c>
      <c r="AF71" s="180">
        <v>0</v>
      </c>
      <c r="AG71" s="180">
        <v>0</v>
      </c>
      <c r="AH71" s="180">
        <v>0</v>
      </c>
      <c r="AI71" s="180">
        <v>0</v>
      </c>
      <c r="AJ71" s="180">
        <v>0</v>
      </c>
      <c r="AK71" s="180">
        <v>0</v>
      </c>
      <c r="AL71" s="180">
        <v>0</v>
      </c>
      <c r="AM71" s="180">
        <v>0</v>
      </c>
      <c r="AN71" s="180">
        <v>0</v>
      </c>
      <c r="AO71" s="180">
        <v>0</v>
      </c>
      <c r="AP71" s="180">
        <v>0</v>
      </c>
      <c r="AQ71" s="180">
        <v>0</v>
      </c>
      <c r="AR71" s="180">
        <v>0</v>
      </c>
      <c r="AS71" s="180">
        <v>0</v>
      </c>
      <c r="AT71" s="180">
        <v>0</v>
      </c>
      <c r="AU71" s="180">
        <v>0</v>
      </c>
      <c r="AV71" s="180">
        <v>0</v>
      </c>
      <c r="AW71" s="180">
        <v>0</v>
      </c>
      <c r="AX71" s="180">
        <v>0</v>
      </c>
      <c r="AY71" s="180">
        <v>0</v>
      </c>
      <c r="AZ71" s="180">
        <v>0</v>
      </c>
      <c r="BA71" s="180">
        <v>21591025</v>
      </c>
      <c r="BB71" s="180">
        <v>0</v>
      </c>
      <c r="BC71" s="180">
        <v>0</v>
      </c>
      <c r="BD71" s="180">
        <v>0</v>
      </c>
      <c r="BE71" s="180">
        <v>0</v>
      </c>
      <c r="BF71" s="180">
        <v>0</v>
      </c>
      <c r="BG71" s="180">
        <v>343518</v>
      </c>
      <c r="BH71" s="180">
        <v>0</v>
      </c>
      <c r="BI71" s="180">
        <v>0</v>
      </c>
      <c r="BJ71" s="180">
        <v>46205577</v>
      </c>
      <c r="BK71" s="180">
        <v>0</v>
      </c>
      <c r="BL71" s="180">
        <v>0</v>
      </c>
      <c r="BM71" s="180">
        <v>0</v>
      </c>
      <c r="BN71" s="180">
        <v>6518772</v>
      </c>
      <c r="BO71" s="180">
        <v>0</v>
      </c>
      <c r="BP71" s="180">
        <v>0</v>
      </c>
      <c r="BQ71" s="180">
        <v>0</v>
      </c>
      <c r="BR71" s="180">
        <v>0</v>
      </c>
      <c r="BS71">
        <v>0</v>
      </c>
      <c r="BT71" s="180">
        <v>0</v>
      </c>
      <c r="BU71" s="180">
        <v>0</v>
      </c>
      <c r="BV71" s="180">
        <v>0</v>
      </c>
      <c r="BW71" s="180">
        <v>0</v>
      </c>
      <c r="BX71" s="180"/>
      <c r="BY71" s="180"/>
      <c r="BZ71" s="180">
        <v>0</v>
      </c>
      <c r="CA71" s="180">
        <v>0</v>
      </c>
      <c r="CB71" s="180"/>
      <c r="CC71" s="180">
        <v>0</v>
      </c>
      <c r="CD71" s="180">
        <v>0</v>
      </c>
      <c r="CE71" s="180">
        <v>113005339</v>
      </c>
      <c r="CF71" s="180">
        <v>0</v>
      </c>
      <c r="CG71" s="180">
        <v>5550813</v>
      </c>
      <c r="CH71" s="180">
        <v>0</v>
      </c>
      <c r="CI71" s="180">
        <v>0</v>
      </c>
      <c r="CJ71" s="180">
        <v>0</v>
      </c>
      <c r="CK71" s="180">
        <v>6467542</v>
      </c>
      <c r="CL71" s="180">
        <v>0</v>
      </c>
      <c r="CM71" s="180">
        <v>0</v>
      </c>
      <c r="CN71" s="180">
        <v>0</v>
      </c>
      <c r="CO71" s="180">
        <v>0</v>
      </c>
      <c r="CP71" s="180">
        <v>0</v>
      </c>
      <c r="CQ71" s="180">
        <v>0</v>
      </c>
      <c r="CR71" s="180">
        <v>0</v>
      </c>
      <c r="CS71" s="180">
        <v>0</v>
      </c>
      <c r="CT71" s="180"/>
      <c r="CU71" s="180"/>
    </row>
    <row r="72" spans="1:99" x14ac:dyDescent="0.3">
      <c r="A72" s="155">
        <v>359</v>
      </c>
      <c r="B72" s="180" t="s">
        <v>247</v>
      </c>
      <c r="C72" s="180"/>
      <c r="D72" s="180">
        <v>0</v>
      </c>
      <c r="E72" s="180">
        <v>0</v>
      </c>
      <c r="F72" s="180">
        <v>0</v>
      </c>
      <c r="G72" s="180">
        <v>0</v>
      </c>
      <c r="H72" s="180">
        <v>0</v>
      </c>
      <c r="I72" s="180">
        <v>0</v>
      </c>
      <c r="J72" s="180">
        <v>0</v>
      </c>
      <c r="K72" s="180"/>
      <c r="L72" s="180">
        <v>0</v>
      </c>
      <c r="M72" s="180">
        <v>0</v>
      </c>
      <c r="N72" s="180"/>
      <c r="O72" s="180">
        <v>0</v>
      </c>
      <c r="P72" s="180">
        <v>0</v>
      </c>
      <c r="Q72" s="180">
        <v>0</v>
      </c>
      <c r="R72" s="180">
        <v>0</v>
      </c>
      <c r="S72" s="180">
        <v>0</v>
      </c>
      <c r="T72" s="180">
        <v>0</v>
      </c>
      <c r="U72" s="180">
        <v>0</v>
      </c>
      <c r="V72" s="180">
        <v>0</v>
      </c>
      <c r="W72" s="180">
        <v>0</v>
      </c>
      <c r="X72" s="180">
        <v>0</v>
      </c>
      <c r="Y72" s="180">
        <v>0</v>
      </c>
      <c r="Z72" s="180">
        <v>0</v>
      </c>
      <c r="AA72" s="180">
        <v>0</v>
      </c>
      <c r="AB72" s="180">
        <v>0</v>
      </c>
      <c r="AC72" s="180">
        <v>0</v>
      </c>
      <c r="AD72" s="180"/>
      <c r="AE72" s="180">
        <v>0</v>
      </c>
      <c r="AF72" s="180">
        <v>0</v>
      </c>
      <c r="AG72" s="180">
        <v>0</v>
      </c>
      <c r="AH72" s="180">
        <v>0</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3072880</v>
      </c>
      <c r="BB72" s="180">
        <v>0</v>
      </c>
      <c r="BC72" s="180">
        <v>0</v>
      </c>
      <c r="BD72" s="180">
        <v>0</v>
      </c>
      <c r="BE72" s="180">
        <v>0</v>
      </c>
      <c r="BF72" s="180">
        <v>0</v>
      </c>
      <c r="BG72" s="180">
        <v>0</v>
      </c>
      <c r="BH72" s="180">
        <v>0</v>
      </c>
      <c r="BI72" s="180">
        <v>0</v>
      </c>
      <c r="BJ72" s="180">
        <v>16627</v>
      </c>
      <c r="BK72" s="180">
        <v>0</v>
      </c>
      <c r="BL72" s="180">
        <v>0</v>
      </c>
      <c r="BM72" s="180">
        <v>0</v>
      </c>
      <c r="BN72" s="180">
        <v>0</v>
      </c>
      <c r="BO72" s="180">
        <v>0</v>
      </c>
      <c r="BP72" s="180">
        <v>0</v>
      </c>
      <c r="BQ72" s="180">
        <v>0</v>
      </c>
      <c r="BR72" s="180">
        <v>0</v>
      </c>
      <c r="BS72">
        <v>0</v>
      </c>
      <c r="BT72" s="180">
        <v>0</v>
      </c>
      <c r="BU72" s="180">
        <v>0</v>
      </c>
      <c r="BV72" s="180">
        <v>0</v>
      </c>
      <c r="BW72" s="180">
        <v>0</v>
      </c>
      <c r="BX72" s="180"/>
      <c r="BY72" s="180"/>
      <c r="BZ72" s="180">
        <v>0</v>
      </c>
      <c r="CA72" s="180">
        <v>0</v>
      </c>
      <c r="CB72" s="180"/>
      <c r="CC72" s="180">
        <v>0</v>
      </c>
      <c r="CD72" s="180">
        <v>0</v>
      </c>
      <c r="CE72" s="180">
        <v>16078000</v>
      </c>
      <c r="CF72" s="180">
        <v>0</v>
      </c>
      <c r="CG72" s="180">
        <v>0</v>
      </c>
      <c r="CH72" s="180">
        <v>0</v>
      </c>
      <c r="CI72" s="180">
        <v>0</v>
      </c>
      <c r="CJ72" s="180">
        <v>0</v>
      </c>
      <c r="CK72" s="180">
        <v>333211</v>
      </c>
      <c r="CL72" s="180">
        <v>0</v>
      </c>
      <c r="CM72" s="180">
        <v>0</v>
      </c>
      <c r="CN72" s="180">
        <v>0</v>
      </c>
      <c r="CO72" s="180">
        <v>0</v>
      </c>
      <c r="CP72" s="180">
        <v>0</v>
      </c>
      <c r="CQ72" s="180">
        <v>0</v>
      </c>
      <c r="CR72" s="180">
        <v>0</v>
      </c>
      <c r="CS72" s="180">
        <v>0</v>
      </c>
      <c r="CT72" s="180"/>
      <c r="CU72" s="180"/>
    </row>
    <row r="73" spans="1:99" x14ac:dyDescent="0.3">
      <c r="A73" s="155">
        <v>360</v>
      </c>
      <c r="B73" s="180" t="s">
        <v>117</v>
      </c>
      <c r="C73" s="180"/>
      <c r="D73" s="180">
        <v>0</v>
      </c>
      <c r="E73" s="180">
        <v>0</v>
      </c>
      <c r="F73" s="180">
        <v>0</v>
      </c>
      <c r="G73" s="180">
        <v>0</v>
      </c>
      <c r="H73" s="180">
        <v>0</v>
      </c>
      <c r="I73" s="180">
        <v>0</v>
      </c>
      <c r="J73" s="180">
        <v>0</v>
      </c>
      <c r="K73" s="180"/>
      <c r="L73" s="180">
        <v>0</v>
      </c>
      <c r="M73" s="180">
        <v>8722482</v>
      </c>
      <c r="N73" s="180"/>
      <c r="O73" s="180">
        <v>0</v>
      </c>
      <c r="P73" s="180">
        <v>0</v>
      </c>
      <c r="Q73" s="180">
        <v>0</v>
      </c>
      <c r="R73" s="180">
        <v>0</v>
      </c>
      <c r="S73" s="180">
        <v>0</v>
      </c>
      <c r="T73" s="180">
        <v>0</v>
      </c>
      <c r="U73" s="180">
        <v>0</v>
      </c>
      <c r="V73" s="180">
        <v>0</v>
      </c>
      <c r="W73" s="180">
        <v>0</v>
      </c>
      <c r="X73" s="180">
        <v>0</v>
      </c>
      <c r="Y73" s="180">
        <v>0</v>
      </c>
      <c r="Z73" s="180">
        <v>0</v>
      </c>
      <c r="AA73" s="180">
        <v>0</v>
      </c>
      <c r="AB73" s="180">
        <v>0</v>
      </c>
      <c r="AC73" s="180">
        <v>7435204</v>
      </c>
      <c r="AD73" s="180"/>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9305919</v>
      </c>
      <c r="BB73" s="180">
        <v>0</v>
      </c>
      <c r="BC73" s="180">
        <v>0</v>
      </c>
      <c r="BD73" s="180">
        <v>0</v>
      </c>
      <c r="BE73" s="180">
        <v>0</v>
      </c>
      <c r="BF73" s="180">
        <v>0</v>
      </c>
      <c r="BG73" s="180">
        <v>14349</v>
      </c>
      <c r="BH73" s="180">
        <v>0</v>
      </c>
      <c r="BI73" s="180">
        <v>0</v>
      </c>
      <c r="BJ73" s="180">
        <v>5833262</v>
      </c>
      <c r="BK73" s="180">
        <v>0</v>
      </c>
      <c r="BL73" s="180">
        <v>0</v>
      </c>
      <c r="BM73" s="180">
        <v>0</v>
      </c>
      <c r="BN73" s="180">
        <v>1128281</v>
      </c>
      <c r="BO73" s="180">
        <v>0</v>
      </c>
      <c r="BP73" s="180">
        <v>0</v>
      </c>
      <c r="BQ73" s="180">
        <v>0</v>
      </c>
      <c r="BR73" s="180">
        <v>0</v>
      </c>
      <c r="BS73" s="180">
        <v>0</v>
      </c>
      <c r="BT73" s="180">
        <v>0</v>
      </c>
      <c r="BU73" s="180">
        <v>0</v>
      </c>
      <c r="BV73" s="180">
        <v>0</v>
      </c>
      <c r="BW73" s="180">
        <v>0</v>
      </c>
      <c r="BX73" s="180"/>
      <c r="BY73" s="180"/>
      <c r="BZ73" s="180">
        <v>0</v>
      </c>
      <c r="CA73" s="180">
        <v>0</v>
      </c>
      <c r="CB73" s="180"/>
      <c r="CC73" s="180">
        <v>0</v>
      </c>
      <c r="CD73" s="180">
        <v>0</v>
      </c>
      <c r="CE73" s="180">
        <v>38618682</v>
      </c>
      <c r="CF73" s="180">
        <v>0</v>
      </c>
      <c r="CG73" s="180">
        <v>1812696</v>
      </c>
      <c r="CH73" s="180">
        <v>0</v>
      </c>
      <c r="CI73" s="180">
        <v>0</v>
      </c>
      <c r="CJ73" s="180">
        <v>0</v>
      </c>
      <c r="CK73" s="180">
        <v>1241510</v>
      </c>
      <c r="CL73" s="180">
        <v>0</v>
      </c>
      <c r="CM73" s="180">
        <v>0</v>
      </c>
      <c r="CN73" s="180">
        <v>0</v>
      </c>
      <c r="CO73" s="180">
        <v>0</v>
      </c>
      <c r="CP73" s="180">
        <v>0</v>
      </c>
      <c r="CQ73" s="180">
        <v>0</v>
      </c>
      <c r="CR73" s="180">
        <v>0</v>
      </c>
      <c r="CS73" s="180">
        <v>0</v>
      </c>
      <c r="CT73" s="180"/>
      <c r="CU73" s="180"/>
    </row>
    <row r="74" spans="1:99" x14ac:dyDescent="0.3">
      <c r="A74" s="155">
        <v>361</v>
      </c>
      <c r="B74" s="180" t="s">
        <v>98</v>
      </c>
      <c r="C74" s="180"/>
      <c r="D74" s="180">
        <v>0</v>
      </c>
      <c r="E74" s="180">
        <v>0</v>
      </c>
      <c r="F74" s="180">
        <v>0</v>
      </c>
      <c r="G74" s="180">
        <v>0</v>
      </c>
      <c r="H74" s="180">
        <v>0</v>
      </c>
      <c r="I74" s="180">
        <v>0</v>
      </c>
      <c r="J74" s="180">
        <v>0</v>
      </c>
      <c r="K74" s="180"/>
      <c r="L74" s="180">
        <v>0</v>
      </c>
      <c r="M74" s="180">
        <v>47262570</v>
      </c>
      <c r="N74" s="180"/>
      <c r="O74" s="180">
        <v>0</v>
      </c>
      <c r="P74" s="180">
        <v>0</v>
      </c>
      <c r="Q74" s="180">
        <v>0</v>
      </c>
      <c r="R74" s="180">
        <v>0</v>
      </c>
      <c r="S74" s="180">
        <v>0</v>
      </c>
      <c r="T74" s="180">
        <v>0</v>
      </c>
      <c r="U74" s="180">
        <v>0</v>
      </c>
      <c r="V74" s="180">
        <v>0</v>
      </c>
      <c r="W74" s="180">
        <v>0</v>
      </c>
      <c r="X74" s="180">
        <v>0</v>
      </c>
      <c r="Y74" s="180">
        <v>0</v>
      </c>
      <c r="Z74" s="180">
        <v>0</v>
      </c>
      <c r="AA74" s="180">
        <v>0</v>
      </c>
      <c r="AB74" s="180">
        <v>0</v>
      </c>
      <c r="AC74" s="180">
        <v>9767491</v>
      </c>
      <c r="AD74" s="180"/>
      <c r="AE74" s="180">
        <v>0</v>
      </c>
      <c r="AF74" s="180">
        <v>0</v>
      </c>
      <c r="AG74" s="180">
        <v>0</v>
      </c>
      <c r="AH74" s="180">
        <v>0</v>
      </c>
      <c r="AI74" s="180">
        <v>0</v>
      </c>
      <c r="AJ74" s="180">
        <v>0</v>
      </c>
      <c r="AK74" s="180">
        <v>0</v>
      </c>
      <c r="AL74" s="180">
        <v>0</v>
      </c>
      <c r="AM74" s="180">
        <v>0</v>
      </c>
      <c r="AN74" s="180">
        <v>0</v>
      </c>
      <c r="AO74" s="180">
        <v>0</v>
      </c>
      <c r="AP74" s="180">
        <v>0</v>
      </c>
      <c r="AQ74" s="180">
        <v>0</v>
      </c>
      <c r="AR74" s="180">
        <v>0</v>
      </c>
      <c r="AS74" s="180">
        <v>0</v>
      </c>
      <c r="AT74" s="180">
        <v>0</v>
      </c>
      <c r="AU74" s="180">
        <v>0</v>
      </c>
      <c r="AV74" s="180">
        <v>0</v>
      </c>
      <c r="AW74" s="180">
        <v>0</v>
      </c>
      <c r="AX74" s="180">
        <v>0</v>
      </c>
      <c r="AY74" s="180">
        <v>0</v>
      </c>
      <c r="AZ74" s="180">
        <v>0</v>
      </c>
      <c r="BA74" s="180">
        <v>3015741</v>
      </c>
      <c r="BB74" s="180">
        <v>0</v>
      </c>
      <c r="BC74" s="180">
        <v>0</v>
      </c>
      <c r="BD74" s="180">
        <v>0</v>
      </c>
      <c r="BE74" s="180">
        <v>0</v>
      </c>
      <c r="BF74" s="180">
        <v>0</v>
      </c>
      <c r="BG74" s="180">
        <v>555374</v>
      </c>
      <c r="BH74" s="180">
        <v>0</v>
      </c>
      <c r="BI74" s="180">
        <v>0</v>
      </c>
      <c r="BJ74" s="180">
        <v>19748158</v>
      </c>
      <c r="BK74" s="180">
        <v>0</v>
      </c>
      <c r="BL74" s="180">
        <v>0</v>
      </c>
      <c r="BM74" s="180">
        <v>0</v>
      </c>
      <c r="BN74" s="180">
        <v>4530602</v>
      </c>
      <c r="BO74" s="180">
        <v>0</v>
      </c>
      <c r="BP74" s="180">
        <v>0</v>
      </c>
      <c r="BQ74" s="180">
        <v>0</v>
      </c>
      <c r="BR74" s="180">
        <v>0</v>
      </c>
      <c r="BS74" s="180">
        <v>0</v>
      </c>
      <c r="BT74" s="180">
        <v>0</v>
      </c>
      <c r="BU74" s="180">
        <v>0</v>
      </c>
      <c r="BV74" s="180">
        <v>0</v>
      </c>
      <c r="BW74" s="180">
        <v>0</v>
      </c>
      <c r="BX74" s="180"/>
      <c r="BY74" s="180"/>
      <c r="BZ74" s="180">
        <v>0</v>
      </c>
      <c r="CA74" s="180">
        <v>0</v>
      </c>
      <c r="CB74" s="180"/>
      <c r="CC74" s="180">
        <v>0</v>
      </c>
      <c r="CD74" s="180">
        <v>0</v>
      </c>
      <c r="CE74" s="180">
        <v>49490143</v>
      </c>
      <c r="CF74" s="180">
        <v>0</v>
      </c>
      <c r="CG74" s="180">
        <v>4244921</v>
      </c>
      <c r="CH74" s="180">
        <v>0</v>
      </c>
      <c r="CI74" s="180">
        <v>0</v>
      </c>
      <c r="CJ74" s="180">
        <v>0</v>
      </c>
      <c r="CK74" s="180">
        <v>7725400</v>
      </c>
      <c r="CL74" s="180">
        <v>0</v>
      </c>
      <c r="CM74" s="180">
        <v>0</v>
      </c>
      <c r="CN74" s="180">
        <v>0</v>
      </c>
      <c r="CO74" s="180">
        <v>0</v>
      </c>
      <c r="CP74" s="180">
        <v>0</v>
      </c>
      <c r="CQ74" s="180">
        <v>0</v>
      </c>
      <c r="CR74" s="180">
        <v>0</v>
      </c>
      <c r="CS74" s="180">
        <v>0</v>
      </c>
      <c r="CT74" s="180"/>
      <c r="CU74" s="180"/>
    </row>
    <row r="75" spans="1:99" x14ac:dyDescent="0.3">
      <c r="A75" s="155">
        <v>362</v>
      </c>
      <c r="B75" s="180" t="s">
        <v>99</v>
      </c>
      <c r="C75" s="180"/>
      <c r="D75" s="180">
        <v>0</v>
      </c>
      <c r="E75" s="180">
        <v>0</v>
      </c>
      <c r="F75" s="180">
        <v>0</v>
      </c>
      <c r="G75" s="180">
        <v>0</v>
      </c>
      <c r="H75" s="180">
        <v>0</v>
      </c>
      <c r="I75" s="180">
        <v>0</v>
      </c>
      <c r="J75" s="180">
        <v>0</v>
      </c>
      <c r="K75" s="180"/>
      <c r="L75" s="180">
        <v>0</v>
      </c>
      <c r="M75" s="180">
        <v>88042215</v>
      </c>
      <c r="N75" s="180"/>
      <c r="O75" s="180">
        <v>0</v>
      </c>
      <c r="P75" s="180">
        <v>0</v>
      </c>
      <c r="Q75" s="180">
        <v>0</v>
      </c>
      <c r="R75" s="180">
        <v>0</v>
      </c>
      <c r="S75" s="180">
        <v>0</v>
      </c>
      <c r="T75" s="180">
        <v>0</v>
      </c>
      <c r="U75" s="180">
        <v>0</v>
      </c>
      <c r="V75" s="180">
        <v>0</v>
      </c>
      <c r="W75" s="180">
        <v>0</v>
      </c>
      <c r="X75" s="180">
        <v>0</v>
      </c>
      <c r="Y75" s="180">
        <v>0</v>
      </c>
      <c r="Z75" s="180">
        <v>0</v>
      </c>
      <c r="AA75" s="180">
        <v>0</v>
      </c>
      <c r="AB75" s="180">
        <v>0</v>
      </c>
      <c r="AC75" s="180">
        <v>25950777</v>
      </c>
      <c r="AD75" s="180"/>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21172990</v>
      </c>
      <c r="BB75" s="180">
        <v>0</v>
      </c>
      <c r="BC75" s="180">
        <v>0</v>
      </c>
      <c r="BD75" s="180">
        <v>0</v>
      </c>
      <c r="BE75" s="180">
        <v>0</v>
      </c>
      <c r="BF75" s="180">
        <v>0</v>
      </c>
      <c r="BG75" s="180">
        <v>627584</v>
      </c>
      <c r="BH75" s="180">
        <v>0</v>
      </c>
      <c r="BI75" s="180">
        <v>0</v>
      </c>
      <c r="BJ75" s="180">
        <v>54950810</v>
      </c>
      <c r="BK75" s="180">
        <v>0</v>
      </c>
      <c r="BL75" s="180">
        <v>0</v>
      </c>
      <c r="BM75" s="180">
        <v>0</v>
      </c>
      <c r="BN75" s="180">
        <v>7322243</v>
      </c>
      <c r="BO75" s="180">
        <v>0</v>
      </c>
      <c r="BP75" s="180">
        <v>0</v>
      </c>
      <c r="BQ75" s="180">
        <v>0</v>
      </c>
      <c r="BR75" s="180">
        <v>0</v>
      </c>
      <c r="BS75" s="180">
        <v>0</v>
      </c>
      <c r="BT75" s="180">
        <v>0</v>
      </c>
      <c r="BU75" s="180">
        <v>0</v>
      </c>
      <c r="BV75" s="180">
        <v>0</v>
      </c>
      <c r="BW75" s="180">
        <v>0</v>
      </c>
      <c r="BX75" s="180"/>
      <c r="BY75" s="180"/>
      <c r="BZ75" s="180">
        <v>0</v>
      </c>
      <c r="CA75" s="180">
        <v>0</v>
      </c>
      <c r="CB75" s="180"/>
      <c r="CC75" s="180">
        <v>0</v>
      </c>
      <c r="CD75" s="180">
        <v>0</v>
      </c>
      <c r="CE75" s="180">
        <v>117258822</v>
      </c>
      <c r="CF75" s="180">
        <v>0</v>
      </c>
      <c r="CG75" s="180">
        <v>6444598</v>
      </c>
      <c r="CH75" s="180">
        <v>0</v>
      </c>
      <c r="CI75" s="180">
        <v>0</v>
      </c>
      <c r="CJ75" s="180">
        <v>0</v>
      </c>
      <c r="CK75" s="180">
        <v>12443022</v>
      </c>
      <c r="CL75" s="180">
        <v>0</v>
      </c>
      <c r="CM75" s="180">
        <v>0</v>
      </c>
      <c r="CN75" s="180">
        <v>0</v>
      </c>
      <c r="CO75" s="180">
        <v>0</v>
      </c>
      <c r="CP75" s="180">
        <v>0</v>
      </c>
      <c r="CQ75" s="180">
        <v>0</v>
      </c>
      <c r="CR75" s="180">
        <v>0</v>
      </c>
      <c r="CS75" s="180">
        <v>0</v>
      </c>
      <c r="CT75" s="180"/>
      <c r="CU75" s="180"/>
    </row>
    <row r="76" spans="1:99" x14ac:dyDescent="0.3">
      <c r="A76" s="155">
        <v>363</v>
      </c>
      <c r="B76" s="180" t="s">
        <v>233</v>
      </c>
      <c r="C76" s="180"/>
      <c r="D76" s="180">
        <v>0</v>
      </c>
      <c r="E76" s="180">
        <v>0</v>
      </c>
      <c r="F76" s="180">
        <v>0</v>
      </c>
      <c r="G76" s="180">
        <v>0</v>
      </c>
      <c r="H76" s="180">
        <v>0</v>
      </c>
      <c r="I76" s="180">
        <v>0</v>
      </c>
      <c r="J76" s="180">
        <v>0</v>
      </c>
      <c r="K76" s="180"/>
      <c r="L76" s="180">
        <v>0</v>
      </c>
      <c r="M76" s="180">
        <v>642236</v>
      </c>
      <c r="N76" s="180"/>
      <c r="O76" s="180">
        <v>0</v>
      </c>
      <c r="P76" s="180">
        <v>0</v>
      </c>
      <c r="Q76" s="180">
        <v>0</v>
      </c>
      <c r="R76" s="180">
        <v>0</v>
      </c>
      <c r="S76" s="180">
        <v>0</v>
      </c>
      <c r="T76" s="180">
        <v>0</v>
      </c>
      <c r="U76" s="180">
        <v>0</v>
      </c>
      <c r="V76" s="180">
        <v>0</v>
      </c>
      <c r="W76" s="180">
        <v>0</v>
      </c>
      <c r="X76" s="180">
        <v>0</v>
      </c>
      <c r="Y76" s="180">
        <v>0</v>
      </c>
      <c r="Z76" s="180">
        <v>0</v>
      </c>
      <c r="AA76" s="180">
        <v>0</v>
      </c>
      <c r="AB76" s="180">
        <v>0</v>
      </c>
      <c r="AC76" s="180">
        <v>111931</v>
      </c>
      <c r="AD76" s="180"/>
      <c r="AE76" s="180">
        <v>0</v>
      </c>
      <c r="AF76" s="180">
        <v>0</v>
      </c>
      <c r="AG76" s="180">
        <v>0</v>
      </c>
      <c r="AH76" s="180">
        <v>0</v>
      </c>
      <c r="AI76" s="180">
        <v>0</v>
      </c>
      <c r="AJ76" s="180">
        <v>0</v>
      </c>
      <c r="AK76" s="180">
        <v>0</v>
      </c>
      <c r="AL76" s="180">
        <v>0</v>
      </c>
      <c r="AM76" s="180">
        <v>0</v>
      </c>
      <c r="AN76" s="180">
        <v>0</v>
      </c>
      <c r="AO76" s="180">
        <v>0</v>
      </c>
      <c r="AP76" s="180">
        <v>0</v>
      </c>
      <c r="AQ76" s="180">
        <v>0</v>
      </c>
      <c r="AR76" s="180">
        <v>0</v>
      </c>
      <c r="AS76" s="180">
        <v>0</v>
      </c>
      <c r="AT76" s="180">
        <v>0</v>
      </c>
      <c r="AU76" s="180">
        <v>0</v>
      </c>
      <c r="AV76" s="180">
        <v>0</v>
      </c>
      <c r="AW76" s="180">
        <v>0</v>
      </c>
      <c r="AX76" s="180">
        <v>0</v>
      </c>
      <c r="AY76" s="180">
        <v>0</v>
      </c>
      <c r="AZ76" s="180">
        <v>0</v>
      </c>
      <c r="BA76" s="180">
        <v>13740</v>
      </c>
      <c r="BB76" s="180">
        <v>0</v>
      </c>
      <c r="BC76" s="180">
        <v>0</v>
      </c>
      <c r="BD76" s="180">
        <v>0</v>
      </c>
      <c r="BE76" s="180">
        <v>0</v>
      </c>
      <c r="BF76" s="180">
        <v>0</v>
      </c>
      <c r="BG76" s="180">
        <v>268</v>
      </c>
      <c r="BH76" s="180">
        <v>0</v>
      </c>
      <c r="BI76" s="180">
        <v>0</v>
      </c>
      <c r="BJ76" s="180">
        <v>281289</v>
      </c>
      <c r="BK76" s="180">
        <v>0</v>
      </c>
      <c r="BL76" s="180">
        <v>0</v>
      </c>
      <c r="BM76" s="180">
        <v>0</v>
      </c>
      <c r="BN76" s="180">
        <v>8616</v>
      </c>
      <c r="BO76" s="180">
        <v>0</v>
      </c>
      <c r="BP76" s="180">
        <v>0</v>
      </c>
      <c r="BQ76" s="180">
        <v>0</v>
      </c>
      <c r="BR76" s="180">
        <v>0</v>
      </c>
      <c r="BS76" s="180">
        <v>0</v>
      </c>
      <c r="BT76" s="180">
        <v>0</v>
      </c>
      <c r="BU76" s="180">
        <v>0</v>
      </c>
      <c r="BV76" s="180">
        <v>0</v>
      </c>
      <c r="BW76" s="180">
        <v>0</v>
      </c>
      <c r="BX76" s="180"/>
      <c r="BY76" s="180"/>
      <c r="BZ76" s="180">
        <v>0</v>
      </c>
      <c r="CA76" s="180">
        <v>0</v>
      </c>
      <c r="CB76" s="180"/>
      <c r="CC76" s="180">
        <v>0</v>
      </c>
      <c r="CD76" s="180">
        <v>0</v>
      </c>
      <c r="CE76" s="180">
        <v>57017</v>
      </c>
      <c r="CF76" s="180">
        <v>0</v>
      </c>
      <c r="CG76" s="180">
        <v>59171</v>
      </c>
      <c r="CH76" s="180">
        <v>0</v>
      </c>
      <c r="CI76" s="180">
        <v>0</v>
      </c>
      <c r="CJ76" s="180">
        <v>0</v>
      </c>
      <c r="CK76" s="180">
        <v>6677</v>
      </c>
      <c r="CL76" s="180">
        <v>0</v>
      </c>
      <c r="CM76" s="180">
        <v>0</v>
      </c>
      <c r="CN76" s="180">
        <v>0</v>
      </c>
      <c r="CO76" s="180">
        <v>0</v>
      </c>
      <c r="CP76" s="180">
        <v>0</v>
      </c>
      <c r="CQ76" s="180">
        <v>0</v>
      </c>
      <c r="CR76" s="180">
        <v>0</v>
      </c>
      <c r="CS76" s="180">
        <v>0</v>
      </c>
      <c r="CT76" s="180"/>
      <c r="CU76" s="180"/>
    </row>
    <row r="77" spans="1:99" x14ac:dyDescent="0.3">
      <c r="A77" s="155">
        <v>364</v>
      </c>
      <c r="B77" s="180" t="s">
        <v>234</v>
      </c>
      <c r="C77" s="180"/>
      <c r="D77" s="180">
        <v>0</v>
      </c>
      <c r="E77" s="180">
        <v>0</v>
      </c>
      <c r="F77" s="180">
        <v>0</v>
      </c>
      <c r="G77" s="180">
        <v>0</v>
      </c>
      <c r="H77" s="180">
        <v>0</v>
      </c>
      <c r="I77" s="180">
        <v>0</v>
      </c>
      <c r="J77" s="180">
        <v>0</v>
      </c>
      <c r="K77" s="180"/>
      <c r="L77" s="180">
        <v>0</v>
      </c>
      <c r="M77" s="180">
        <v>0</v>
      </c>
      <c r="N77" s="180"/>
      <c r="O77" s="180">
        <v>0</v>
      </c>
      <c r="P77" s="180">
        <v>0</v>
      </c>
      <c r="Q77" s="180">
        <v>0</v>
      </c>
      <c r="R77" s="180">
        <v>0</v>
      </c>
      <c r="S77" s="180">
        <v>0</v>
      </c>
      <c r="T77" s="180">
        <v>0</v>
      </c>
      <c r="U77" s="180">
        <v>0</v>
      </c>
      <c r="V77" s="180">
        <v>0</v>
      </c>
      <c r="W77" s="180">
        <v>0</v>
      </c>
      <c r="X77" s="180">
        <v>0</v>
      </c>
      <c r="Y77" s="180">
        <v>0</v>
      </c>
      <c r="Z77" s="180">
        <v>0</v>
      </c>
      <c r="AA77" s="180">
        <v>0</v>
      </c>
      <c r="AB77" s="180">
        <v>0</v>
      </c>
      <c r="AC77" s="180">
        <v>0</v>
      </c>
      <c r="AD77" s="180"/>
      <c r="AE77" s="180">
        <v>0</v>
      </c>
      <c r="AF77" s="180">
        <v>0</v>
      </c>
      <c r="AG77" s="180">
        <v>0</v>
      </c>
      <c r="AH77" s="180">
        <v>0</v>
      </c>
      <c r="AI77" s="180">
        <v>0</v>
      </c>
      <c r="AJ77" s="180">
        <v>0</v>
      </c>
      <c r="AK77" s="180">
        <v>0</v>
      </c>
      <c r="AL77" s="180">
        <v>0</v>
      </c>
      <c r="AM77" s="180">
        <v>0</v>
      </c>
      <c r="AN77" s="180">
        <v>0</v>
      </c>
      <c r="AO77" s="180">
        <v>0</v>
      </c>
      <c r="AP77" s="180">
        <v>0</v>
      </c>
      <c r="AQ77" s="180">
        <v>0</v>
      </c>
      <c r="AR77" s="180">
        <v>0</v>
      </c>
      <c r="AS77" s="180">
        <v>0</v>
      </c>
      <c r="AT77" s="180">
        <v>0</v>
      </c>
      <c r="AU77" s="180">
        <v>0</v>
      </c>
      <c r="AV77" s="180">
        <v>0</v>
      </c>
      <c r="AW77" s="180">
        <v>0</v>
      </c>
      <c r="AX77" s="180">
        <v>0</v>
      </c>
      <c r="AY77" s="180">
        <v>0</v>
      </c>
      <c r="AZ77" s="180">
        <v>0</v>
      </c>
      <c r="BA77" s="180">
        <v>91075</v>
      </c>
      <c r="BB77" s="180">
        <v>0</v>
      </c>
      <c r="BC77" s="180">
        <v>0</v>
      </c>
      <c r="BD77" s="180">
        <v>0</v>
      </c>
      <c r="BE77" s="180">
        <v>0</v>
      </c>
      <c r="BF77" s="180">
        <v>0</v>
      </c>
      <c r="BG77" s="180">
        <v>0</v>
      </c>
      <c r="BH77" s="180">
        <v>0</v>
      </c>
      <c r="BI77" s="180">
        <v>0</v>
      </c>
      <c r="BJ77" s="180">
        <v>189</v>
      </c>
      <c r="BK77" s="180">
        <v>0</v>
      </c>
      <c r="BL77" s="180">
        <v>0</v>
      </c>
      <c r="BM77" s="180">
        <v>0</v>
      </c>
      <c r="BN77" s="180">
        <v>20790</v>
      </c>
      <c r="BO77" s="180">
        <v>0</v>
      </c>
      <c r="BP77" s="180">
        <v>0</v>
      </c>
      <c r="BQ77" s="180">
        <v>0</v>
      </c>
      <c r="BR77" s="180">
        <v>0</v>
      </c>
      <c r="BS77" s="180">
        <v>0</v>
      </c>
      <c r="BT77" s="180">
        <v>0</v>
      </c>
      <c r="BU77" s="180">
        <v>0</v>
      </c>
      <c r="BV77" s="180">
        <v>0</v>
      </c>
      <c r="BW77" s="180">
        <v>0</v>
      </c>
      <c r="BX77" s="180"/>
      <c r="BY77" s="180"/>
      <c r="BZ77" s="180">
        <v>0</v>
      </c>
      <c r="CA77" s="180">
        <v>0</v>
      </c>
      <c r="CB77" s="180"/>
      <c r="CC77" s="180">
        <v>0</v>
      </c>
      <c r="CD77" s="180">
        <v>0</v>
      </c>
      <c r="CE77" s="180">
        <v>3261340</v>
      </c>
      <c r="CF77" s="180">
        <v>0</v>
      </c>
      <c r="CG77" s="180">
        <v>0</v>
      </c>
      <c r="CH77" s="180">
        <v>0</v>
      </c>
      <c r="CI77" s="180">
        <v>0</v>
      </c>
      <c r="CJ77" s="180">
        <v>0</v>
      </c>
      <c r="CK77" s="180">
        <v>14807</v>
      </c>
      <c r="CL77" s="180">
        <v>0</v>
      </c>
      <c r="CM77" s="180">
        <v>0</v>
      </c>
      <c r="CN77" s="180">
        <v>0</v>
      </c>
      <c r="CO77" s="180">
        <v>0</v>
      </c>
      <c r="CP77" s="180">
        <v>0</v>
      </c>
      <c r="CQ77" s="180">
        <v>0</v>
      </c>
      <c r="CR77" s="180">
        <v>0</v>
      </c>
      <c r="CS77" s="180">
        <v>0</v>
      </c>
      <c r="CT77" s="180"/>
      <c r="CU77" s="180"/>
    </row>
    <row r="78" spans="1:99" x14ac:dyDescent="0.3">
      <c r="A78" s="155">
        <v>365</v>
      </c>
      <c r="B78" s="180" t="s">
        <v>236</v>
      </c>
      <c r="C78" s="180"/>
      <c r="D78" s="180">
        <v>0</v>
      </c>
      <c r="E78" s="180">
        <v>0</v>
      </c>
      <c r="F78" s="180">
        <v>0</v>
      </c>
      <c r="G78" s="180">
        <v>0</v>
      </c>
      <c r="H78" s="180">
        <v>0</v>
      </c>
      <c r="I78" s="180">
        <v>0</v>
      </c>
      <c r="J78" s="180">
        <v>0</v>
      </c>
      <c r="K78" s="180"/>
      <c r="L78" s="180">
        <v>0</v>
      </c>
      <c r="M78" s="180">
        <v>53577</v>
      </c>
      <c r="N78" s="180"/>
      <c r="O78" s="180">
        <v>0</v>
      </c>
      <c r="P78" s="180">
        <v>0</v>
      </c>
      <c r="Q78" s="180">
        <v>0</v>
      </c>
      <c r="R78" s="180">
        <v>0</v>
      </c>
      <c r="S78" s="180">
        <v>0</v>
      </c>
      <c r="T78" s="180">
        <v>0</v>
      </c>
      <c r="U78" s="180">
        <v>0</v>
      </c>
      <c r="V78" s="180">
        <v>0</v>
      </c>
      <c r="W78" s="180">
        <v>0</v>
      </c>
      <c r="X78" s="180">
        <v>0</v>
      </c>
      <c r="Y78" s="180">
        <v>0</v>
      </c>
      <c r="Z78" s="180">
        <v>0</v>
      </c>
      <c r="AA78" s="180">
        <v>0</v>
      </c>
      <c r="AB78" s="180">
        <v>0</v>
      </c>
      <c r="AC78" s="180">
        <v>0</v>
      </c>
      <c r="AD78" s="180"/>
      <c r="AE78" s="180">
        <v>0</v>
      </c>
      <c r="AF78" s="180">
        <v>0</v>
      </c>
      <c r="AG78" s="180">
        <v>0</v>
      </c>
      <c r="AH78" s="180">
        <v>0</v>
      </c>
      <c r="AI78" s="180">
        <v>0</v>
      </c>
      <c r="AJ78" s="180">
        <v>0</v>
      </c>
      <c r="AK78" s="180">
        <v>0</v>
      </c>
      <c r="AL78" s="180">
        <v>0</v>
      </c>
      <c r="AM78" s="180">
        <v>0</v>
      </c>
      <c r="AN78" s="180">
        <v>0</v>
      </c>
      <c r="AO78" s="180">
        <v>0</v>
      </c>
      <c r="AP78" s="180">
        <v>0</v>
      </c>
      <c r="AQ78" s="180">
        <v>0</v>
      </c>
      <c r="AR78" s="180">
        <v>0</v>
      </c>
      <c r="AS78" s="180">
        <v>0</v>
      </c>
      <c r="AT78" s="180">
        <v>0</v>
      </c>
      <c r="AU78" s="180">
        <v>0</v>
      </c>
      <c r="AV78" s="180">
        <v>0</v>
      </c>
      <c r="AW78" s="180">
        <v>0</v>
      </c>
      <c r="AX78" s="180">
        <v>0</v>
      </c>
      <c r="AY78" s="180">
        <v>0</v>
      </c>
      <c r="AZ78" s="180">
        <v>0</v>
      </c>
      <c r="BA78" s="180">
        <v>6500</v>
      </c>
      <c r="BB78" s="180">
        <v>0</v>
      </c>
      <c r="BC78" s="180">
        <v>0</v>
      </c>
      <c r="BD78" s="180">
        <v>0</v>
      </c>
      <c r="BE78" s="180">
        <v>0</v>
      </c>
      <c r="BF78" s="180">
        <v>0</v>
      </c>
      <c r="BG78" s="180">
        <v>0</v>
      </c>
      <c r="BH78" s="180">
        <v>0</v>
      </c>
      <c r="BI78" s="180">
        <v>0</v>
      </c>
      <c r="BJ78" s="180">
        <v>79014</v>
      </c>
      <c r="BK78" s="180">
        <v>0</v>
      </c>
      <c r="BL78" s="180">
        <v>0</v>
      </c>
      <c r="BM78" s="180">
        <v>0</v>
      </c>
      <c r="BN78" s="180">
        <v>0</v>
      </c>
      <c r="BO78" s="180">
        <v>0</v>
      </c>
      <c r="BP78" s="180">
        <v>0</v>
      </c>
      <c r="BQ78" s="180">
        <v>0</v>
      </c>
      <c r="BR78" s="180">
        <v>0</v>
      </c>
      <c r="BS78" s="180">
        <v>0</v>
      </c>
      <c r="BT78" s="180">
        <v>0</v>
      </c>
      <c r="BU78" s="180">
        <v>0</v>
      </c>
      <c r="BV78" s="180">
        <v>0</v>
      </c>
      <c r="BW78" s="180">
        <v>0</v>
      </c>
      <c r="BX78" s="180"/>
      <c r="BY78" s="180"/>
      <c r="BZ78" s="180">
        <v>0</v>
      </c>
      <c r="CA78" s="180">
        <v>0</v>
      </c>
      <c r="CB78" s="180"/>
      <c r="CC78" s="180">
        <v>0</v>
      </c>
      <c r="CD78" s="180">
        <v>0</v>
      </c>
      <c r="CE78" s="180">
        <v>0</v>
      </c>
      <c r="CF78" s="180">
        <v>0</v>
      </c>
      <c r="CG78" s="180">
        <v>0</v>
      </c>
      <c r="CH78" s="180">
        <v>0</v>
      </c>
      <c r="CI78" s="180">
        <v>0</v>
      </c>
      <c r="CJ78" s="180">
        <v>0</v>
      </c>
      <c r="CK78" s="180">
        <v>0</v>
      </c>
      <c r="CL78" s="180">
        <v>0</v>
      </c>
      <c r="CM78" s="180">
        <v>0</v>
      </c>
      <c r="CN78" s="180">
        <v>0</v>
      </c>
      <c r="CO78" s="180">
        <v>0</v>
      </c>
      <c r="CP78" s="180">
        <v>0</v>
      </c>
      <c r="CQ78" s="180">
        <v>0</v>
      </c>
      <c r="CR78" s="180">
        <v>0</v>
      </c>
      <c r="CS78" s="180">
        <v>0</v>
      </c>
      <c r="CT78" s="180"/>
      <c r="CU78" s="180"/>
    </row>
    <row r="79" spans="1:99" x14ac:dyDescent="0.3">
      <c r="A79" s="155">
        <v>366</v>
      </c>
      <c r="B79" s="180" t="s">
        <v>924</v>
      </c>
      <c r="C79" s="180"/>
      <c r="D79" s="180">
        <v>0</v>
      </c>
      <c r="E79" s="180">
        <v>0</v>
      </c>
      <c r="F79" s="180">
        <v>0</v>
      </c>
      <c r="G79" s="180">
        <v>0</v>
      </c>
      <c r="H79" s="180">
        <v>0</v>
      </c>
      <c r="I79" s="180">
        <v>0</v>
      </c>
      <c r="J79" s="180">
        <v>0</v>
      </c>
      <c r="K79" s="180"/>
      <c r="L79" s="180">
        <v>0</v>
      </c>
      <c r="M79" s="180">
        <v>2277177</v>
      </c>
      <c r="N79" s="180"/>
      <c r="O79" s="180">
        <v>0</v>
      </c>
      <c r="P79" s="180">
        <v>0</v>
      </c>
      <c r="Q79" s="180">
        <v>0</v>
      </c>
      <c r="R79" s="180">
        <v>0</v>
      </c>
      <c r="S79" s="180">
        <v>0</v>
      </c>
      <c r="T79" s="180">
        <v>0</v>
      </c>
      <c r="U79" s="180">
        <v>0</v>
      </c>
      <c r="V79" s="180">
        <v>0</v>
      </c>
      <c r="W79" s="180">
        <v>0</v>
      </c>
      <c r="X79" s="180">
        <v>0</v>
      </c>
      <c r="Y79" s="180">
        <v>0</v>
      </c>
      <c r="Z79" s="180">
        <v>0</v>
      </c>
      <c r="AA79" s="180">
        <v>0</v>
      </c>
      <c r="AB79" s="180">
        <v>0</v>
      </c>
      <c r="AC79" s="180">
        <v>1801300</v>
      </c>
      <c r="AD79" s="180"/>
      <c r="AE79" s="180">
        <v>0</v>
      </c>
      <c r="AF79" s="180">
        <v>0</v>
      </c>
      <c r="AG79" s="180">
        <v>0</v>
      </c>
      <c r="AH79" s="180">
        <v>0</v>
      </c>
      <c r="AI79" s="180">
        <v>0</v>
      </c>
      <c r="AJ79" s="180">
        <v>0</v>
      </c>
      <c r="AK79" s="180">
        <v>0</v>
      </c>
      <c r="AL79" s="180">
        <v>0</v>
      </c>
      <c r="AM79" s="180">
        <v>0</v>
      </c>
      <c r="AN79" s="180">
        <v>0</v>
      </c>
      <c r="AO79" s="180">
        <v>0</v>
      </c>
      <c r="AP79" s="180">
        <v>0</v>
      </c>
      <c r="AQ79" s="180">
        <v>0</v>
      </c>
      <c r="AR79" s="180">
        <v>0</v>
      </c>
      <c r="AS79" s="180">
        <v>0</v>
      </c>
      <c r="AT79" s="180">
        <v>0</v>
      </c>
      <c r="AU79" s="180">
        <v>0</v>
      </c>
      <c r="AV79" s="180">
        <v>0</v>
      </c>
      <c r="AW79" s="180">
        <v>0</v>
      </c>
      <c r="AX79" s="180">
        <v>0</v>
      </c>
      <c r="AY79" s="180">
        <v>0</v>
      </c>
      <c r="AZ79" s="180">
        <v>0</v>
      </c>
      <c r="BA79" s="180">
        <v>0</v>
      </c>
      <c r="BB79" s="180">
        <v>0</v>
      </c>
      <c r="BC79" s="180">
        <v>0</v>
      </c>
      <c r="BD79" s="180">
        <v>0</v>
      </c>
      <c r="BE79" s="180">
        <v>0</v>
      </c>
      <c r="BF79" s="180">
        <v>0</v>
      </c>
      <c r="BG79" s="180">
        <v>0</v>
      </c>
      <c r="BH79" s="180">
        <v>0</v>
      </c>
      <c r="BI79" s="180">
        <v>0</v>
      </c>
      <c r="BJ79" s="180">
        <v>1876065</v>
      </c>
      <c r="BK79" s="180">
        <v>0</v>
      </c>
      <c r="BL79" s="180">
        <v>0</v>
      </c>
      <c r="BM79" s="180">
        <v>0</v>
      </c>
      <c r="BN79" s="180">
        <v>1275600</v>
      </c>
      <c r="BO79" s="180">
        <v>0</v>
      </c>
      <c r="BP79" s="180">
        <v>0</v>
      </c>
      <c r="BQ79" s="180">
        <v>0</v>
      </c>
      <c r="BR79" s="180">
        <v>0</v>
      </c>
      <c r="BS79" s="180">
        <v>0</v>
      </c>
      <c r="BT79" s="180">
        <v>0</v>
      </c>
      <c r="BU79" s="180">
        <v>0</v>
      </c>
      <c r="BV79" s="180">
        <v>0</v>
      </c>
      <c r="BW79" s="180">
        <v>0</v>
      </c>
      <c r="BX79" s="180"/>
      <c r="BY79" s="180"/>
      <c r="BZ79" s="180">
        <v>0</v>
      </c>
      <c r="CA79" s="180">
        <v>0</v>
      </c>
      <c r="CB79" s="180"/>
      <c r="CC79" s="180">
        <v>0</v>
      </c>
      <c r="CD79" s="180">
        <v>0</v>
      </c>
      <c r="CE79" s="180">
        <v>2788670</v>
      </c>
      <c r="CF79" s="180">
        <v>0</v>
      </c>
      <c r="CG79" s="180">
        <v>0</v>
      </c>
      <c r="CH79" s="180">
        <v>0</v>
      </c>
      <c r="CI79" s="180">
        <v>0</v>
      </c>
      <c r="CJ79" s="180">
        <v>0</v>
      </c>
      <c r="CK79" s="180">
        <v>650000</v>
      </c>
      <c r="CL79" s="180">
        <v>0</v>
      </c>
      <c r="CM79" s="180">
        <v>0</v>
      </c>
      <c r="CN79" s="180">
        <v>0</v>
      </c>
      <c r="CO79" s="180">
        <v>0</v>
      </c>
      <c r="CP79" s="180">
        <v>0</v>
      </c>
      <c r="CQ79" s="180">
        <v>0</v>
      </c>
      <c r="CR79" s="180">
        <v>0</v>
      </c>
      <c r="CS79" s="180">
        <v>0</v>
      </c>
      <c r="CT79" s="180"/>
      <c r="CU79" s="180"/>
    </row>
    <row r="80" spans="1:99" x14ac:dyDescent="0.3">
      <c r="A80" s="155">
        <v>368</v>
      </c>
      <c r="B80" s="180" t="s">
        <v>191</v>
      </c>
      <c r="C80" s="180"/>
      <c r="D80" s="180">
        <v>0</v>
      </c>
      <c r="E80" s="180">
        <v>0</v>
      </c>
      <c r="F80" s="180">
        <v>0</v>
      </c>
      <c r="G80" s="180">
        <v>0</v>
      </c>
      <c r="H80" s="180">
        <v>420</v>
      </c>
      <c r="I80" s="180">
        <v>0</v>
      </c>
      <c r="J80" s="180">
        <v>0</v>
      </c>
      <c r="K80" s="180"/>
      <c r="L80" s="180">
        <v>5340</v>
      </c>
      <c r="M80" s="180">
        <v>21611</v>
      </c>
      <c r="N80" s="180"/>
      <c r="O80" s="180">
        <v>90333</v>
      </c>
      <c r="P80" s="180">
        <v>4313</v>
      </c>
      <c r="Q80" s="180">
        <v>0</v>
      </c>
      <c r="R80" s="180">
        <v>0</v>
      </c>
      <c r="S80" s="180">
        <v>0</v>
      </c>
      <c r="T80" s="180">
        <v>0</v>
      </c>
      <c r="U80" s="180">
        <v>0</v>
      </c>
      <c r="V80" s="180">
        <v>0</v>
      </c>
      <c r="W80" s="180">
        <v>0</v>
      </c>
      <c r="X80" s="180">
        <v>0</v>
      </c>
      <c r="Y80" s="180">
        <v>0</v>
      </c>
      <c r="Z80" s="180">
        <v>0</v>
      </c>
      <c r="AA80" s="180">
        <v>0</v>
      </c>
      <c r="AB80" s="180">
        <v>0</v>
      </c>
      <c r="AC80" s="180">
        <v>4966</v>
      </c>
      <c r="AD80" s="180"/>
      <c r="AE80" s="180">
        <v>0</v>
      </c>
      <c r="AF80" s="180">
        <v>0</v>
      </c>
      <c r="AG80" s="180">
        <v>30112</v>
      </c>
      <c r="AH80" s="180">
        <v>0</v>
      </c>
      <c r="AI80" s="180">
        <v>0</v>
      </c>
      <c r="AJ80" s="180">
        <v>0</v>
      </c>
      <c r="AK80" s="180">
        <v>0</v>
      </c>
      <c r="AL80" s="180">
        <v>0</v>
      </c>
      <c r="AM80" s="180">
        <v>0</v>
      </c>
      <c r="AN80" s="180">
        <v>0</v>
      </c>
      <c r="AO80" s="180">
        <v>0</v>
      </c>
      <c r="AP80" s="180">
        <v>0</v>
      </c>
      <c r="AQ80" s="180">
        <v>0</v>
      </c>
      <c r="AR80" s="180">
        <v>0</v>
      </c>
      <c r="AS80" s="180">
        <v>0</v>
      </c>
      <c r="AT80" s="180">
        <v>0</v>
      </c>
      <c r="AU80" s="180">
        <v>0</v>
      </c>
      <c r="AV80" s="180">
        <v>0</v>
      </c>
      <c r="AW80" s="180">
        <v>0</v>
      </c>
      <c r="AX80" s="180">
        <v>0</v>
      </c>
      <c r="AY80" s="180">
        <v>0</v>
      </c>
      <c r="AZ80" s="180">
        <v>0</v>
      </c>
      <c r="BA80" s="180">
        <v>0</v>
      </c>
      <c r="BB80" s="180">
        <v>0</v>
      </c>
      <c r="BC80" s="180">
        <v>0</v>
      </c>
      <c r="BD80" s="180">
        <v>0</v>
      </c>
      <c r="BE80" s="180">
        <v>0</v>
      </c>
      <c r="BF80" s="180">
        <v>11100</v>
      </c>
      <c r="BG80" s="180">
        <v>0</v>
      </c>
      <c r="BH80" s="180">
        <v>0</v>
      </c>
      <c r="BI80" s="180">
        <v>0</v>
      </c>
      <c r="BJ80" s="180">
        <v>4233</v>
      </c>
      <c r="BK80" s="180">
        <v>0</v>
      </c>
      <c r="BL80" s="180">
        <v>0</v>
      </c>
      <c r="BM80" s="180">
        <v>0</v>
      </c>
      <c r="BN80" s="180">
        <v>0</v>
      </c>
      <c r="BO80" s="180">
        <v>65605</v>
      </c>
      <c r="BP80" s="180">
        <v>0</v>
      </c>
      <c r="BQ80" s="180">
        <v>75002</v>
      </c>
      <c r="BR80" s="180">
        <v>0</v>
      </c>
      <c r="BS80" s="180">
        <v>0</v>
      </c>
      <c r="BT80" s="180">
        <v>0</v>
      </c>
      <c r="BU80" s="180">
        <v>0</v>
      </c>
      <c r="BV80" s="180">
        <v>0</v>
      </c>
      <c r="BW80" s="180">
        <v>0</v>
      </c>
      <c r="BX80" s="180"/>
      <c r="BY80" s="180"/>
      <c r="BZ80" s="180">
        <v>0</v>
      </c>
      <c r="CA80" s="180">
        <v>0</v>
      </c>
      <c r="CB80" s="180"/>
      <c r="CC80" s="180">
        <v>0</v>
      </c>
      <c r="CD80" s="180">
        <v>0</v>
      </c>
      <c r="CE80" s="180">
        <v>1218154</v>
      </c>
      <c r="CF80" s="180">
        <v>0</v>
      </c>
      <c r="CG80" s="180">
        <v>0</v>
      </c>
      <c r="CH80" s="180">
        <v>0</v>
      </c>
      <c r="CI80" s="180">
        <v>1875</v>
      </c>
      <c r="CJ80" s="180">
        <v>0</v>
      </c>
      <c r="CK80" s="180">
        <v>931328</v>
      </c>
      <c r="CL80" s="180">
        <v>0</v>
      </c>
      <c r="CM80" s="180">
        <v>0</v>
      </c>
      <c r="CN80" s="180">
        <v>0</v>
      </c>
      <c r="CO80" s="180">
        <v>0</v>
      </c>
      <c r="CP80" s="180">
        <v>0</v>
      </c>
      <c r="CQ80" s="180">
        <v>0</v>
      </c>
      <c r="CR80" s="180">
        <v>0</v>
      </c>
      <c r="CS80" s="180">
        <v>0</v>
      </c>
      <c r="CT80" s="180"/>
      <c r="CU80" s="180"/>
    </row>
    <row r="81" spans="1:99" s="562" customFormat="1" x14ac:dyDescent="0.3">
      <c r="A81" s="561">
        <v>369</v>
      </c>
      <c r="B81" s="562" t="s">
        <v>196</v>
      </c>
      <c r="D81" s="562">
        <v>243385</v>
      </c>
      <c r="E81" s="562">
        <v>3017791</v>
      </c>
      <c r="F81" s="562">
        <v>1219663</v>
      </c>
      <c r="G81" s="562">
        <v>158172</v>
      </c>
      <c r="H81" s="562">
        <v>4838473</v>
      </c>
      <c r="I81" s="562">
        <v>706233</v>
      </c>
      <c r="J81" s="562">
        <v>1181055</v>
      </c>
      <c r="L81" s="562">
        <v>470990</v>
      </c>
      <c r="M81" s="562">
        <v>14856584</v>
      </c>
      <c r="O81" s="562">
        <v>352657</v>
      </c>
      <c r="P81" s="562">
        <v>347874</v>
      </c>
      <c r="Q81" s="562">
        <v>647510</v>
      </c>
      <c r="R81" s="562">
        <v>30062</v>
      </c>
      <c r="S81" s="562">
        <v>139032</v>
      </c>
      <c r="T81" s="562">
        <v>605278</v>
      </c>
      <c r="U81" s="562">
        <v>814543</v>
      </c>
      <c r="V81" s="562">
        <v>4417687</v>
      </c>
      <c r="W81" s="562">
        <v>4151153</v>
      </c>
      <c r="X81" s="562">
        <v>2077277</v>
      </c>
      <c r="Y81" s="562">
        <v>119275</v>
      </c>
      <c r="Z81" s="562">
        <v>2301326</v>
      </c>
      <c r="AA81" s="562">
        <v>1856012</v>
      </c>
      <c r="AB81" s="562">
        <v>25255</v>
      </c>
      <c r="AC81" s="562">
        <v>4617223</v>
      </c>
      <c r="AE81" s="562">
        <v>335800</v>
      </c>
      <c r="AF81" s="562">
        <v>192742</v>
      </c>
      <c r="AG81" s="562">
        <v>12429973</v>
      </c>
      <c r="AH81" s="562">
        <v>255846</v>
      </c>
      <c r="AI81" s="562">
        <v>915884</v>
      </c>
      <c r="AJ81" s="562">
        <v>1159996</v>
      </c>
      <c r="AK81" s="562">
        <v>104698</v>
      </c>
      <c r="AL81" s="562">
        <v>2906675</v>
      </c>
      <c r="AM81" s="562">
        <v>432305</v>
      </c>
      <c r="AN81" s="562">
        <v>1766116</v>
      </c>
      <c r="AO81" s="562">
        <v>864489</v>
      </c>
      <c r="AP81" s="562">
        <v>258867</v>
      </c>
      <c r="AQ81" s="562">
        <v>300784</v>
      </c>
      <c r="AR81" s="562">
        <v>725016</v>
      </c>
      <c r="AS81" s="562">
        <v>333796</v>
      </c>
      <c r="AT81" s="562">
        <v>51030</v>
      </c>
      <c r="AU81" s="562">
        <v>262758</v>
      </c>
      <c r="AV81" s="562">
        <v>439520</v>
      </c>
      <c r="AW81" s="562">
        <v>60183</v>
      </c>
      <c r="AX81" s="562">
        <v>222863</v>
      </c>
      <c r="AY81" s="562">
        <v>2542479</v>
      </c>
      <c r="AZ81" s="562">
        <v>167351</v>
      </c>
      <c r="BA81" s="562">
        <v>18888049</v>
      </c>
      <c r="BB81" s="562">
        <v>1261844</v>
      </c>
      <c r="BC81" s="562">
        <v>638271</v>
      </c>
      <c r="BD81" s="562">
        <v>1103628</v>
      </c>
      <c r="BE81" s="562">
        <v>756100</v>
      </c>
      <c r="BF81" s="562">
        <v>56203</v>
      </c>
      <c r="BG81" s="562">
        <v>142270</v>
      </c>
      <c r="BH81" s="562">
        <v>458028</v>
      </c>
      <c r="BI81" s="562">
        <v>1364824</v>
      </c>
      <c r="BJ81" s="562">
        <v>6876959</v>
      </c>
      <c r="BK81" s="562">
        <v>172076</v>
      </c>
      <c r="BL81" s="562">
        <v>110123</v>
      </c>
      <c r="BM81" s="562">
        <v>5115129</v>
      </c>
      <c r="BN81" s="562">
        <v>2176482</v>
      </c>
      <c r="BO81" s="562">
        <v>1085111</v>
      </c>
      <c r="BP81" s="562">
        <v>84133</v>
      </c>
      <c r="BQ81" s="562">
        <v>1056160</v>
      </c>
      <c r="BR81" s="562">
        <v>541506</v>
      </c>
      <c r="BS81" s="562">
        <v>4661298</v>
      </c>
      <c r="BT81" s="562">
        <v>146101</v>
      </c>
      <c r="BU81" s="562">
        <v>423880</v>
      </c>
      <c r="BV81" s="562">
        <v>1314413</v>
      </c>
      <c r="BW81" s="562">
        <v>2402971</v>
      </c>
      <c r="BZ81" s="562">
        <v>2600543</v>
      </c>
      <c r="CA81" s="562">
        <v>72712</v>
      </c>
      <c r="CC81" s="562">
        <v>2789002</v>
      </c>
      <c r="CD81" s="562">
        <v>7035892</v>
      </c>
      <c r="CE81" s="562">
        <v>7029189</v>
      </c>
      <c r="CF81" s="562">
        <v>638890</v>
      </c>
      <c r="CG81" s="562">
        <v>1558142</v>
      </c>
      <c r="CH81" s="562">
        <v>402248</v>
      </c>
      <c r="CI81" s="562">
        <v>588558</v>
      </c>
      <c r="CJ81" s="562">
        <v>21658185</v>
      </c>
      <c r="CK81" s="562">
        <v>4433666</v>
      </c>
      <c r="CL81" s="562">
        <v>216056</v>
      </c>
      <c r="CM81" s="562">
        <v>694088</v>
      </c>
      <c r="CN81" s="562">
        <v>249020</v>
      </c>
      <c r="CO81" s="562">
        <v>3346577</v>
      </c>
      <c r="CP81" s="562">
        <v>1724656</v>
      </c>
      <c r="CQ81" s="562">
        <v>310637</v>
      </c>
      <c r="CR81" s="562">
        <v>447534</v>
      </c>
      <c r="CS81" s="562">
        <v>3805052</v>
      </c>
    </row>
    <row r="82" spans="1:99" s="562" customFormat="1" x14ac:dyDescent="0.3">
      <c r="A82" s="561">
        <v>370</v>
      </c>
      <c r="B82" s="562" t="s">
        <v>198</v>
      </c>
      <c r="D82" s="562">
        <v>0</v>
      </c>
      <c r="E82" s="562">
        <v>370939</v>
      </c>
      <c r="F82" s="562">
        <v>149638</v>
      </c>
      <c r="G82" s="562">
        <v>0</v>
      </c>
      <c r="H82" s="562">
        <v>368981</v>
      </c>
      <c r="I82" s="562">
        <v>0</v>
      </c>
      <c r="J82" s="562">
        <v>239408</v>
      </c>
      <c r="L82" s="562">
        <v>8541</v>
      </c>
      <c r="M82" s="562">
        <v>261290</v>
      </c>
      <c r="O82" s="562">
        <v>32388</v>
      </c>
      <c r="P82" s="562">
        <v>0</v>
      </c>
      <c r="Q82" s="562">
        <v>50807</v>
      </c>
      <c r="R82" s="562">
        <v>0</v>
      </c>
      <c r="S82" s="562">
        <v>0</v>
      </c>
      <c r="T82" s="562">
        <v>190803</v>
      </c>
      <c r="U82" s="562">
        <v>0</v>
      </c>
      <c r="V82" s="562">
        <v>119007</v>
      </c>
      <c r="W82" s="562">
        <v>384084</v>
      </c>
      <c r="X82" s="562">
        <v>296935</v>
      </c>
      <c r="Y82" s="562">
        <v>0</v>
      </c>
      <c r="Z82" s="562">
        <v>222042</v>
      </c>
      <c r="AA82" s="562">
        <v>70317</v>
      </c>
      <c r="AB82" s="562">
        <v>0</v>
      </c>
      <c r="AC82" s="562">
        <v>0</v>
      </c>
      <c r="AE82" s="562">
        <v>0</v>
      </c>
      <c r="AF82" s="562">
        <v>0</v>
      </c>
      <c r="AG82" s="562">
        <v>2139236</v>
      </c>
      <c r="AH82" s="562">
        <v>0</v>
      </c>
      <c r="AI82" s="562">
        <v>117071</v>
      </c>
      <c r="AJ82" s="562">
        <v>0</v>
      </c>
      <c r="AK82" s="562">
        <v>0</v>
      </c>
      <c r="AL82" s="562">
        <v>0</v>
      </c>
      <c r="AM82" s="562">
        <v>571773</v>
      </c>
      <c r="AN82" s="562">
        <v>168309</v>
      </c>
      <c r="AO82" s="562">
        <v>28001</v>
      </c>
      <c r="AP82" s="562">
        <v>0</v>
      </c>
      <c r="AQ82" s="562">
        <v>0</v>
      </c>
      <c r="AR82" s="562">
        <v>260243</v>
      </c>
      <c r="AS82" s="562">
        <v>13126</v>
      </c>
      <c r="AT82" s="562">
        <v>6064</v>
      </c>
      <c r="AU82" s="562">
        <v>0</v>
      </c>
      <c r="AV82" s="562">
        <v>48782</v>
      </c>
      <c r="AW82" s="562">
        <v>0</v>
      </c>
      <c r="AX82" s="562">
        <v>12224</v>
      </c>
      <c r="AY82" s="562">
        <v>147717</v>
      </c>
      <c r="AZ82" s="562">
        <v>27022</v>
      </c>
      <c r="BA82" s="562">
        <v>139052</v>
      </c>
      <c r="BB82" s="562">
        <v>0</v>
      </c>
      <c r="BC82" s="562">
        <v>177431</v>
      </c>
      <c r="BD82" s="562">
        <v>0</v>
      </c>
      <c r="BE82" s="562">
        <v>63371</v>
      </c>
      <c r="BF82" s="562">
        <v>0</v>
      </c>
      <c r="BG82" s="562">
        <v>0</v>
      </c>
      <c r="BH82" s="562">
        <v>28734</v>
      </c>
      <c r="BI82" s="562">
        <v>25656</v>
      </c>
      <c r="BJ82" s="562">
        <v>279559</v>
      </c>
      <c r="BK82" s="562">
        <v>0</v>
      </c>
      <c r="BL82" s="562">
        <v>0</v>
      </c>
      <c r="BM82" s="562">
        <v>629798</v>
      </c>
      <c r="BN82" s="562">
        <v>2246698</v>
      </c>
      <c r="BO82" s="562">
        <v>0</v>
      </c>
      <c r="BP82" s="562">
        <v>0</v>
      </c>
      <c r="BQ82" s="562">
        <v>0</v>
      </c>
      <c r="BR82" s="562">
        <v>0</v>
      </c>
      <c r="BS82" s="562">
        <v>253520</v>
      </c>
      <c r="BT82" s="562">
        <v>110964</v>
      </c>
      <c r="BU82" s="562">
        <v>0</v>
      </c>
      <c r="BV82" s="562">
        <v>56872</v>
      </c>
      <c r="BW82" s="562">
        <v>506692</v>
      </c>
      <c r="BZ82" s="562">
        <v>571692</v>
      </c>
      <c r="CA82" s="562">
        <v>0</v>
      </c>
      <c r="CC82" s="562">
        <v>535183</v>
      </c>
      <c r="CD82" s="562">
        <v>323154</v>
      </c>
      <c r="CE82" s="562">
        <v>1871743</v>
      </c>
      <c r="CF82" s="562">
        <v>183232</v>
      </c>
      <c r="CG82" s="562">
        <v>0</v>
      </c>
      <c r="CH82" s="562">
        <v>36632</v>
      </c>
      <c r="CI82" s="562">
        <v>115743</v>
      </c>
      <c r="CJ82" s="562">
        <v>0</v>
      </c>
      <c r="CK82" s="562">
        <v>810592</v>
      </c>
      <c r="CL82" s="562">
        <v>69684</v>
      </c>
      <c r="CM82" s="562">
        <v>432932</v>
      </c>
      <c r="CN82" s="562">
        <v>1239</v>
      </c>
      <c r="CO82" s="562">
        <v>189351</v>
      </c>
      <c r="CP82" s="562">
        <v>193819</v>
      </c>
      <c r="CQ82" s="562">
        <v>99903</v>
      </c>
      <c r="CR82" s="562">
        <v>557337</v>
      </c>
      <c r="CS82" s="562">
        <v>554656</v>
      </c>
    </row>
    <row r="83" spans="1:99" s="562" customFormat="1" x14ac:dyDescent="0.3">
      <c r="A83" s="561">
        <v>371</v>
      </c>
      <c r="B83" s="562" t="s">
        <v>248</v>
      </c>
      <c r="D83" s="562">
        <v>0</v>
      </c>
      <c r="E83" s="562">
        <v>0</v>
      </c>
      <c r="F83" s="562">
        <v>0</v>
      </c>
      <c r="G83" s="562">
        <v>0</v>
      </c>
      <c r="H83" s="562">
        <v>0</v>
      </c>
      <c r="I83" s="562">
        <v>0</v>
      </c>
      <c r="J83" s="562">
        <v>0</v>
      </c>
      <c r="L83" s="562">
        <v>0</v>
      </c>
      <c r="M83" s="562">
        <v>0</v>
      </c>
      <c r="O83" s="562">
        <v>0</v>
      </c>
      <c r="P83" s="562">
        <v>0</v>
      </c>
      <c r="Q83" s="562">
        <v>0</v>
      </c>
      <c r="R83" s="562">
        <v>0</v>
      </c>
      <c r="S83" s="562">
        <v>0</v>
      </c>
      <c r="T83" s="562">
        <v>0</v>
      </c>
      <c r="U83" s="562">
        <v>0</v>
      </c>
      <c r="V83" s="562">
        <v>0</v>
      </c>
      <c r="W83" s="562">
        <v>0</v>
      </c>
      <c r="X83" s="562">
        <v>0</v>
      </c>
      <c r="Y83" s="562">
        <v>0</v>
      </c>
      <c r="Z83" s="562">
        <v>0</v>
      </c>
      <c r="AA83" s="562">
        <v>0</v>
      </c>
      <c r="AB83" s="562">
        <v>0</v>
      </c>
      <c r="AC83" s="562">
        <v>0</v>
      </c>
      <c r="AE83" s="562">
        <v>0</v>
      </c>
      <c r="AF83" s="562">
        <v>0</v>
      </c>
      <c r="AG83" s="562">
        <v>0</v>
      </c>
      <c r="AH83" s="562">
        <v>0</v>
      </c>
      <c r="AI83" s="562">
        <v>0</v>
      </c>
      <c r="AJ83" s="562">
        <v>0</v>
      </c>
      <c r="AK83" s="562">
        <v>0</v>
      </c>
      <c r="AL83" s="562">
        <v>0</v>
      </c>
      <c r="AM83" s="562">
        <v>0</v>
      </c>
      <c r="AN83" s="562">
        <v>0</v>
      </c>
      <c r="AO83" s="562">
        <v>0</v>
      </c>
      <c r="AP83" s="562">
        <v>0</v>
      </c>
      <c r="AQ83" s="562">
        <v>0</v>
      </c>
      <c r="AR83" s="562">
        <v>0</v>
      </c>
      <c r="AS83" s="562">
        <v>0</v>
      </c>
      <c r="AT83" s="562">
        <v>0</v>
      </c>
      <c r="AU83" s="562">
        <v>0</v>
      </c>
      <c r="AV83" s="562">
        <v>0</v>
      </c>
      <c r="AW83" s="562">
        <v>0</v>
      </c>
      <c r="AX83" s="562">
        <v>0</v>
      </c>
      <c r="AY83" s="562">
        <v>0</v>
      </c>
      <c r="AZ83" s="562">
        <v>0</v>
      </c>
      <c r="BA83" s="562">
        <v>5562150</v>
      </c>
      <c r="BB83" s="562">
        <v>0</v>
      </c>
      <c r="BC83" s="562">
        <v>0</v>
      </c>
      <c r="BD83" s="562">
        <v>0</v>
      </c>
      <c r="BE83" s="562">
        <v>0</v>
      </c>
      <c r="BF83" s="562">
        <v>0</v>
      </c>
      <c r="BG83" s="562">
        <v>0</v>
      </c>
      <c r="BH83" s="562">
        <v>0</v>
      </c>
      <c r="BI83" s="562">
        <v>0</v>
      </c>
      <c r="BJ83" s="562">
        <v>0</v>
      </c>
      <c r="BK83" s="562">
        <v>0</v>
      </c>
      <c r="BL83" s="562">
        <v>0</v>
      </c>
      <c r="BM83" s="562">
        <v>0</v>
      </c>
      <c r="BN83" s="562">
        <v>0</v>
      </c>
      <c r="BO83" s="562">
        <v>0</v>
      </c>
      <c r="BP83" s="562">
        <v>0</v>
      </c>
      <c r="BQ83" s="562">
        <v>0</v>
      </c>
      <c r="BR83" s="562">
        <v>0</v>
      </c>
      <c r="BS83" s="562">
        <v>0</v>
      </c>
      <c r="BT83" s="562">
        <v>0</v>
      </c>
      <c r="BU83" s="562">
        <v>0</v>
      </c>
      <c r="BV83" s="562">
        <v>0</v>
      </c>
      <c r="BW83" s="562">
        <v>0</v>
      </c>
      <c r="BZ83" s="562">
        <v>0</v>
      </c>
      <c r="CA83" s="562">
        <v>0</v>
      </c>
      <c r="CC83" s="562">
        <v>0</v>
      </c>
      <c r="CD83" s="562">
        <v>9334832</v>
      </c>
      <c r="CE83" s="562">
        <v>0</v>
      </c>
      <c r="CF83" s="562">
        <v>0</v>
      </c>
      <c r="CG83" s="562">
        <v>0</v>
      </c>
      <c r="CH83" s="562">
        <v>0</v>
      </c>
      <c r="CI83" s="562">
        <v>0</v>
      </c>
      <c r="CJ83" s="562">
        <v>1883424</v>
      </c>
      <c r="CK83" s="562">
        <v>0</v>
      </c>
      <c r="CL83" s="562">
        <v>0</v>
      </c>
      <c r="CM83" s="562">
        <v>0</v>
      </c>
      <c r="CN83" s="562">
        <v>0</v>
      </c>
      <c r="CO83" s="562">
        <v>0</v>
      </c>
      <c r="CP83" s="562">
        <v>0</v>
      </c>
      <c r="CQ83" s="562">
        <v>0</v>
      </c>
      <c r="CR83" s="562">
        <v>0</v>
      </c>
      <c r="CS83" s="562">
        <v>0</v>
      </c>
    </row>
    <row r="84" spans="1:99" x14ac:dyDescent="0.3">
      <c r="A84" s="155">
        <v>373</v>
      </c>
      <c r="B84" s="180" t="s">
        <v>304</v>
      </c>
      <c r="C84" s="180"/>
      <c r="D84" s="180">
        <v>86346</v>
      </c>
      <c r="E84" s="180">
        <v>2217047</v>
      </c>
      <c r="F84" s="180">
        <v>3982976</v>
      </c>
      <c r="G84" s="180">
        <v>43414</v>
      </c>
      <c r="H84" s="180">
        <v>33555950</v>
      </c>
      <c r="I84" s="180">
        <v>1358607</v>
      </c>
      <c r="J84" s="180">
        <v>4184303</v>
      </c>
      <c r="K84" s="180"/>
      <c r="L84" s="180">
        <v>1519525</v>
      </c>
      <c r="M84" s="180">
        <v>57856428</v>
      </c>
      <c r="N84" s="180"/>
      <c r="O84" s="180">
        <v>343688</v>
      </c>
      <c r="P84" s="180">
        <v>983595</v>
      </c>
      <c r="Q84" s="180">
        <v>1854329</v>
      </c>
      <c r="R84" s="180">
        <v>26737</v>
      </c>
      <c r="S84" s="180">
        <v>400590</v>
      </c>
      <c r="T84" s="180">
        <v>2406269</v>
      </c>
      <c r="U84" s="180">
        <v>4182560</v>
      </c>
      <c r="V84" s="180">
        <v>6399530</v>
      </c>
      <c r="W84" s="180">
        <v>8632052</v>
      </c>
      <c r="X84" s="180">
        <v>3704724</v>
      </c>
      <c r="Y84" s="180">
        <v>212067</v>
      </c>
      <c r="Z84" s="180">
        <v>7433579</v>
      </c>
      <c r="AA84" s="180">
        <v>4268084</v>
      </c>
      <c r="AB84" s="180">
        <v>80173</v>
      </c>
      <c r="AC84" s="180">
        <v>66349921</v>
      </c>
      <c r="AD84" s="180"/>
      <c r="AE84" s="180">
        <v>647900</v>
      </c>
      <c r="AF84" s="180">
        <v>222568</v>
      </c>
      <c r="AG84" s="180">
        <v>26390341</v>
      </c>
      <c r="AH84" s="180">
        <v>1463044</v>
      </c>
      <c r="AI84" s="180">
        <v>2472392</v>
      </c>
      <c r="AJ84" s="180">
        <v>1401703</v>
      </c>
      <c r="AK84" s="180">
        <v>90739</v>
      </c>
      <c r="AL84" s="180">
        <v>1155230</v>
      </c>
      <c r="AM84" s="180">
        <v>3170292</v>
      </c>
      <c r="AN84" s="180">
        <v>3629931</v>
      </c>
      <c r="AO84" s="180">
        <v>4558441</v>
      </c>
      <c r="AP84" s="180">
        <v>93475</v>
      </c>
      <c r="AQ84" s="180">
        <v>69736</v>
      </c>
      <c r="AR84" s="180">
        <v>6523323</v>
      </c>
      <c r="AS84" s="180">
        <v>5471994</v>
      </c>
      <c r="AT84" s="180">
        <v>151797</v>
      </c>
      <c r="AU84" s="180">
        <v>302376</v>
      </c>
      <c r="AV84" s="180">
        <v>516513</v>
      </c>
      <c r="AW84" s="180">
        <v>184502</v>
      </c>
      <c r="AX84" s="180">
        <v>524381</v>
      </c>
      <c r="AY84" s="180">
        <v>3709751</v>
      </c>
      <c r="AZ84" s="180">
        <v>1631770</v>
      </c>
      <c r="BA84" s="180">
        <v>95427089</v>
      </c>
      <c r="BB84" s="180">
        <v>1622921</v>
      </c>
      <c r="BC84" s="180">
        <v>5688342</v>
      </c>
      <c r="BD84" s="180">
        <v>624383</v>
      </c>
      <c r="BE84" s="180">
        <v>536372</v>
      </c>
      <c r="BF84" s="180">
        <v>4482940</v>
      </c>
      <c r="BG84" s="180">
        <v>95973</v>
      </c>
      <c r="BH84" s="180">
        <v>523858</v>
      </c>
      <c r="BI84" s="180">
        <v>2547370</v>
      </c>
      <c r="BJ84" s="180">
        <v>20982316</v>
      </c>
      <c r="BK84" s="180">
        <v>103070</v>
      </c>
      <c r="BL84" s="180">
        <v>71996</v>
      </c>
      <c r="BM84" s="180">
        <v>37879631</v>
      </c>
      <c r="BN84" s="180">
        <v>43977896</v>
      </c>
      <c r="BO84" s="180">
        <v>8730662</v>
      </c>
      <c r="BP84" s="180">
        <v>179879</v>
      </c>
      <c r="BQ84" s="180">
        <v>729502</v>
      </c>
      <c r="BR84" s="180">
        <v>3970033</v>
      </c>
      <c r="BS84" s="180">
        <v>5320480</v>
      </c>
      <c r="BT84" s="180">
        <v>769172</v>
      </c>
      <c r="BU84" s="180">
        <v>1007092</v>
      </c>
      <c r="BV84" s="180">
        <v>4453695</v>
      </c>
      <c r="BW84" s="180">
        <v>3093966</v>
      </c>
      <c r="BX84" s="180"/>
      <c r="BY84" s="180"/>
      <c r="BZ84" s="180">
        <v>9003383</v>
      </c>
      <c r="CA84" s="180">
        <v>222062</v>
      </c>
      <c r="CB84" s="180"/>
      <c r="CC84" s="180">
        <v>12802799</v>
      </c>
      <c r="CD84" s="180">
        <v>249917190</v>
      </c>
      <c r="CE84" s="180">
        <v>72561636</v>
      </c>
      <c r="CF84" s="180">
        <v>651124</v>
      </c>
      <c r="CG84" s="180">
        <v>4742463</v>
      </c>
      <c r="CH84" s="180">
        <v>1471314</v>
      </c>
      <c r="CI84" s="180">
        <v>2626323</v>
      </c>
      <c r="CJ84" s="180">
        <v>302486594</v>
      </c>
      <c r="CK84" s="180">
        <v>29343906</v>
      </c>
      <c r="CL84" s="180">
        <v>1602076</v>
      </c>
      <c r="CM84" s="180">
        <v>2069817</v>
      </c>
      <c r="CN84" s="180">
        <v>950548</v>
      </c>
      <c r="CO84" s="180">
        <v>9131921</v>
      </c>
      <c r="CP84" s="180">
        <v>2981816</v>
      </c>
      <c r="CQ84" s="180">
        <v>2175661</v>
      </c>
      <c r="CR84" s="180">
        <v>1367402</v>
      </c>
      <c r="CS84" s="180">
        <v>21266925</v>
      </c>
      <c r="CT84" s="180"/>
      <c r="CU84" s="180"/>
    </row>
    <row r="85" spans="1:99" x14ac:dyDescent="0.3">
      <c r="A85" s="155">
        <v>375</v>
      </c>
      <c r="B85" s="180" t="s">
        <v>213</v>
      </c>
      <c r="C85" s="180"/>
      <c r="D85" s="180">
        <v>0</v>
      </c>
      <c r="E85" s="180">
        <v>0</v>
      </c>
      <c r="F85" s="180">
        <v>53111</v>
      </c>
      <c r="G85" s="180">
        <v>0</v>
      </c>
      <c r="H85" s="180">
        <v>0</v>
      </c>
      <c r="I85" s="180">
        <v>996353</v>
      </c>
      <c r="J85" s="180">
        <v>1566359</v>
      </c>
      <c r="K85" s="180"/>
      <c r="L85" s="180">
        <v>150606</v>
      </c>
      <c r="M85" s="180">
        <v>14473027</v>
      </c>
      <c r="N85" s="180"/>
      <c r="O85" s="180">
        <v>0</v>
      </c>
      <c r="P85" s="180">
        <v>1651212</v>
      </c>
      <c r="Q85" s="180">
        <v>281999</v>
      </c>
      <c r="R85" s="180">
        <v>0</v>
      </c>
      <c r="S85" s="180">
        <v>123116</v>
      </c>
      <c r="T85" s="180">
        <v>0</v>
      </c>
      <c r="U85" s="180">
        <v>0</v>
      </c>
      <c r="V85" s="180">
        <v>0</v>
      </c>
      <c r="W85" s="180">
        <v>14374332</v>
      </c>
      <c r="X85" s="180">
        <v>0</v>
      </c>
      <c r="Y85" s="180">
        <v>2800504</v>
      </c>
      <c r="Z85" s="180">
        <v>0</v>
      </c>
      <c r="AA85" s="180">
        <v>1999986</v>
      </c>
      <c r="AB85" s="180">
        <v>0</v>
      </c>
      <c r="AC85" s="180">
        <v>-1296195</v>
      </c>
      <c r="AD85" s="180"/>
      <c r="AE85" s="180">
        <v>724317</v>
      </c>
      <c r="AF85" s="180">
        <v>373989</v>
      </c>
      <c r="AG85" s="180">
        <v>14186680</v>
      </c>
      <c r="AH85" s="180">
        <v>0</v>
      </c>
      <c r="AI85" s="180">
        <v>2115105</v>
      </c>
      <c r="AJ85" s="180">
        <v>0</v>
      </c>
      <c r="AK85" s="180">
        <v>422278</v>
      </c>
      <c r="AL85" s="180">
        <v>820748</v>
      </c>
      <c r="AM85" s="180">
        <v>2301150</v>
      </c>
      <c r="AN85" s="180">
        <v>441987</v>
      </c>
      <c r="AO85" s="180">
        <v>177591</v>
      </c>
      <c r="AP85" s="180">
        <v>81818</v>
      </c>
      <c r="AQ85" s="180">
        <v>0</v>
      </c>
      <c r="AR85" s="180">
        <v>2845266</v>
      </c>
      <c r="AS85" s="180">
        <v>144443</v>
      </c>
      <c r="AT85" s="180">
        <v>0</v>
      </c>
      <c r="AU85" s="180">
        <v>0</v>
      </c>
      <c r="AV85" s="180">
        <v>0</v>
      </c>
      <c r="AW85" s="180">
        <v>0</v>
      </c>
      <c r="AX85" s="180">
        <v>142819</v>
      </c>
      <c r="AY85" s="180">
        <v>2166197</v>
      </c>
      <c r="AZ85" s="180">
        <v>478911</v>
      </c>
      <c r="BA85" s="180">
        <v>0</v>
      </c>
      <c r="BB85" s="180">
        <v>456225</v>
      </c>
      <c r="BC85" s="180">
        <v>3522124</v>
      </c>
      <c r="BD85" s="180">
        <v>0</v>
      </c>
      <c r="BE85" s="180">
        <v>1568342</v>
      </c>
      <c r="BF85" s="180">
        <v>956839</v>
      </c>
      <c r="BG85" s="180">
        <v>116009</v>
      </c>
      <c r="BH85" s="180">
        <v>772397</v>
      </c>
      <c r="BI85" s="180">
        <v>2769843</v>
      </c>
      <c r="BJ85" s="180">
        <v>6927268</v>
      </c>
      <c r="BK85" s="180">
        <v>0</v>
      </c>
      <c r="BL85" s="180">
        <v>0</v>
      </c>
      <c r="BM85" s="180">
        <v>0</v>
      </c>
      <c r="BN85" s="180">
        <v>5443000</v>
      </c>
      <c r="BO85" s="180">
        <v>4755227</v>
      </c>
      <c r="BP85" s="180">
        <v>0</v>
      </c>
      <c r="BQ85" s="180">
        <v>0</v>
      </c>
      <c r="BR85" s="180">
        <v>2893380</v>
      </c>
      <c r="BS85" s="180">
        <v>0</v>
      </c>
      <c r="BT85" s="180">
        <v>0</v>
      </c>
      <c r="BU85" s="180">
        <v>0</v>
      </c>
      <c r="BV85" s="180">
        <v>1074561</v>
      </c>
      <c r="BW85" s="180">
        <v>0</v>
      </c>
      <c r="BX85" s="180"/>
      <c r="BY85" s="180"/>
      <c r="BZ85" s="180">
        <v>1894847</v>
      </c>
      <c r="CA85" s="180">
        <v>90699</v>
      </c>
      <c r="CB85" s="180"/>
      <c r="CC85" s="180">
        <v>7398368</v>
      </c>
      <c r="CD85" s="180">
        <v>0</v>
      </c>
      <c r="CE85" s="180">
        <v>16226587</v>
      </c>
      <c r="CF85" s="180">
        <v>89110</v>
      </c>
      <c r="CG85" s="180">
        <v>1247346</v>
      </c>
      <c r="CH85" s="180">
        <v>85586</v>
      </c>
      <c r="CI85" s="180">
        <v>1355821</v>
      </c>
      <c r="CJ85" s="180">
        <v>45661107</v>
      </c>
      <c r="CK85" s="180">
        <v>1503096</v>
      </c>
      <c r="CL85" s="180">
        <v>1029690</v>
      </c>
      <c r="CM85" s="180">
        <v>0</v>
      </c>
      <c r="CN85" s="180">
        <v>649081</v>
      </c>
      <c r="CO85" s="180">
        <v>10094332</v>
      </c>
      <c r="CP85" s="180">
        <v>3881486</v>
      </c>
      <c r="CQ85" s="180">
        <v>1622265</v>
      </c>
      <c r="CR85" s="180">
        <v>0</v>
      </c>
      <c r="CS85" s="180">
        <v>0</v>
      </c>
      <c r="CT85" s="180"/>
      <c r="CU85" s="180"/>
    </row>
    <row r="86" spans="1:99" x14ac:dyDescent="0.3">
      <c r="A86" s="155">
        <v>376</v>
      </c>
      <c r="B86" s="180" t="s">
        <v>100</v>
      </c>
      <c r="C86" s="180"/>
      <c r="D86" s="180">
        <v>0</v>
      </c>
      <c r="E86" s="180">
        <v>0</v>
      </c>
      <c r="F86" s="180">
        <v>0</v>
      </c>
      <c r="G86" s="180">
        <v>0</v>
      </c>
      <c r="H86" s="180">
        <v>0</v>
      </c>
      <c r="I86" s="180">
        <v>0</v>
      </c>
      <c r="J86" s="180">
        <v>0</v>
      </c>
      <c r="K86" s="180"/>
      <c r="L86" s="180">
        <v>0</v>
      </c>
      <c r="M86" s="180">
        <v>0</v>
      </c>
      <c r="N86" s="180"/>
      <c r="O86" s="180">
        <v>0</v>
      </c>
      <c r="P86" s="180">
        <v>0</v>
      </c>
      <c r="Q86" s="180">
        <v>0</v>
      </c>
      <c r="R86" s="180">
        <v>0</v>
      </c>
      <c r="S86" s="180">
        <v>0</v>
      </c>
      <c r="T86" s="180">
        <v>0</v>
      </c>
      <c r="U86" s="180">
        <v>0</v>
      </c>
      <c r="V86" s="180">
        <v>0</v>
      </c>
      <c r="W86" s="180">
        <v>0</v>
      </c>
      <c r="X86" s="180">
        <v>0</v>
      </c>
      <c r="Y86" s="180">
        <v>0</v>
      </c>
      <c r="Z86" s="180">
        <v>0</v>
      </c>
      <c r="AA86" s="180">
        <v>0</v>
      </c>
      <c r="AB86" s="180">
        <v>0</v>
      </c>
      <c r="AC86" s="180">
        <v>759457</v>
      </c>
      <c r="AD86" s="180"/>
      <c r="AE86" s="180">
        <v>0</v>
      </c>
      <c r="AF86" s="180">
        <v>0</v>
      </c>
      <c r="AG86" s="180">
        <v>0</v>
      </c>
      <c r="AH86" s="180">
        <v>0</v>
      </c>
      <c r="AI86" s="180">
        <v>0</v>
      </c>
      <c r="AJ86" s="180">
        <v>0</v>
      </c>
      <c r="AK86" s="180">
        <v>0</v>
      </c>
      <c r="AL86" s="180">
        <v>0</v>
      </c>
      <c r="AM86" s="180">
        <v>1643503</v>
      </c>
      <c r="AN86" s="180">
        <v>0</v>
      </c>
      <c r="AO86" s="180">
        <v>0</v>
      </c>
      <c r="AP86" s="180">
        <v>0</v>
      </c>
      <c r="AQ86" s="180">
        <v>0</v>
      </c>
      <c r="AR86" s="180">
        <v>0</v>
      </c>
      <c r="AS86" s="180">
        <v>0</v>
      </c>
      <c r="AT86" s="180">
        <v>0</v>
      </c>
      <c r="AU86" s="180">
        <v>0</v>
      </c>
      <c r="AV86" s="180">
        <v>0</v>
      </c>
      <c r="AW86" s="180">
        <v>0</v>
      </c>
      <c r="AX86" s="180">
        <v>0</v>
      </c>
      <c r="AY86" s="180">
        <v>0</v>
      </c>
      <c r="AZ86" s="180">
        <v>0</v>
      </c>
      <c r="BA86" s="180">
        <v>0</v>
      </c>
      <c r="BB86" s="180">
        <v>0</v>
      </c>
      <c r="BC86" s="180">
        <v>0</v>
      </c>
      <c r="BD86" s="180">
        <v>1</v>
      </c>
      <c r="BE86" s="180">
        <v>0</v>
      </c>
      <c r="BF86" s="180">
        <v>-20633</v>
      </c>
      <c r="BG86" s="180">
        <v>0</v>
      </c>
      <c r="BH86" s="180">
        <v>162982</v>
      </c>
      <c r="BI86" s="180">
        <v>0</v>
      </c>
      <c r="BJ86" s="180">
        <v>0</v>
      </c>
      <c r="BK86" s="180">
        <v>0</v>
      </c>
      <c r="BL86" s="180">
        <v>0</v>
      </c>
      <c r="BM86" s="180">
        <v>0</v>
      </c>
      <c r="BN86" s="180">
        <v>5400</v>
      </c>
      <c r="BO86" s="180">
        <v>0</v>
      </c>
      <c r="BP86" s="180">
        <v>0</v>
      </c>
      <c r="BQ86" s="180">
        <v>0</v>
      </c>
      <c r="BR86" s="180">
        <v>0</v>
      </c>
      <c r="BS86" s="180">
        <v>0</v>
      </c>
      <c r="BT86" s="180">
        <v>662</v>
      </c>
      <c r="BU86" s="180">
        <v>0</v>
      </c>
      <c r="BV86" s="180">
        <v>-1</v>
      </c>
      <c r="BW86" s="180">
        <v>0</v>
      </c>
      <c r="BX86" s="180"/>
      <c r="BY86" s="180"/>
      <c r="BZ86" s="180">
        <v>-85894</v>
      </c>
      <c r="CA86" s="180">
        <v>0</v>
      </c>
      <c r="CB86" s="180"/>
      <c r="CC86" s="180">
        <v>0</v>
      </c>
      <c r="CD86" s="180">
        <v>0</v>
      </c>
      <c r="CE86" s="180">
        <v>0</v>
      </c>
      <c r="CF86" s="180">
        <v>0</v>
      </c>
      <c r="CG86" s="180">
        <v>0</v>
      </c>
      <c r="CH86" s="180">
        <v>0</v>
      </c>
      <c r="CI86" s="180">
        <v>18904</v>
      </c>
      <c r="CJ86" s="180">
        <v>0</v>
      </c>
      <c r="CK86" s="180">
        <v>0</v>
      </c>
      <c r="CL86" s="180">
        <v>0</v>
      </c>
      <c r="CM86" s="180">
        <v>0</v>
      </c>
      <c r="CN86" s="180">
        <v>0</v>
      </c>
      <c r="CO86" s="180">
        <v>0</v>
      </c>
      <c r="CP86" s="180">
        <v>0</v>
      </c>
      <c r="CQ86" s="180">
        <v>0</v>
      </c>
      <c r="CR86" s="180">
        <v>0</v>
      </c>
      <c r="CS86" s="180">
        <v>0</v>
      </c>
      <c r="CT86" s="180"/>
      <c r="CU86" s="180"/>
    </row>
    <row r="87" spans="1:99" x14ac:dyDescent="0.3">
      <c r="A87" s="155">
        <v>377</v>
      </c>
      <c r="B87" s="180" t="s">
        <v>101</v>
      </c>
      <c r="C87" s="180"/>
      <c r="D87" s="180">
        <v>0</v>
      </c>
      <c r="E87" s="180">
        <v>0</v>
      </c>
      <c r="F87" s="180">
        <v>0</v>
      </c>
      <c r="G87" s="180">
        <v>0</v>
      </c>
      <c r="H87" s="180">
        <v>0</v>
      </c>
      <c r="I87" s="180">
        <v>0</v>
      </c>
      <c r="J87" s="180">
        <v>0</v>
      </c>
      <c r="K87" s="180"/>
      <c r="L87" s="180">
        <v>0</v>
      </c>
      <c r="M87" s="180">
        <v>0</v>
      </c>
      <c r="N87" s="180"/>
      <c r="O87" s="180">
        <v>0</v>
      </c>
      <c r="P87" s="180">
        <v>0</v>
      </c>
      <c r="Q87" s="180">
        <v>0</v>
      </c>
      <c r="R87" s="180">
        <v>0</v>
      </c>
      <c r="S87" s="180">
        <v>0</v>
      </c>
      <c r="T87" s="180">
        <v>0</v>
      </c>
      <c r="U87" s="180">
        <v>0</v>
      </c>
      <c r="V87" s="180">
        <v>0</v>
      </c>
      <c r="W87" s="180">
        <v>0</v>
      </c>
      <c r="X87" s="180">
        <v>0</v>
      </c>
      <c r="Y87" s="180">
        <v>0</v>
      </c>
      <c r="Z87" s="180">
        <v>0</v>
      </c>
      <c r="AA87" s="180">
        <v>0</v>
      </c>
      <c r="AB87" s="180">
        <v>0</v>
      </c>
      <c r="AC87" s="180">
        <v>0</v>
      </c>
      <c r="AD87" s="180"/>
      <c r="AE87" s="180">
        <v>0</v>
      </c>
      <c r="AF87" s="180">
        <v>0</v>
      </c>
      <c r="AG87" s="180">
        <v>0</v>
      </c>
      <c r="AH87" s="180">
        <v>0</v>
      </c>
      <c r="AI87" s="180">
        <v>0</v>
      </c>
      <c r="AJ87" s="180">
        <v>0</v>
      </c>
      <c r="AK87" s="180">
        <v>0</v>
      </c>
      <c r="AL87" s="180">
        <v>0</v>
      </c>
      <c r="AM87" s="180">
        <v>75789</v>
      </c>
      <c r="AN87" s="180">
        <v>0</v>
      </c>
      <c r="AO87" s="180">
        <v>0</v>
      </c>
      <c r="AP87" s="180">
        <v>0</v>
      </c>
      <c r="AQ87" s="180">
        <v>0</v>
      </c>
      <c r="AR87" s="180">
        <v>1</v>
      </c>
      <c r="AS87" s="180">
        <v>14433</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275432</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c r="BY87" s="180"/>
      <c r="BZ87" s="180">
        <v>-28880</v>
      </c>
      <c r="CA87" s="180">
        <v>0</v>
      </c>
      <c r="CB87" s="180"/>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c r="CU87" s="180"/>
    </row>
    <row r="88" spans="1:99" x14ac:dyDescent="0.3">
      <c r="A88" s="155">
        <v>378</v>
      </c>
      <c r="B88" s="180" t="s">
        <v>102</v>
      </c>
      <c r="C88" s="180"/>
      <c r="D88" s="180">
        <v>0</v>
      </c>
      <c r="E88" s="180">
        <v>0</v>
      </c>
      <c r="F88" s="180">
        <v>0</v>
      </c>
      <c r="G88" s="180">
        <v>0</v>
      </c>
      <c r="H88" s="180">
        <v>0</v>
      </c>
      <c r="I88" s="180">
        <v>0</v>
      </c>
      <c r="J88" s="180">
        <v>0</v>
      </c>
      <c r="K88" s="180"/>
      <c r="L88" s="180">
        <v>0</v>
      </c>
      <c r="M88" s="180">
        <v>0</v>
      </c>
      <c r="N88" s="180"/>
      <c r="O88" s="180">
        <v>0</v>
      </c>
      <c r="P88" s="180">
        <v>0</v>
      </c>
      <c r="Q88" s="180">
        <v>0</v>
      </c>
      <c r="R88" s="180">
        <v>0</v>
      </c>
      <c r="S88" s="180">
        <v>0</v>
      </c>
      <c r="T88" s="180">
        <v>0</v>
      </c>
      <c r="U88" s="180">
        <v>0</v>
      </c>
      <c r="V88" s="180">
        <v>0</v>
      </c>
      <c r="W88" s="180">
        <v>0</v>
      </c>
      <c r="X88" s="180">
        <v>0</v>
      </c>
      <c r="Y88" s="180">
        <v>0</v>
      </c>
      <c r="Z88" s="180">
        <v>0</v>
      </c>
      <c r="AA88" s="180">
        <v>0</v>
      </c>
      <c r="AB88" s="180">
        <v>0</v>
      </c>
      <c r="AC88" s="180">
        <v>-658820</v>
      </c>
      <c r="AD88" s="180"/>
      <c r="AE88" s="180">
        <v>0</v>
      </c>
      <c r="AF88" s="180">
        <v>0</v>
      </c>
      <c r="AG88" s="180">
        <v>0</v>
      </c>
      <c r="AH88" s="180">
        <v>0</v>
      </c>
      <c r="AI88" s="180">
        <v>0</v>
      </c>
      <c r="AJ88" s="180">
        <v>0</v>
      </c>
      <c r="AK88" s="180">
        <v>0</v>
      </c>
      <c r="AL88" s="180">
        <v>0</v>
      </c>
      <c r="AM88" s="180">
        <v>0</v>
      </c>
      <c r="AN88" s="180">
        <v>0</v>
      </c>
      <c r="AO88" s="180">
        <v>0</v>
      </c>
      <c r="AP88" s="180">
        <v>0</v>
      </c>
      <c r="AQ88" s="180">
        <v>0</v>
      </c>
      <c r="AR88" s="180">
        <v>0</v>
      </c>
      <c r="AS88" s="180">
        <v>0</v>
      </c>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v>0</v>
      </c>
      <c r="BM88" s="180">
        <v>0</v>
      </c>
      <c r="BN88" s="180">
        <v>0</v>
      </c>
      <c r="BO88" s="180">
        <v>0</v>
      </c>
      <c r="BP88" s="180">
        <v>0</v>
      </c>
      <c r="BQ88" s="180">
        <v>0</v>
      </c>
      <c r="BR88" s="180">
        <v>0</v>
      </c>
      <c r="BS88" s="180">
        <v>0</v>
      </c>
      <c r="BT88" s="180">
        <v>0</v>
      </c>
      <c r="BU88" s="180">
        <v>0</v>
      </c>
      <c r="BV88" s="180">
        <v>0</v>
      </c>
      <c r="BW88" s="180">
        <v>0</v>
      </c>
      <c r="BX88" s="180"/>
      <c r="BY88" s="180"/>
      <c r="BZ88" s="180">
        <v>0</v>
      </c>
      <c r="CA88" s="180">
        <v>0</v>
      </c>
      <c r="CB88" s="180"/>
      <c r="CC88" s="180">
        <v>0</v>
      </c>
      <c r="CD88" s="180">
        <v>0</v>
      </c>
      <c r="CE88" s="180">
        <v>0</v>
      </c>
      <c r="CF88" s="180">
        <v>0</v>
      </c>
      <c r="CG88" s="180">
        <v>0</v>
      </c>
      <c r="CH88" s="180">
        <v>0</v>
      </c>
      <c r="CI88" s="180">
        <v>0</v>
      </c>
      <c r="CJ88" s="180">
        <v>0</v>
      </c>
      <c r="CK88" s="180">
        <v>0</v>
      </c>
      <c r="CL88" s="180">
        <v>0</v>
      </c>
      <c r="CM88" s="180">
        <v>0</v>
      </c>
      <c r="CN88" s="180">
        <v>0</v>
      </c>
      <c r="CO88" s="180">
        <v>0</v>
      </c>
      <c r="CP88" s="180">
        <v>0</v>
      </c>
      <c r="CQ88" s="180">
        <v>0</v>
      </c>
      <c r="CR88" s="180">
        <v>0</v>
      </c>
      <c r="CS88" s="180">
        <v>0</v>
      </c>
      <c r="CT88" s="180"/>
      <c r="CU88" s="180"/>
    </row>
    <row r="89" spans="1:99" x14ac:dyDescent="0.3">
      <c r="A89" s="155">
        <v>379</v>
      </c>
      <c r="B89" s="180" t="s">
        <v>110</v>
      </c>
      <c r="C89" s="180"/>
      <c r="D89" s="180">
        <v>919729</v>
      </c>
      <c r="E89" s="180">
        <v>6101871</v>
      </c>
      <c r="F89" s="180">
        <v>1936667</v>
      </c>
      <c r="G89" s="180">
        <v>821454</v>
      </c>
      <c r="H89" s="180">
        <v>12015001</v>
      </c>
      <c r="I89" s="180">
        <v>1348521</v>
      </c>
      <c r="J89" s="180">
        <v>2315569</v>
      </c>
      <c r="K89" s="180"/>
      <c r="L89" s="180">
        <v>1189917</v>
      </c>
      <c r="M89" s="180">
        <v>39582787</v>
      </c>
      <c r="N89" s="180"/>
      <c r="O89" s="180">
        <v>1195749</v>
      </c>
      <c r="P89" s="180">
        <v>2993437</v>
      </c>
      <c r="Q89" s="180">
        <v>1324454</v>
      </c>
      <c r="R89" s="180">
        <v>336052</v>
      </c>
      <c r="S89" s="180">
        <v>433979</v>
      </c>
      <c r="T89" s="180">
        <v>1440714</v>
      </c>
      <c r="U89" s="180">
        <v>7561384</v>
      </c>
      <c r="V89" s="180">
        <v>12483838</v>
      </c>
      <c r="W89" s="180">
        <v>11949198</v>
      </c>
      <c r="X89" s="180">
        <v>4430844</v>
      </c>
      <c r="Y89" s="180">
        <v>3718909</v>
      </c>
      <c r="Z89" s="180">
        <v>7265432</v>
      </c>
      <c r="AA89" s="180">
        <v>2576673</v>
      </c>
      <c r="AB89" s="180">
        <v>134276</v>
      </c>
      <c r="AC89" s="180">
        <v>7105180</v>
      </c>
      <c r="AD89" s="180"/>
      <c r="AE89" s="180">
        <v>1224858</v>
      </c>
      <c r="AF89" s="180">
        <v>945485</v>
      </c>
      <c r="AG89" s="180">
        <v>22901040</v>
      </c>
      <c r="AH89" s="180">
        <v>2364380</v>
      </c>
      <c r="AI89" s="180">
        <v>4002243</v>
      </c>
      <c r="AJ89" s="180">
        <v>2969022</v>
      </c>
      <c r="AK89" s="180">
        <v>1211781</v>
      </c>
      <c r="AL89" s="180">
        <v>11463191</v>
      </c>
      <c r="AM89" s="180">
        <v>5628999</v>
      </c>
      <c r="AN89" s="180">
        <v>2208574</v>
      </c>
      <c r="AO89" s="180">
        <v>2042639</v>
      </c>
      <c r="AP89" s="180">
        <v>237989</v>
      </c>
      <c r="AQ89" s="180">
        <v>3505645</v>
      </c>
      <c r="AR89" s="180">
        <v>7282651</v>
      </c>
      <c r="AS89" s="180">
        <v>1044939</v>
      </c>
      <c r="AT89" s="180">
        <v>484507</v>
      </c>
      <c r="AU89" s="180">
        <v>2059690</v>
      </c>
      <c r="AV89" s="180">
        <v>734461</v>
      </c>
      <c r="AW89" s="180">
        <v>194536</v>
      </c>
      <c r="AX89" s="180">
        <v>401776</v>
      </c>
      <c r="AY89" s="180">
        <v>4523258</v>
      </c>
      <c r="AZ89" s="180">
        <v>1428949</v>
      </c>
      <c r="BA89" s="180">
        <v>34203318</v>
      </c>
      <c r="BB89" s="180">
        <v>6081843</v>
      </c>
      <c r="BC89" s="180">
        <v>3306486</v>
      </c>
      <c r="BD89" s="180">
        <v>3394844</v>
      </c>
      <c r="BE89" s="180">
        <v>1903410</v>
      </c>
      <c r="BF89" s="180">
        <v>2224006</v>
      </c>
      <c r="BG89" s="180">
        <v>327532</v>
      </c>
      <c r="BH89" s="180">
        <v>1430082</v>
      </c>
      <c r="BI89" s="180">
        <v>3592918</v>
      </c>
      <c r="BJ89" s="180">
        <v>10472522</v>
      </c>
      <c r="BK89" s="180">
        <v>638470</v>
      </c>
      <c r="BL89" s="180">
        <v>349678</v>
      </c>
      <c r="BM89" s="180">
        <v>19278009</v>
      </c>
      <c r="BN89" s="180">
        <v>14220402</v>
      </c>
      <c r="BO89" s="180">
        <v>7636516</v>
      </c>
      <c r="BP89" s="180">
        <v>272936</v>
      </c>
      <c r="BQ89" s="180">
        <v>4772151</v>
      </c>
      <c r="BR89" s="180">
        <v>1623059</v>
      </c>
      <c r="BS89" s="180">
        <v>23710671</v>
      </c>
      <c r="BT89" s="180">
        <v>2376488</v>
      </c>
      <c r="BU89" s="180">
        <v>1831461</v>
      </c>
      <c r="BV89" s="180">
        <v>2747571</v>
      </c>
      <c r="BW89" s="180">
        <v>4993656</v>
      </c>
      <c r="BX89" s="180"/>
      <c r="BY89" s="180"/>
      <c r="BZ89" s="180">
        <v>4538845</v>
      </c>
      <c r="CA89" s="180">
        <v>755084</v>
      </c>
      <c r="CB89" s="180"/>
      <c r="CC89" s="180">
        <v>7118315</v>
      </c>
      <c r="CD89" s="180">
        <v>93648840</v>
      </c>
      <c r="CE89" s="180">
        <v>36745451</v>
      </c>
      <c r="CF89" s="180">
        <v>1322141</v>
      </c>
      <c r="CG89" s="180">
        <v>4508379</v>
      </c>
      <c r="CH89" s="180">
        <v>346010</v>
      </c>
      <c r="CI89" s="180">
        <v>2053492</v>
      </c>
      <c r="CJ89" s="180">
        <v>96138458</v>
      </c>
      <c r="CK89" s="180">
        <v>15101642</v>
      </c>
      <c r="CL89" s="180">
        <v>1152838</v>
      </c>
      <c r="CM89" s="180">
        <v>6652717</v>
      </c>
      <c r="CN89" s="180">
        <v>1278474</v>
      </c>
      <c r="CO89" s="180">
        <v>21714268</v>
      </c>
      <c r="CP89" s="180">
        <v>4060306</v>
      </c>
      <c r="CQ89" s="180">
        <v>2116990</v>
      </c>
      <c r="CR89" s="180">
        <v>4362101</v>
      </c>
      <c r="CS89" s="180">
        <v>19081885</v>
      </c>
      <c r="CT89" s="180"/>
      <c r="CU89" s="180"/>
    </row>
    <row r="90" spans="1:99" x14ac:dyDescent="0.3">
      <c r="A90" s="155">
        <v>380</v>
      </c>
      <c r="B90" s="180" t="s">
        <v>113</v>
      </c>
      <c r="C90" s="180"/>
      <c r="D90" s="180">
        <v>969</v>
      </c>
      <c r="E90" s="180">
        <v>2896</v>
      </c>
      <c r="F90" s="180">
        <v>130400</v>
      </c>
      <c r="G90" s="180">
        <v>888</v>
      </c>
      <c r="H90" s="180">
        <v>17804</v>
      </c>
      <c r="I90" s="180">
        <v>178576</v>
      </c>
      <c r="J90" s="180">
        <v>16835</v>
      </c>
      <c r="K90" s="180"/>
      <c r="L90" s="180">
        <v>44670</v>
      </c>
      <c r="M90" s="180">
        <v>50898</v>
      </c>
      <c r="N90" s="180"/>
      <c r="O90" s="180">
        <v>2578</v>
      </c>
      <c r="P90" s="180">
        <v>0</v>
      </c>
      <c r="Q90" s="180">
        <v>15170</v>
      </c>
      <c r="R90" s="180">
        <v>2969</v>
      </c>
      <c r="S90" s="180">
        <v>2984</v>
      </c>
      <c r="T90" s="180">
        <v>4355</v>
      </c>
      <c r="U90" s="180">
        <v>685</v>
      </c>
      <c r="V90" s="180">
        <v>15865</v>
      </c>
      <c r="W90" s="180">
        <v>232755</v>
      </c>
      <c r="X90" s="180">
        <v>156694</v>
      </c>
      <c r="Y90" s="180">
        <v>0</v>
      </c>
      <c r="Z90" s="180">
        <v>60808</v>
      </c>
      <c r="AA90" s="180">
        <v>57700</v>
      </c>
      <c r="AB90" s="180">
        <v>8510</v>
      </c>
      <c r="AC90" s="180">
        <v>459804</v>
      </c>
      <c r="AD90" s="180"/>
      <c r="AE90" s="180">
        <v>54034</v>
      </c>
      <c r="AF90" s="180">
        <v>26712</v>
      </c>
      <c r="AG90" s="180">
        <v>1406330</v>
      </c>
      <c r="AH90" s="180">
        <v>0</v>
      </c>
      <c r="AI90" s="180">
        <v>40370</v>
      </c>
      <c r="AJ90" s="180">
        <v>4951</v>
      </c>
      <c r="AK90" s="180">
        <v>217446</v>
      </c>
      <c r="AL90" s="180">
        <v>14212</v>
      </c>
      <c r="AM90" s="180">
        <v>81392</v>
      </c>
      <c r="AN90" s="180">
        <v>183625</v>
      </c>
      <c r="AO90" s="180">
        <v>68229</v>
      </c>
      <c r="AP90" s="180">
        <v>495</v>
      </c>
      <c r="AQ90" s="180">
        <v>9102</v>
      </c>
      <c r="AR90" s="180">
        <v>114911</v>
      </c>
      <c r="AS90" s="180">
        <v>15395</v>
      </c>
      <c r="AT90" s="180">
        <v>4782</v>
      </c>
      <c r="AU90" s="180">
        <v>486</v>
      </c>
      <c r="AV90" s="180">
        <v>5731</v>
      </c>
      <c r="AW90" s="180">
        <v>1641</v>
      </c>
      <c r="AX90" s="180">
        <v>2259</v>
      </c>
      <c r="AY90" s="180">
        <v>481383</v>
      </c>
      <c r="AZ90" s="180">
        <v>57141</v>
      </c>
      <c r="BA90" s="180">
        <v>225246</v>
      </c>
      <c r="BB90" s="180">
        <v>27403</v>
      </c>
      <c r="BC90" s="180">
        <v>178319</v>
      </c>
      <c r="BD90" s="180">
        <v>7879</v>
      </c>
      <c r="BE90" s="180">
        <v>19084</v>
      </c>
      <c r="BF90" s="180">
        <v>1239</v>
      </c>
      <c r="BG90" s="180">
        <v>2087</v>
      </c>
      <c r="BH90" s="180">
        <v>247718</v>
      </c>
      <c r="BI90" s="180">
        <v>419527</v>
      </c>
      <c r="BJ90" s="180">
        <v>446856</v>
      </c>
      <c r="BK90" s="180">
        <v>2875</v>
      </c>
      <c r="BL90" s="180">
        <v>1322</v>
      </c>
      <c r="BM90" s="180">
        <v>147979</v>
      </c>
      <c r="BN90" s="180">
        <v>532535</v>
      </c>
      <c r="BO90" s="180">
        <v>194712</v>
      </c>
      <c r="BP90" s="180">
        <v>137</v>
      </c>
      <c r="BQ90" s="180">
        <v>28588</v>
      </c>
      <c r="BR90" s="180">
        <v>51822</v>
      </c>
      <c r="BS90" s="180">
        <v>75107</v>
      </c>
      <c r="BT90" s="180">
        <v>50683</v>
      </c>
      <c r="BU90" s="180">
        <v>263</v>
      </c>
      <c r="BV90" s="180">
        <v>23741</v>
      </c>
      <c r="BW90" s="180">
        <v>4151</v>
      </c>
      <c r="BX90" s="180"/>
      <c r="BY90" s="180"/>
      <c r="BZ90" s="180">
        <v>930713</v>
      </c>
      <c r="CA90" s="180">
        <v>1838</v>
      </c>
      <c r="CB90" s="180"/>
      <c r="CC90" s="180">
        <v>873378</v>
      </c>
      <c r="CD90" s="180">
        <v>10669378</v>
      </c>
      <c r="CE90" s="180">
        <v>2052282</v>
      </c>
      <c r="CF90" s="180">
        <v>587</v>
      </c>
      <c r="CG90" s="180">
        <v>227255</v>
      </c>
      <c r="CH90" s="180">
        <v>27870</v>
      </c>
      <c r="CI90" s="180">
        <v>3967</v>
      </c>
      <c r="CJ90" s="180">
        <v>1780019</v>
      </c>
      <c r="CK90" s="180">
        <v>116573</v>
      </c>
      <c r="CL90" s="180">
        <v>0</v>
      </c>
      <c r="CM90" s="180">
        <v>14456</v>
      </c>
      <c r="CN90" s="180">
        <v>35424</v>
      </c>
      <c r="CO90" s="180">
        <v>118892</v>
      </c>
      <c r="CP90" s="180">
        <v>63657</v>
      </c>
      <c r="CQ90" s="180">
        <v>23735</v>
      </c>
      <c r="CR90" s="180">
        <v>41721</v>
      </c>
      <c r="CS90" s="180">
        <v>304919</v>
      </c>
      <c r="CT90" s="180"/>
      <c r="CU90" s="180"/>
    </row>
    <row r="91" spans="1:99" x14ac:dyDescent="0.3">
      <c r="A91" s="155">
        <v>381</v>
      </c>
      <c r="B91" s="180" t="s">
        <v>105</v>
      </c>
      <c r="C91" s="180"/>
      <c r="D91" s="180">
        <v>0</v>
      </c>
      <c r="E91" s="180">
        <v>0</v>
      </c>
      <c r="F91" s="180">
        <v>7646333</v>
      </c>
      <c r="G91" s="180">
        <v>0</v>
      </c>
      <c r="H91" s="180">
        <v>0</v>
      </c>
      <c r="I91" s="180">
        <v>4542357</v>
      </c>
      <c r="J91" s="180">
        <v>15898684</v>
      </c>
      <c r="K91" s="180"/>
      <c r="L91" s="180">
        <v>1312968</v>
      </c>
      <c r="M91" s="180">
        <v>92573326</v>
      </c>
      <c r="N91" s="180"/>
      <c r="O91" s="180">
        <v>0</v>
      </c>
      <c r="P91" s="180">
        <v>4622737</v>
      </c>
      <c r="Q91" s="180">
        <v>7881388</v>
      </c>
      <c r="R91" s="180">
        <v>0</v>
      </c>
      <c r="S91" s="180">
        <v>4356990</v>
      </c>
      <c r="T91" s="180">
        <v>0</v>
      </c>
      <c r="U91" s="180">
        <v>0</v>
      </c>
      <c r="V91" s="180">
        <v>0</v>
      </c>
      <c r="W91" s="180">
        <v>59584212</v>
      </c>
      <c r="X91" s="180">
        <v>0</v>
      </c>
      <c r="Y91" s="180">
        <v>6970982</v>
      </c>
      <c r="Z91" s="180">
        <v>0</v>
      </c>
      <c r="AA91" s="180">
        <v>13645906</v>
      </c>
      <c r="AB91" s="180">
        <v>0</v>
      </c>
      <c r="AC91" s="180">
        <v>14097190</v>
      </c>
      <c r="AD91" s="180"/>
      <c r="AE91" s="180">
        <v>4721633</v>
      </c>
      <c r="AF91" s="180">
        <v>2962910</v>
      </c>
      <c r="AG91" s="180">
        <v>61856873</v>
      </c>
      <c r="AH91" s="180">
        <v>0</v>
      </c>
      <c r="AI91" s="180">
        <v>7464397</v>
      </c>
      <c r="AJ91" s="180">
        <v>0</v>
      </c>
      <c r="AK91" s="180">
        <v>6552537</v>
      </c>
      <c r="AL91" s="180">
        <v>25709218</v>
      </c>
      <c r="AM91" s="180">
        <v>18853004</v>
      </c>
      <c r="AN91" s="180">
        <v>9494367</v>
      </c>
      <c r="AO91" s="180">
        <v>6488829</v>
      </c>
      <c r="AP91" s="180">
        <v>187564</v>
      </c>
      <c r="AQ91" s="180">
        <v>0</v>
      </c>
      <c r="AR91" s="180">
        <v>29325812</v>
      </c>
      <c r="AS91" s="180">
        <v>3255880</v>
      </c>
      <c r="AT91" s="180">
        <v>0</v>
      </c>
      <c r="AU91" s="180">
        <v>0</v>
      </c>
      <c r="AV91" s="180">
        <v>0</v>
      </c>
      <c r="AW91" s="180">
        <v>0</v>
      </c>
      <c r="AX91" s="180">
        <v>575793</v>
      </c>
      <c r="AY91" s="180">
        <v>16750024</v>
      </c>
      <c r="AZ91" s="180">
        <v>3406059</v>
      </c>
      <c r="BA91" s="180">
        <v>0</v>
      </c>
      <c r="BB91" s="180">
        <v>456225</v>
      </c>
      <c r="BC91" s="180">
        <v>19938667</v>
      </c>
      <c r="BD91" s="180">
        <v>0</v>
      </c>
      <c r="BE91" s="180">
        <v>5035622</v>
      </c>
      <c r="BF91" s="180">
        <v>3555287</v>
      </c>
      <c r="BG91" s="180">
        <v>1638608</v>
      </c>
      <c r="BH91" s="180">
        <v>11135661</v>
      </c>
      <c r="BI91" s="180">
        <v>22705283</v>
      </c>
      <c r="BJ91" s="180">
        <v>39833636</v>
      </c>
      <c r="BK91" s="180">
        <v>0</v>
      </c>
      <c r="BL91" s="180">
        <v>0</v>
      </c>
      <c r="BM91" s="180">
        <v>0</v>
      </c>
      <c r="BN91" s="180">
        <v>28405400</v>
      </c>
      <c r="BO91" s="180">
        <v>15581044</v>
      </c>
      <c r="BP91" s="180">
        <v>0</v>
      </c>
      <c r="BQ91" s="180">
        <v>0</v>
      </c>
      <c r="BR91" s="180">
        <v>9671279</v>
      </c>
      <c r="BS91" s="180">
        <v>381886</v>
      </c>
      <c r="BT91" s="180">
        <v>0</v>
      </c>
      <c r="BU91" s="180">
        <v>0</v>
      </c>
      <c r="BV91" s="180">
        <v>10894647</v>
      </c>
      <c r="BW91" s="180">
        <v>0</v>
      </c>
      <c r="BX91" s="180"/>
      <c r="BY91" s="180"/>
      <c r="BZ91" s="180">
        <v>19757772</v>
      </c>
      <c r="CA91" s="180">
        <v>674192</v>
      </c>
      <c r="CB91" s="180"/>
      <c r="CC91" s="180">
        <v>21130398</v>
      </c>
      <c r="CD91" s="180">
        <v>0</v>
      </c>
      <c r="CE91" s="180">
        <v>174502556</v>
      </c>
      <c r="CF91" s="180">
        <v>6557766</v>
      </c>
      <c r="CG91" s="180">
        <v>9065137</v>
      </c>
      <c r="CH91" s="180">
        <v>4681700</v>
      </c>
      <c r="CI91" s="180">
        <v>11372499</v>
      </c>
      <c r="CJ91" s="180">
        <v>1227674678</v>
      </c>
      <c r="CK91" s="180">
        <v>14242676</v>
      </c>
      <c r="CL91" s="180">
        <v>4267614</v>
      </c>
      <c r="CM91" s="180">
        <v>0</v>
      </c>
      <c r="CN91" s="180">
        <v>3637497</v>
      </c>
      <c r="CO91" s="180">
        <v>15475956</v>
      </c>
      <c r="CP91" s="180">
        <v>14779781</v>
      </c>
      <c r="CQ91" s="180">
        <v>12320500</v>
      </c>
      <c r="CR91" s="180">
        <v>0</v>
      </c>
      <c r="CS91" s="180">
        <v>0</v>
      </c>
      <c r="CT91" s="180"/>
      <c r="CU91" s="180"/>
    </row>
    <row r="92" spans="1:99" x14ac:dyDescent="0.3">
      <c r="A92" s="155">
        <v>382</v>
      </c>
      <c r="B92" s="180" t="s">
        <v>106</v>
      </c>
      <c r="C92" s="180"/>
      <c r="D92" s="180">
        <v>0</v>
      </c>
      <c r="E92" s="180">
        <v>0</v>
      </c>
      <c r="F92" s="180">
        <v>0</v>
      </c>
      <c r="G92" s="180">
        <v>0</v>
      </c>
      <c r="H92" s="180">
        <v>0</v>
      </c>
      <c r="I92" s="180">
        <v>0</v>
      </c>
      <c r="J92" s="180">
        <v>0</v>
      </c>
      <c r="K92" s="180"/>
      <c r="L92" s="180">
        <v>0</v>
      </c>
      <c r="M92" s="180">
        <v>96764697</v>
      </c>
      <c r="N92" s="180"/>
      <c r="O92" s="180">
        <v>0</v>
      </c>
      <c r="P92" s="180">
        <v>0</v>
      </c>
      <c r="Q92" s="180">
        <v>0</v>
      </c>
      <c r="R92" s="180">
        <v>0</v>
      </c>
      <c r="S92" s="180">
        <v>0</v>
      </c>
      <c r="T92" s="180">
        <v>0</v>
      </c>
      <c r="U92" s="180">
        <v>0</v>
      </c>
      <c r="V92" s="180">
        <v>0</v>
      </c>
      <c r="W92" s="180">
        <v>0</v>
      </c>
      <c r="X92" s="180">
        <v>0</v>
      </c>
      <c r="Y92" s="180">
        <v>0</v>
      </c>
      <c r="Z92" s="180">
        <v>0</v>
      </c>
      <c r="AA92" s="180">
        <v>0</v>
      </c>
      <c r="AB92" s="180">
        <v>0</v>
      </c>
      <c r="AC92" s="180">
        <v>33385981</v>
      </c>
      <c r="AD92" s="180"/>
      <c r="AE92" s="180">
        <v>0</v>
      </c>
      <c r="AF92" s="180">
        <v>0</v>
      </c>
      <c r="AG92" s="180">
        <v>0</v>
      </c>
      <c r="AH92" s="180">
        <v>0</v>
      </c>
      <c r="AI92" s="180">
        <v>0</v>
      </c>
      <c r="AJ92" s="180">
        <v>0</v>
      </c>
      <c r="AK92" s="180">
        <v>0</v>
      </c>
      <c r="AL92" s="180">
        <v>0</v>
      </c>
      <c r="AM92" s="180">
        <v>0</v>
      </c>
      <c r="AN92" s="180">
        <v>0</v>
      </c>
      <c r="AO92" s="180">
        <v>0</v>
      </c>
      <c r="AP92" s="180">
        <v>0</v>
      </c>
      <c r="AQ92" s="180">
        <v>0</v>
      </c>
      <c r="AR92" s="180">
        <v>0</v>
      </c>
      <c r="AS92" s="180">
        <v>0</v>
      </c>
      <c r="AT92" s="180">
        <v>0</v>
      </c>
      <c r="AU92" s="180">
        <v>0</v>
      </c>
      <c r="AV92" s="180">
        <v>0</v>
      </c>
      <c r="AW92" s="180">
        <v>0</v>
      </c>
      <c r="AX92" s="180">
        <v>0</v>
      </c>
      <c r="AY92" s="180">
        <v>0</v>
      </c>
      <c r="AZ92" s="180">
        <v>0</v>
      </c>
      <c r="BA92" s="180">
        <v>30478909</v>
      </c>
      <c r="BB92" s="180">
        <v>0</v>
      </c>
      <c r="BC92" s="180">
        <v>0</v>
      </c>
      <c r="BD92" s="180">
        <v>0</v>
      </c>
      <c r="BE92" s="180">
        <v>0</v>
      </c>
      <c r="BF92" s="180">
        <v>0</v>
      </c>
      <c r="BG92" s="180">
        <v>641933</v>
      </c>
      <c r="BH92" s="180">
        <v>0</v>
      </c>
      <c r="BI92" s="180">
        <v>0</v>
      </c>
      <c r="BJ92" s="180">
        <v>60784072</v>
      </c>
      <c r="BK92" s="180">
        <v>0</v>
      </c>
      <c r="BL92" s="180">
        <v>0</v>
      </c>
      <c r="BM92" s="180">
        <v>0</v>
      </c>
      <c r="BN92" s="180">
        <v>8450524</v>
      </c>
      <c r="BO92" s="180">
        <v>0</v>
      </c>
      <c r="BP92" s="180">
        <v>0</v>
      </c>
      <c r="BQ92" s="180">
        <v>0</v>
      </c>
      <c r="BR92" s="180">
        <v>0</v>
      </c>
      <c r="BS92" s="180">
        <v>0</v>
      </c>
      <c r="BT92" s="180">
        <v>0</v>
      </c>
      <c r="BU92" s="180">
        <v>0</v>
      </c>
      <c r="BV92" s="180">
        <v>0</v>
      </c>
      <c r="BW92" s="180">
        <v>0</v>
      </c>
      <c r="BX92" s="180"/>
      <c r="BY92" s="180"/>
      <c r="BZ92" s="180">
        <v>0</v>
      </c>
      <c r="CA92" s="180">
        <v>0</v>
      </c>
      <c r="CB92" s="180"/>
      <c r="CC92" s="180">
        <v>0</v>
      </c>
      <c r="CD92" s="180">
        <v>0</v>
      </c>
      <c r="CE92" s="180">
        <v>155877504</v>
      </c>
      <c r="CF92" s="180">
        <v>0</v>
      </c>
      <c r="CG92" s="180">
        <v>8257294</v>
      </c>
      <c r="CH92" s="180">
        <v>0</v>
      </c>
      <c r="CI92" s="180">
        <v>0</v>
      </c>
      <c r="CJ92" s="180">
        <v>0</v>
      </c>
      <c r="CK92" s="180">
        <v>13684532</v>
      </c>
      <c r="CL92" s="180">
        <v>0</v>
      </c>
      <c r="CM92" s="180">
        <v>0</v>
      </c>
      <c r="CN92" s="180">
        <v>0</v>
      </c>
      <c r="CO92" s="180">
        <v>0</v>
      </c>
      <c r="CP92" s="180">
        <v>0</v>
      </c>
      <c r="CQ92" s="180">
        <v>0</v>
      </c>
      <c r="CR92" s="180">
        <v>0</v>
      </c>
      <c r="CS92" s="180">
        <v>0</v>
      </c>
      <c r="CT92" s="180"/>
      <c r="CU92" s="180"/>
    </row>
    <row r="93" spans="1:99" x14ac:dyDescent="0.3">
      <c r="A93" s="155">
        <v>383</v>
      </c>
      <c r="B93" s="180" t="s">
        <v>212</v>
      </c>
      <c r="C93" s="180"/>
      <c r="D93" s="180">
        <v>0</v>
      </c>
      <c r="E93" s="180">
        <v>0</v>
      </c>
      <c r="F93" s="180">
        <v>0</v>
      </c>
      <c r="G93" s="180">
        <v>0</v>
      </c>
      <c r="H93" s="180">
        <v>0</v>
      </c>
      <c r="I93" s="180">
        <v>0</v>
      </c>
      <c r="J93" s="180">
        <v>0</v>
      </c>
      <c r="K93" s="180"/>
      <c r="L93" s="180">
        <v>0</v>
      </c>
      <c r="M93" s="180">
        <v>0</v>
      </c>
      <c r="N93" s="180"/>
      <c r="O93" s="180">
        <v>0</v>
      </c>
      <c r="P93" s="180">
        <v>0</v>
      </c>
      <c r="Q93" s="180">
        <v>0</v>
      </c>
      <c r="R93" s="180">
        <v>0</v>
      </c>
      <c r="S93" s="180">
        <v>0</v>
      </c>
      <c r="T93" s="180">
        <v>0</v>
      </c>
      <c r="U93" s="180">
        <v>0</v>
      </c>
      <c r="V93" s="180">
        <v>0</v>
      </c>
      <c r="W93" s="180">
        <v>16015</v>
      </c>
      <c r="X93" s="180">
        <v>0</v>
      </c>
      <c r="Y93" s="180">
        <v>0</v>
      </c>
      <c r="Z93" s="180">
        <v>0</v>
      </c>
      <c r="AA93" s="180">
        <v>0</v>
      </c>
      <c r="AB93" s="180">
        <v>0</v>
      </c>
      <c r="AC93" s="180">
        <v>0</v>
      </c>
      <c r="AD93" s="180"/>
      <c r="AE93" s="180">
        <v>0</v>
      </c>
      <c r="AF93" s="180">
        <v>0</v>
      </c>
      <c r="AG93" s="180">
        <v>63916</v>
      </c>
      <c r="AH93" s="180">
        <v>0</v>
      </c>
      <c r="AI93" s="180">
        <v>83932</v>
      </c>
      <c r="AJ93" s="180">
        <v>0</v>
      </c>
      <c r="AK93" s="180">
        <v>0</v>
      </c>
      <c r="AL93" s="180">
        <v>0</v>
      </c>
      <c r="AM93" s="180">
        <v>250000</v>
      </c>
      <c r="AN93" s="180">
        <v>0</v>
      </c>
      <c r="AO93" s="180">
        <v>0</v>
      </c>
      <c r="AP93" s="180">
        <v>0</v>
      </c>
      <c r="AQ93" s="180">
        <v>0</v>
      </c>
      <c r="AR93" s="180">
        <v>0</v>
      </c>
      <c r="AS93" s="180">
        <v>0</v>
      </c>
      <c r="AT93" s="180">
        <v>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v>0</v>
      </c>
      <c r="BL93" s="180">
        <v>0</v>
      </c>
      <c r="BM93" s="180">
        <v>0</v>
      </c>
      <c r="BN93" s="180">
        <v>0</v>
      </c>
      <c r="BO93" s="180">
        <v>0</v>
      </c>
      <c r="BP93" s="180">
        <v>0</v>
      </c>
      <c r="BQ93" s="180">
        <v>0</v>
      </c>
      <c r="BR93" s="180">
        <v>0</v>
      </c>
      <c r="BS93" s="180">
        <v>0</v>
      </c>
      <c r="BT93" s="180">
        <v>0</v>
      </c>
      <c r="BU93" s="180">
        <v>0</v>
      </c>
      <c r="BV93" s="180">
        <v>0</v>
      </c>
      <c r="BW93" s="180">
        <v>0</v>
      </c>
      <c r="BX93" s="180"/>
      <c r="BY93" s="180"/>
      <c r="BZ93" s="180">
        <v>0</v>
      </c>
      <c r="CA93" s="180">
        <v>0</v>
      </c>
      <c r="CB93" s="180"/>
      <c r="CC93" s="180">
        <v>0</v>
      </c>
      <c r="CD93" s="180">
        <v>0</v>
      </c>
      <c r="CE93" s="180">
        <v>0</v>
      </c>
      <c r="CF93" s="180">
        <v>0</v>
      </c>
      <c r="CG93" s="180">
        <v>0</v>
      </c>
      <c r="CH93" s="180">
        <v>0</v>
      </c>
      <c r="CI93" s="180">
        <v>0</v>
      </c>
      <c r="CJ93" s="180">
        <v>7863</v>
      </c>
      <c r="CK93" s="180">
        <v>0</v>
      </c>
      <c r="CL93" s="180">
        <v>0</v>
      </c>
      <c r="CM93" s="180">
        <v>0</v>
      </c>
      <c r="CN93" s="180">
        <v>0</v>
      </c>
      <c r="CO93" s="180">
        <v>250000</v>
      </c>
      <c r="CP93" s="180">
        <v>0</v>
      </c>
      <c r="CQ93" s="180">
        <v>0</v>
      </c>
      <c r="CR93" s="180">
        <v>0</v>
      </c>
      <c r="CS93" s="180">
        <v>0</v>
      </c>
      <c r="CT93" s="180"/>
      <c r="CU93" s="180"/>
    </row>
    <row r="94" spans="1:99" x14ac:dyDescent="0.3">
      <c r="A94" s="155">
        <v>384</v>
      </c>
      <c r="B94" s="180" t="s">
        <v>116</v>
      </c>
      <c r="C94" s="180"/>
      <c r="D94" s="180">
        <v>0</v>
      </c>
      <c r="E94" s="180">
        <v>0</v>
      </c>
      <c r="F94" s="180">
        <v>0</v>
      </c>
      <c r="G94" s="180">
        <v>0</v>
      </c>
      <c r="H94" s="180">
        <v>0</v>
      </c>
      <c r="I94" s="180">
        <v>0</v>
      </c>
      <c r="J94" s="180">
        <v>0</v>
      </c>
      <c r="K94" s="180"/>
      <c r="L94" s="180">
        <v>0</v>
      </c>
      <c r="M94" s="180">
        <v>0</v>
      </c>
      <c r="N94" s="180"/>
      <c r="O94" s="180">
        <v>0</v>
      </c>
      <c r="P94" s="180">
        <v>0</v>
      </c>
      <c r="Q94" s="180">
        <v>0</v>
      </c>
      <c r="R94" s="180">
        <v>0</v>
      </c>
      <c r="S94" s="180">
        <v>0</v>
      </c>
      <c r="T94" s="180">
        <v>0</v>
      </c>
      <c r="U94" s="180">
        <v>0</v>
      </c>
      <c r="V94" s="180">
        <v>0</v>
      </c>
      <c r="W94" s="180">
        <v>0</v>
      </c>
      <c r="X94" s="180">
        <v>0</v>
      </c>
      <c r="Y94" s="180">
        <v>0</v>
      </c>
      <c r="Z94" s="180">
        <v>0</v>
      </c>
      <c r="AA94" s="180">
        <v>0</v>
      </c>
      <c r="AB94" s="180">
        <v>0</v>
      </c>
      <c r="AC94" s="180">
        <v>0</v>
      </c>
      <c r="AD94" s="180"/>
      <c r="AE94" s="180">
        <v>0</v>
      </c>
      <c r="AF94" s="180">
        <v>0</v>
      </c>
      <c r="AG94" s="180">
        <v>0</v>
      </c>
      <c r="AH94" s="180">
        <v>0</v>
      </c>
      <c r="AI94" s="180">
        <v>0</v>
      </c>
      <c r="AJ94" s="180">
        <v>0</v>
      </c>
      <c r="AK94" s="180">
        <v>0</v>
      </c>
      <c r="AL94" s="180">
        <v>0</v>
      </c>
      <c r="AM94" s="180">
        <v>0</v>
      </c>
      <c r="AN94" s="180">
        <v>0</v>
      </c>
      <c r="AO94" s="180">
        <v>0</v>
      </c>
      <c r="AP94" s="180">
        <v>0</v>
      </c>
      <c r="AQ94" s="180">
        <v>0</v>
      </c>
      <c r="AR94" s="180">
        <v>0</v>
      </c>
      <c r="AS94" s="180">
        <v>0</v>
      </c>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v>0</v>
      </c>
      <c r="BL94" s="180">
        <v>0</v>
      </c>
      <c r="BM94" s="180">
        <v>0</v>
      </c>
      <c r="BN94" s="180">
        <v>0</v>
      </c>
      <c r="BO94" s="180">
        <v>0</v>
      </c>
      <c r="BP94" s="180">
        <v>0</v>
      </c>
      <c r="BQ94" s="180">
        <v>0</v>
      </c>
      <c r="BR94" s="180">
        <v>0</v>
      </c>
      <c r="BS94" s="180">
        <v>0</v>
      </c>
      <c r="BT94" s="180">
        <v>0</v>
      </c>
      <c r="BU94" s="180">
        <v>0</v>
      </c>
      <c r="BV94" s="180">
        <v>0</v>
      </c>
      <c r="BW94" s="180">
        <v>0</v>
      </c>
      <c r="BX94" s="180"/>
      <c r="BY94" s="180"/>
      <c r="BZ94" s="180">
        <v>0</v>
      </c>
      <c r="CA94" s="180">
        <v>0</v>
      </c>
      <c r="CB94" s="180"/>
      <c r="CC94" s="180">
        <v>0</v>
      </c>
      <c r="CD94" s="180">
        <v>0</v>
      </c>
      <c r="CE94" s="180">
        <v>0</v>
      </c>
      <c r="CF94" s="180">
        <v>0</v>
      </c>
      <c r="CG94" s="180">
        <v>0</v>
      </c>
      <c r="CH94" s="180">
        <v>0</v>
      </c>
      <c r="CI94" s="180">
        <v>0</v>
      </c>
      <c r="CJ94" s="180">
        <v>0</v>
      </c>
      <c r="CK94" s="180">
        <v>0</v>
      </c>
      <c r="CL94" s="180">
        <v>0</v>
      </c>
      <c r="CM94" s="180">
        <v>0</v>
      </c>
      <c r="CN94" s="180">
        <v>0</v>
      </c>
      <c r="CO94" s="180">
        <v>0</v>
      </c>
      <c r="CP94" s="180">
        <v>0</v>
      </c>
      <c r="CQ94" s="180">
        <v>0</v>
      </c>
      <c r="CR94" s="180">
        <v>0</v>
      </c>
      <c r="CS94" s="180">
        <v>0</v>
      </c>
      <c r="CT94" s="180"/>
      <c r="CU94" s="180"/>
    </row>
    <row r="95" spans="1:99" x14ac:dyDescent="0.3">
      <c r="A95" s="155">
        <v>385</v>
      </c>
      <c r="B95" s="180" t="s">
        <v>107</v>
      </c>
      <c r="C95" s="180"/>
      <c r="D95" s="180">
        <v>1070398</v>
      </c>
      <c r="E95" s="180">
        <v>12904925</v>
      </c>
      <c r="F95" s="180">
        <v>4938313</v>
      </c>
      <c r="G95" s="180">
        <v>1045260</v>
      </c>
      <c r="H95" s="180">
        <v>33350928</v>
      </c>
      <c r="I95" s="180">
        <v>2647897</v>
      </c>
      <c r="J95" s="180">
        <v>8016151</v>
      </c>
      <c r="K95" s="180"/>
      <c r="L95" s="180">
        <v>2702877</v>
      </c>
      <c r="M95" s="180">
        <v>108065381</v>
      </c>
      <c r="N95" s="180"/>
      <c r="O95" s="180">
        <v>1753046</v>
      </c>
      <c r="P95" s="180">
        <v>5465106</v>
      </c>
      <c r="Q95" s="180">
        <v>3239260</v>
      </c>
      <c r="R95" s="180">
        <v>339933</v>
      </c>
      <c r="S95" s="180">
        <v>685501</v>
      </c>
      <c r="T95" s="180">
        <v>5089900</v>
      </c>
      <c r="U95" s="180">
        <v>15303033</v>
      </c>
      <c r="V95" s="180">
        <v>35035565</v>
      </c>
      <c r="W95" s="180">
        <v>59328200</v>
      </c>
      <c r="X95" s="180">
        <v>19116373</v>
      </c>
      <c r="Y95" s="180">
        <v>4250784</v>
      </c>
      <c r="Z95" s="180">
        <v>26181479</v>
      </c>
      <c r="AA95" s="180">
        <v>11205755</v>
      </c>
      <c r="AB95" s="180">
        <v>152622</v>
      </c>
      <c r="AC95" s="180">
        <v>23582155</v>
      </c>
      <c r="AD95" s="180"/>
      <c r="AE95" s="180">
        <v>2342680</v>
      </c>
      <c r="AF95" s="180">
        <v>1141827</v>
      </c>
      <c r="AG95" s="180">
        <v>63364987</v>
      </c>
      <c r="AH95" s="180">
        <v>4298310</v>
      </c>
      <c r="AI95" s="180">
        <v>20596128</v>
      </c>
      <c r="AJ95" s="180">
        <v>9811818</v>
      </c>
      <c r="AK95" s="180">
        <v>1697374</v>
      </c>
      <c r="AL95" s="180">
        <v>15003987</v>
      </c>
      <c r="AM95" s="180">
        <v>17654430</v>
      </c>
      <c r="AN95" s="180">
        <v>9654889</v>
      </c>
      <c r="AO95" s="180">
        <v>6583131</v>
      </c>
      <c r="AP95" s="180">
        <v>341864</v>
      </c>
      <c r="AQ95" s="180">
        <v>3656307</v>
      </c>
      <c r="AR95" s="180">
        <v>17119656</v>
      </c>
      <c r="AS95" s="180">
        <v>1660990</v>
      </c>
      <c r="AT95" s="180">
        <v>1773496</v>
      </c>
      <c r="AU95" s="180">
        <v>2881685</v>
      </c>
      <c r="AV95" s="180">
        <v>1938382</v>
      </c>
      <c r="AW95" s="180">
        <v>298313</v>
      </c>
      <c r="AX95" s="180">
        <v>1417115</v>
      </c>
      <c r="AY95" s="180">
        <v>14447127</v>
      </c>
      <c r="AZ95" s="180">
        <v>3225432</v>
      </c>
      <c r="BA95" s="180">
        <v>378774287</v>
      </c>
      <c r="BB95" s="180">
        <v>10806484</v>
      </c>
      <c r="BC95" s="180">
        <v>9157823</v>
      </c>
      <c r="BD95" s="180">
        <v>8691093</v>
      </c>
      <c r="BE95" s="180">
        <v>3426584</v>
      </c>
      <c r="BF95" s="180">
        <v>5707869</v>
      </c>
      <c r="BG95" s="180">
        <v>403495</v>
      </c>
      <c r="BH95" s="180">
        <v>2388790</v>
      </c>
      <c r="BI95" s="180">
        <v>6576894</v>
      </c>
      <c r="BJ95" s="180">
        <v>54604303</v>
      </c>
      <c r="BK95" s="180">
        <v>898539</v>
      </c>
      <c r="BL95" s="180">
        <v>373903</v>
      </c>
      <c r="BM95" s="180">
        <v>88211751</v>
      </c>
      <c r="BN95" s="180">
        <v>43188037</v>
      </c>
      <c r="BO95" s="180">
        <v>23845243</v>
      </c>
      <c r="BP95" s="180">
        <v>473550</v>
      </c>
      <c r="BQ95" s="180">
        <v>7527298</v>
      </c>
      <c r="BR95" s="180">
        <v>3463810</v>
      </c>
      <c r="BS95" s="180">
        <v>37621961</v>
      </c>
      <c r="BT95" s="180">
        <v>7859490</v>
      </c>
      <c r="BU95" s="180">
        <v>4490040</v>
      </c>
      <c r="BV95" s="180">
        <v>6828832</v>
      </c>
      <c r="BW95" s="180">
        <v>13452190</v>
      </c>
      <c r="BX95" s="180"/>
      <c r="BY95" s="180"/>
      <c r="BZ95" s="180">
        <v>18486944</v>
      </c>
      <c r="CA95" s="180">
        <v>934331</v>
      </c>
      <c r="CB95" s="180"/>
      <c r="CC95" s="180">
        <v>22816387</v>
      </c>
      <c r="CD95" s="180">
        <v>803672134</v>
      </c>
      <c r="CE95" s="180">
        <v>178973115</v>
      </c>
      <c r="CF95" s="180">
        <v>5036871</v>
      </c>
      <c r="CG95" s="180">
        <v>11781907</v>
      </c>
      <c r="CH95" s="180">
        <v>1027481</v>
      </c>
      <c r="CI95" s="180">
        <v>13002290</v>
      </c>
      <c r="CJ95" s="180">
        <v>970631786</v>
      </c>
      <c r="CK95" s="180">
        <v>43355057</v>
      </c>
      <c r="CL95" s="180">
        <v>1842354</v>
      </c>
      <c r="CM95" s="180">
        <v>14436083</v>
      </c>
      <c r="CN95" s="180">
        <v>2174291</v>
      </c>
      <c r="CO95" s="180">
        <v>49381050</v>
      </c>
      <c r="CP95" s="180">
        <v>10495401</v>
      </c>
      <c r="CQ95" s="180">
        <v>6502490</v>
      </c>
      <c r="CR95" s="180">
        <v>10232634</v>
      </c>
      <c r="CS95" s="180">
        <v>78196398</v>
      </c>
      <c r="CT95" s="180"/>
      <c r="CU95" s="180"/>
    </row>
    <row r="96" spans="1:99" x14ac:dyDescent="0.3">
      <c r="A96" s="155">
        <v>386</v>
      </c>
      <c r="B96" s="180" t="s">
        <v>185</v>
      </c>
      <c r="C96" s="180"/>
      <c r="D96" s="180">
        <v>0</v>
      </c>
      <c r="E96" s="180">
        <v>0</v>
      </c>
      <c r="F96" s="180">
        <v>0</v>
      </c>
      <c r="G96" s="180">
        <v>0</v>
      </c>
      <c r="H96" s="180">
        <v>0</v>
      </c>
      <c r="I96" s="180">
        <v>0</v>
      </c>
      <c r="J96" s="180">
        <v>0</v>
      </c>
      <c r="K96" s="180"/>
      <c r="L96" s="180">
        <v>0</v>
      </c>
      <c r="M96" s="180">
        <v>4009954</v>
      </c>
      <c r="N96" s="180"/>
      <c r="O96" s="180">
        <v>0</v>
      </c>
      <c r="P96" s="180">
        <v>0</v>
      </c>
      <c r="Q96" s="180">
        <v>0</v>
      </c>
      <c r="R96" s="180">
        <v>0</v>
      </c>
      <c r="S96" s="180">
        <v>0</v>
      </c>
      <c r="T96" s="180">
        <v>0</v>
      </c>
      <c r="U96" s="180">
        <v>0</v>
      </c>
      <c r="V96" s="180">
        <v>0</v>
      </c>
      <c r="W96" s="180">
        <v>0</v>
      </c>
      <c r="X96" s="180">
        <v>0</v>
      </c>
      <c r="Y96" s="180">
        <v>0</v>
      </c>
      <c r="Z96" s="180">
        <v>0</v>
      </c>
      <c r="AA96" s="180">
        <v>0</v>
      </c>
      <c r="AB96" s="180">
        <v>0</v>
      </c>
      <c r="AC96" s="180">
        <v>1801300</v>
      </c>
      <c r="AD96" s="180"/>
      <c r="AE96" s="180">
        <v>0</v>
      </c>
      <c r="AF96" s="180">
        <v>0</v>
      </c>
      <c r="AG96" s="180">
        <v>2444632</v>
      </c>
      <c r="AH96" s="180">
        <v>0</v>
      </c>
      <c r="AI96" s="180">
        <v>0</v>
      </c>
      <c r="AJ96" s="180">
        <v>0</v>
      </c>
      <c r="AK96" s="180">
        <v>0</v>
      </c>
      <c r="AL96" s="180">
        <v>0</v>
      </c>
      <c r="AM96" s="180">
        <v>0</v>
      </c>
      <c r="AN96" s="180">
        <v>86088</v>
      </c>
      <c r="AO96" s="180">
        <v>0</v>
      </c>
      <c r="AP96" s="180">
        <v>0</v>
      </c>
      <c r="AQ96" s="180">
        <v>107634</v>
      </c>
      <c r="AR96" s="180">
        <v>221000</v>
      </c>
      <c r="AS96" s="180">
        <v>0</v>
      </c>
      <c r="AT96" s="180">
        <v>0</v>
      </c>
      <c r="AU96" s="180">
        <v>0</v>
      </c>
      <c r="AV96" s="180">
        <v>0</v>
      </c>
      <c r="AW96" s="180">
        <v>0</v>
      </c>
      <c r="AX96" s="180">
        <v>0</v>
      </c>
      <c r="AY96" s="180">
        <v>220320</v>
      </c>
      <c r="AZ96" s="180">
        <v>16785</v>
      </c>
      <c r="BA96" s="180">
        <v>0</v>
      </c>
      <c r="BB96" s="180">
        <v>0</v>
      </c>
      <c r="BC96" s="180">
        <v>209610</v>
      </c>
      <c r="BD96" s="180">
        <v>0</v>
      </c>
      <c r="BE96" s="180">
        <v>0</v>
      </c>
      <c r="BF96" s="180">
        <v>0</v>
      </c>
      <c r="BG96" s="180">
        <v>0</v>
      </c>
      <c r="BH96" s="180">
        <v>0</v>
      </c>
      <c r="BI96" s="180">
        <v>0</v>
      </c>
      <c r="BJ96" s="180">
        <v>4237046</v>
      </c>
      <c r="BK96" s="180">
        <v>0</v>
      </c>
      <c r="BL96" s="180">
        <v>0</v>
      </c>
      <c r="BM96" s="180">
        <v>0</v>
      </c>
      <c r="BN96" s="180">
        <v>1275600</v>
      </c>
      <c r="BO96" s="180">
        <v>0</v>
      </c>
      <c r="BP96" s="180">
        <v>0</v>
      </c>
      <c r="BQ96" s="180">
        <v>0</v>
      </c>
      <c r="BR96" s="180">
        <v>0</v>
      </c>
      <c r="BS96" s="180">
        <v>0</v>
      </c>
      <c r="BT96" s="180">
        <v>0</v>
      </c>
      <c r="BU96" s="180">
        <v>0</v>
      </c>
      <c r="BV96" s="180">
        <v>0</v>
      </c>
      <c r="BW96" s="180">
        <v>0</v>
      </c>
      <c r="BX96" s="180"/>
      <c r="BY96" s="180"/>
      <c r="BZ96" s="180">
        <v>135000</v>
      </c>
      <c r="CA96" s="180">
        <v>0</v>
      </c>
      <c r="CB96" s="180"/>
      <c r="CC96" s="180">
        <v>0</v>
      </c>
      <c r="CD96" s="180">
        <v>0</v>
      </c>
      <c r="CE96" s="180">
        <v>3404810</v>
      </c>
      <c r="CF96" s="180">
        <v>0</v>
      </c>
      <c r="CG96" s="180">
        <v>0</v>
      </c>
      <c r="CH96" s="180">
        <v>0</v>
      </c>
      <c r="CI96" s="180">
        <v>0</v>
      </c>
      <c r="CJ96" s="180">
        <v>0</v>
      </c>
      <c r="CK96" s="180">
        <v>650000</v>
      </c>
      <c r="CL96" s="180">
        <v>0</v>
      </c>
      <c r="CM96" s="180">
        <v>0</v>
      </c>
      <c r="CN96" s="180">
        <v>0</v>
      </c>
      <c r="CO96" s="180">
        <v>3066115</v>
      </c>
      <c r="CP96" s="180">
        <v>0</v>
      </c>
      <c r="CQ96" s="180">
        <v>0</v>
      </c>
      <c r="CR96" s="180">
        <v>0</v>
      </c>
      <c r="CS96" s="180">
        <v>0</v>
      </c>
      <c r="CT96" s="180"/>
      <c r="CU96" s="180"/>
    </row>
    <row r="97" spans="1:99" x14ac:dyDescent="0.3">
      <c r="A97" s="155">
        <v>387</v>
      </c>
      <c r="B97" s="180" t="s">
        <v>186</v>
      </c>
      <c r="C97" s="180"/>
      <c r="D97" s="180">
        <v>0</v>
      </c>
      <c r="E97" s="180">
        <v>0</v>
      </c>
      <c r="F97" s="180">
        <v>0</v>
      </c>
      <c r="G97" s="180">
        <v>0</v>
      </c>
      <c r="H97" s="180">
        <v>0</v>
      </c>
      <c r="I97" s="180">
        <v>0</v>
      </c>
      <c r="J97" s="180">
        <v>0</v>
      </c>
      <c r="K97" s="180"/>
      <c r="L97" s="180">
        <v>0</v>
      </c>
      <c r="M97" s="180">
        <v>0</v>
      </c>
      <c r="N97" s="180"/>
      <c r="O97" s="180">
        <v>0</v>
      </c>
      <c r="P97" s="180">
        <v>0</v>
      </c>
      <c r="Q97" s="180">
        <v>30557</v>
      </c>
      <c r="R97" s="180">
        <v>0</v>
      </c>
      <c r="S97" s="180">
        <v>10007</v>
      </c>
      <c r="T97" s="180">
        <v>0</v>
      </c>
      <c r="U97" s="180">
        <v>0</v>
      </c>
      <c r="V97" s="180">
        <v>0</v>
      </c>
      <c r="W97" s="180">
        <v>0</v>
      </c>
      <c r="X97" s="180">
        <v>70154</v>
      </c>
      <c r="Y97" s="180">
        <v>0</v>
      </c>
      <c r="Z97" s="180">
        <v>0</v>
      </c>
      <c r="AA97" s="180">
        <v>0</v>
      </c>
      <c r="AB97" s="180">
        <v>0</v>
      </c>
      <c r="AC97" s="180">
        <v>0</v>
      </c>
      <c r="AD97" s="180"/>
      <c r="AE97" s="180">
        <v>0</v>
      </c>
      <c r="AF97" s="180">
        <v>0</v>
      </c>
      <c r="AG97" s="180">
        <v>3995352</v>
      </c>
      <c r="AH97" s="180">
        <v>0</v>
      </c>
      <c r="AI97" s="180">
        <v>0</v>
      </c>
      <c r="AJ97" s="180">
        <v>0</v>
      </c>
      <c r="AK97" s="180">
        <v>5993</v>
      </c>
      <c r="AL97" s="180">
        <v>1377413</v>
      </c>
      <c r="AM97" s="180">
        <v>0</v>
      </c>
      <c r="AN97" s="180">
        <v>0</v>
      </c>
      <c r="AO97" s="180">
        <v>403952</v>
      </c>
      <c r="AP97" s="180">
        <v>0</v>
      </c>
      <c r="AQ97" s="180">
        <v>107634</v>
      </c>
      <c r="AR97" s="180">
        <v>260000</v>
      </c>
      <c r="AS97" s="180">
        <v>43683</v>
      </c>
      <c r="AT97" s="180">
        <v>0</v>
      </c>
      <c r="AU97" s="180">
        <v>0</v>
      </c>
      <c r="AV97" s="180">
        <v>0</v>
      </c>
      <c r="AW97" s="180">
        <v>0</v>
      </c>
      <c r="AX97" s="180">
        <v>0</v>
      </c>
      <c r="AY97" s="180">
        <v>102519</v>
      </c>
      <c r="AZ97" s="180">
        <v>0</v>
      </c>
      <c r="BA97" s="180">
        <v>6500</v>
      </c>
      <c r="BB97" s="180">
        <v>0</v>
      </c>
      <c r="BC97" s="180">
        <v>0</v>
      </c>
      <c r="BD97" s="180">
        <v>0</v>
      </c>
      <c r="BE97" s="180">
        <v>75479</v>
      </c>
      <c r="BF97" s="180">
        <v>0</v>
      </c>
      <c r="BG97" s="180">
        <v>0</v>
      </c>
      <c r="BH97" s="180">
        <v>29543</v>
      </c>
      <c r="BI97" s="180">
        <v>0</v>
      </c>
      <c r="BJ97" s="180">
        <v>2620155</v>
      </c>
      <c r="BK97" s="180">
        <v>0</v>
      </c>
      <c r="BL97" s="180">
        <v>0</v>
      </c>
      <c r="BM97" s="180">
        <v>0</v>
      </c>
      <c r="BN97" s="180">
        <v>548000</v>
      </c>
      <c r="BO97" s="180">
        <v>0</v>
      </c>
      <c r="BP97" s="180">
        <v>0</v>
      </c>
      <c r="BQ97" s="180">
        <v>0</v>
      </c>
      <c r="BR97" s="180">
        <v>17790</v>
      </c>
      <c r="BS97" s="180">
        <v>202178</v>
      </c>
      <c r="BT97" s="180">
        <v>0</v>
      </c>
      <c r="BU97" s="180">
        <v>0</v>
      </c>
      <c r="BV97" s="180">
        <v>209544</v>
      </c>
      <c r="BW97" s="180">
        <v>0</v>
      </c>
      <c r="BX97" s="180"/>
      <c r="BY97" s="180"/>
      <c r="BZ97" s="180">
        <v>0</v>
      </c>
      <c r="CA97" s="180">
        <v>0</v>
      </c>
      <c r="CB97" s="180"/>
      <c r="CC97" s="180">
        <v>0</v>
      </c>
      <c r="CD97" s="180">
        <v>165299</v>
      </c>
      <c r="CE97" s="180">
        <v>0</v>
      </c>
      <c r="CF97" s="180">
        <v>0</v>
      </c>
      <c r="CG97" s="180">
        <v>0</v>
      </c>
      <c r="CH97" s="180">
        <v>0</v>
      </c>
      <c r="CI97" s="180">
        <v>12288</v>
      </c>
      <c r="CJ97" s="180">
        <v>5674796</v>
      </c>
      <c r="CK97" s="180">
        <v>0</v>
      </c>
      <c r="CL97" s="180">
        <v>0</v>
      </c>
      <c r="CM97" s="180">
        <v>0</v>
      </c>
      <c r="CN97" s="180">
        <v>0</v>
      </c>
      <c r="CO97" s="180">
        <v>3037615</v>
      </c>
      <c r="CP97" s="180">
        <v>0</v>
      </c>
      <c r="CQ97" s="180">
        <v>0</v>
      </c>
      <c r="CR97" s="180">
        <v>0</v>
      </c>
      <c r="CS97" s="180">
        <v>0</v>
      </c>
      <c r="CT97" s="180"/>
      <c r="CU97" s="180"/>
    </row>
    <row r="98" spans="1:99" x14ac:dyDescent="0.3">
      <c r="A98" s="155">
        <v>388</v>
      </c>
      <c r="B98" s="180" t="s">
        <v>180</v>
      </c>
      <c r="C98" s="180"/>
      <c r="D98" s="180">
        <v>176497</v>
      </c>
      <c r="E98" s="180">
        <v>2537594</v>
      </c>
      <c r="F98" s="180">
        <v>3587056</v>
      </c>
      <c r="G98" s="180">
        <v>134945</v>
      </c>
      <c r="H98" s="180">
        <v>7590778</v>
      </c>
      <c r="I98" s="180">
        <v>1304044</v>
      </c>
      <c r="J98" s="180">
        <v>3632492</v>
      </c>
      <c r="K98" s="180"/>
      <c r="L98" s="180">
        <v>788997</v>
      </c>
      <c r="M98" s="180">
        <v>37987553</v>
      </c>
      <c r="N98" s="180"/>
      <c r="O98" s="180">
        <v>539251</v>
      </c>
      <c r="P98" s="180">
        <v>396454</v>
      </c>
      <c r="Q98" s="180">
        <v>1247729</v>
      </c>
      <c r="R98" s="180">
        <v>86803</v>
      </c>
      <c r="S98" s="180">
        <v>278210</v>
      </c>
      <c r="T98" s="180">
        <v>1827253</v>
      </c>
      <c r="U98" s="180">
        <v>1587094</v>
      </c>
      <c r="V98" s="180">
        <v>8028828</v>
      </c>
      <c r="W98" s="180">
        <v>11150408</v>
      </c>
      <c r="X98" s="180">
        <v>4437761</v>
      </c>
      <c r="Y98" s="180">
        <v>406634</v>
      </c>
      <c r="Z98" s="180">
        <v>3609709</v>
      </c>
      <c r="AA98" s="180">
        <v>5897391</v>
      </c>
      <c r="AB98" s="180">
        <v>51024</v>
      </c>
      <c r="AC98" s="180">
        <v>12948484</v>
      </c>
      <c r="AD98" s="180"/>
      <c r="AE98" s="180">
        <v>978446</v>
      </c>
      <c r="AF98" s="180">
        <v>333194</v>
      </c>
      <c r="AG98" s="180">
        <v>27339441</v>
      </c>
      <c r="AH98" s="180">
        <v>599232</v>
      </c>
      <c r="AI98" s="180">
        <v>4542605</v>
      </c>
      <c r="AJ98" s="180">
        <v>1482609</v>
      </c>
      <c r="AK98" s="180">
        <v>156182</v>
      </c>
      <c r="AL98" s="180">
        <v>1980229</v>
      </c>
      <c r="AM98" s="180">
        <v>4391351</v>
      </c>
      <c r="AN98" s="180">
        <v>4424643</v>
      </c>
      <c r="AO98" s="180">
        <v>2874473</v>
      </c>
      <c r="AP98" s="180">
        <v>227348</v>
      </c>
      <c r="AQ98" s="180">
        <v>335576</v>
      </c>
      <c r="AR98" s="180">
        <v>5874276</v>
      </c>
      <c r="AS98" s="180">
        <v>800930</v>
      </c>
      <c r="AT98" s="180">
        <v>123719</v>
      </c>
      <c r="AU98" s="180">
        <v>178129</v>
      </c>
      <c r="AV98" s="180">
        <v>1120322</v>
      </c>
      <c r="AW98" s="180">
        <v>89234</v>
      </c>
      <c r="AX98" s="180">
        <v>341643</v>
      </c>
      <c r="AY98" s="180">
        <v>4907978</v>
      </c>
      <c r="AZ98" s="180">
        <v>391992</v>
      </c>
      <c r="BA98" s="180">
        <v>63026346</v>
      </c>
      <c r="BB98" s="180">
        <v>2142439</v>
      </c>
      <c r="BC98" s="180">
        <v>5619786</v>
      </c>
      <c r="BD98" s="180">
        <v>694276</v>
      </c>
      <c r="BE98" s="180">
        <v>1156684</v>
      </c>
      <c r="BF98" s="180">
        <v>1297121</v>
      </c>
      <c r="BG98" s="180">
        <v>218524</v>
      </c>
      <c r="BH98" s="180">
        <v>1675702</v>
      </c>
      <c r="BI98" s="180">
        <v>3095139</v>
      </c>
      <c r="BJ98" s="180">
        <v>15303457</v>
      </c>
      <c r="BK98" s="180">
        <v>272848</v>
      </c>
      <c r="BL98" s="180">
        <v>80304</v>
      </c>
      <c r="BM98" s="180">
        <v>15434483</v>
      </c>
      <c r="BN98" s="180">
        <v>15287773</v>
      </c>
      <c r="BO98" s="180">
        <v>7414461</v>
      </c>
      <c r="BP98" s="180">
        <v>112039</v>
      </c>
      <c r="BQ98" s="180">
        <v>2132805</v>
      </c>
      <c r="BR98" s="180">
        <v>1621078</v>
      </c>
      <c r="BS98" s="180">
        <v>10979032</v>
      </c>
      <c r="BT98" s="180">
        <v>638503</v>
      </c>
      <c r="BU98" s="180">
        <v>755025</v>
      </c>
      <c r="BV98" s="180">
        <v>2659298</v>
      </c>
      <c r="BW98" s="180">
        <v>4090964</v>
      </c>
      <c r="BX98" s="180"/>
      <c r="BY98" s="180"/>
      <c r="BZ98" s="180">
        <v>6013828</v>
      </c>
      <c r="CA98" s="180">
        <v>168888</v>
      </c>
      <c r="CB98" s="180"/>
      <c r="CC98" s="180">
        <v>6793064</v>
      </c>
      <c r="CD98" s="180">
        <v>144161577</v>
      </c>
      <c r="CE98" s="180">
        <v>53994906</v>
      </c>
      <c r="CF98" s="180">
        <v>1906812</v>
      </c>
      <c r="CG98" s="180">
        <v>3190161</v>
      </c>
      <c r="CH98" s="180">
        <v>746347</v>
      </c>
      <c r="CI98" s="180">
        <v>1795473</v>
      </c>
      <c r="CJ98" s="180">
        <v>259818823</v>
      </c>
      <c r="CK98" s="180">
        <v>9355874</v>
      </c>
      <c r="CL98" s="180">
        <v>484659</v>
      </c>
      <c r="CM98" s="180">
        <v>5182673</v>
      </c>
      <c r="CN98" s="180">
        <v>461498</v>
      </c>
      <c r="CO98" s="180">
        <v>11334751</v>
      </c>
      <c r="CP98" s="180">
        <v>2769970</v>
      </c>
      <c r="CQ98" s="180">
        <v>865469</v>
      </c>
      <c r="CR98" s="180">
        <v>3326436</v>
      </c>
      <c r="CS98" s="180">
        <v>12685896</v>
      </c>
      <c r="CT98" s="180"/>
      <c r="CU98" s="180"/>
    </row>
    <row r="99" spans="1:99" x14ac:dyDescent="0.3">
      <c r="A99" s="155">
        <v>389</v>
      </c>
      <c r="B99" s="180" t="s">
        <v>187</v>
      </c>
      <c r="C99" s="180"/>
      <c r="D99" s="180">
        <v>0</v>
      </c>
      <c r="E99" s="180">
        <v>0</v>
      </c>
      <c r="F99" s="180">
        <v>0</v>
      </c>
      <c r="G99" s="180">
        <v>0</v>
      </c>
      <c r="H99" s="180">
        <v>0</v>
      </c>
      <c r="I99" s="180">
        <v>0</v>
      </c>
      <c r="J99" s="180">
        <v>0</v>
      </c>
      <c r="K99" s="180"/>
      <c r="L99" s="180">
        <v>0</v>
      </c>
      <c r="M99" s="180">
        <v>0</v>
      </c>
      <c r="N99" s="180"/>
      <c r="O99" s="180">
        <v>0</v>
      </c>
      <c r="P99" s="180">
        <v>0</v>
      </c>
      <c r="Q99" s="180">
        <v>0</v>
      </c>
      <c r="R99" s="180">
        <v>0</v>
      </c>
      <c r="S99" s="180">
        <v>0</v>
      </c>
      <c r="T99" s="180">
        <v>0</v>
      </c>
      <c r="U99" s="180">
        <v>0</v>
      </c>
      <c r="V99" s="180">
        <v>0</v>
      </c>
      <c r="W99" s="180">
        <v>0</v>
      </c>
      <c r="X99" s="180">
        <v>0</v>
      </c>
      <c r="Y99" s="180">
        <v>0</v>
      </c>
      <c r="Z99" s="180">
        <v>0</v>
      </c>
      <c r="AA99" s="180">
        <v>0</v>
      </c>
      <c r="AB99" s="180">
        <v>0</v>
      </c>
      <c r="AC99" s="180">
        <v>0</v>
      </c>
      <c r="AD99" s="180"/>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v>0</v>
      </c>
      <c r="AT99" s="180">
        <v>0</v>
      </c>
      <c r="AU99" s="180">
        <v>0</v>
      </c>
      <c r="AV99" s="180">
        <v>0</v>
      </c>
      <c r="AW99" s="180">
        <v>0</v>
      </c>
      <c r="AX99" s="180">
        <v>0</v>
      </c>
      <c r="AY99" s="180">
        <v>0</v>
      </c>
      <c r="AZ99" s="180">
        <v>0</v>
      </c>
      <c r="BA99" s="180">
        <v>703476</v>
      </c>
      <c r="BB99" s="180">
        <v>0</v>
      </c>
      <c r="BC99" s="180">
        <v>0</v>
      </c>
      <c r="BD99" s="180">
        <v>0</v>
      </c>
      <c r="BE99" s="180">
        <v>0</v>
      </c>
      <c r="BF99" s="180">
        <v>0</v>
      </c>
      <c r="BG99" s="180">
        <v>0</v>
      </c>
      <c r="BH99" s="180">
        <v>0</v>
      </c>
      <c r="BI99" s="180">
        <v>0</v>
      </c>
      <c r="BJ99" s="180">
        <v>0</v>
      </c>
      <c r="BK99" s="180">
        <v>0</v>
      </c>
      <c r="BL99" s="180">
        <v>0</v>
      </c>
      <c r="BM99" s="180">
        <v>0</v>
      </c>
      <c r="BN99" s="180">
        <v>0</v>
      </c>
      <c r="BO99" s="180">
        <v>0</v>
      </c>
      <c r="BP99" s="180">
        <v>0</v>
      </c>
      <c r="BQ99" s="180">
        <v>0</v>
      </c>
      <c r="BR99" s="180">
        <v>0</v>
      </c>
      <c r="BS99" s="180">
        <v>32459</v>
      </c>
      <c r="BT99" s="180">
        <v>0</v>
      </c>
      <c r="BU99" s="180">
        <v>0</v>
      </c>
      <c r="BV99" s="180">
        <v>0</v>
      </c>
      <c r="BW99" s="180">
        <v>0</v>
      </c>
      <c r="BX99" s="180"/>
      <c r="BY99" s="180"/>
      <c r="BZ99" s="180">
        <v>0</v>
      </c>
      <c r="CA99" s="180">
        <v>0</v>
      </c>
      <c r="CB99" s="180"/>
      <c r="CC99" s="180">
        <v>0</v>
      </c>
      <c r="CD99" s="180">
        <v>0</v>
      </c>
      <c r="CE99" s="180">
        <v>0</v>
      </c>
      <c r="CF99" s="180">
        <v>0</v>
      </c>
      <c r="CG99" s="180">
        <v>0</v>
      </c>
      <c r="CH99" s="180">
        <v>0</v>
      </c>
      <c r="CI99" s="180">
        <v>167900</v>
      </c>
      <c r="CJ99" s="180">
        <v>0</v>
      </c>
      <c r="CK99" s="180">
        <v>0</v>
      </c>
      <c r="CL99" s="180">
        <v>0</v>
      </c>
      <c r="CM99" s="180">
        <v>0</v>
      </c>
      <c r="CN99" s="180">
        <v>0</v>
      </c>
      <c r="CO99" s="180">
        <v>968294</v>
      </c>
      <c r="CP99" s="180">
        <v>0</v>
      </c>
      <c r="CQ99" s="180">
        <v>0</v>
      </c>
      <c r="CR99" s="180">
        <v>0</v>
      </c>
      <c r="CS99" s="180">
        <v>0</v>
      </c>
      <c r="CT99" s="180"/>
      <c r="CU99" s="180"/>
    </row>
    <row r="100" spans="1:99" x14ac:dyDescent="0.3">
      <c r="A100" s="155">
        <v>391</v>
      </c>
      <c r="B100" s="180" t="s">
        <v>192</v>
      </c>
      <c r="C100" s="180"/>
      <c r="D100" s="180">
        <v>51673</v>
      </c>
      <c r="E100" s="180">
        <v>598085</v>
      </c>
      <c r="F100" s="180">
        <v>592394</v>
      </c>
      <c r="G100" s="180">
        <v>38630</v>
      </c>
      <c r="H100" s="180">
        <v>552760</v>
      </c>
      <c r="I100" s="180">
        <v>178576</v>
      </c>
      <c r="J100" s="180">
        <v>439782</v>
      </c>
      <c r="K100" s="180"/>
      <c r="L100" s="180">
        <v>219340</v>
      </c>
      <c r="M100" s="180">
        <v>7591848</v>
      </c>
      <c r="N100" s="180"/>
      <c r="O100" s="180">
        <v>64937</v>
      </c>
      <c r="P100" s="180">
        <v>92794</v>
      </c>
      <c r="Q100" s="180">
        <v>120713</v>
      </c>
      <c r="R100" s="180">
        <v>0</v>
      </c>
      <c r="S100" s="180">
        <v>36208</v>
      </c>
      <c r="T100" s="180">
        <v>121429</v>
      </c>
      <c r="U100" s="180">
        <v>189662</v>
      </c>
      <c r="V100" s="180">
        <v>741113</v>
      </c>
      <c r="W100" s="180">
        <v>4835596</v>
      </c>
      <c r="X100" s="180">
        <v>450654</v>
      </c>
      <c r="Y100" s="180">
        <v>176763</v>
      </c>
      <c r="Z100" s="180">
        <v>264640</v>
      </c>
      <c r="AA100" s="180">
        <v>382040</v>
      </c>
      <c r="AB100" s="180">
        <v>4863</v>
      </c>
      <c r="AC100" s="180">
        <v>2196583</v>
      </c>
      <c r="AD100" s="180"/>
      <c r="AE100" s="180">
        <v>71958</v>
      </c>
      <c r="AF100" s="180">
        <v>83628</v>
      </c>
      <c r="AG100" s="180">
        <v>4257144</v>
      </c>
      <c r="AH100" s="180">
        <v>37058</v>
      </c>
      <c r="AI100" s="180">
        <v>208100</v>
      </c>
      <c r="AJ100" s="180">
        <v>412252</v>
      </c>
      <c r="AK100" s="180">
        <v>15488</v>
      </c>
      <c r="AL100" s="180">
        <v>2290638</v>
      </c>
      <c r="AM100" s="180">
        <v>431003</v>
      </c>
      <c r="AN100" s="180">
        <v>609886</v>
      </c>
      <c r="AO100" s="180">
        <v>362581</v>
      </c>
      <c r="AP100" s="180">
        <v>20464</v>
      </c>
      <c r="AQ100" s="180">
        <v>64272</v>
      </c>
      <c r="AR100" s="180">
        <v>752087</v>
      </c>
      <c r="AS100" s="180">
        <v>163342</v>
      </c>
      <c r="AT100" s="180">
        <v>6518</v>
      </c>
      <c r="AU100" s="180">
        <v>45339</v>
      </c>
      <c r="AV100" s="180">
        <v>108669</v>
      </c>
      <c r="AW100" s="180">
        <v>6212</v>
      </c>
      <c r="AX100" s="180">
        <v>31606</v>
      </c>
      <c r="AY100" s="180">
        <v>634955</v>
      </c>
      <c r="AZ100" s="180">
        <v>36388</v>
      </c>
      <c r="BA100" s="180">
        <v>9887895</v>
      </c>
      <c r="BB100" s="180">
        <v>186835</v>
      </c>
      <c r="BC100" s="180">
        <v>1145610</v>
      </c>
      <c r="BD100" s="180">
        <v>199355</v>
      </c>
      <c r="BE100" s="180">
        <v>176824</v>
      </c>
      <c r="BF100" s="180">
        <v>202882</v>
      </c>
      <c r="BG100" s="180">
        <v>0</v>
      </c>
      <c r="BH100" s="180">
        <v>209527</v>
      </c>
      <c r="BI100" s="180">
        <v>315994</v>
      </c>
      <c r="BJ100" s="180">
        <v>2297967</v>
      </c>
      <c r="BK100" s="180">
        <v>34185</v>
      </c>
      <c r="BL100" s="180">
        <v>16893</v>
      </c>
      <c r="BM100" s="180">
        <v>1914034</v>
      </c>
      <c r="BN100" s="180">
        <v>2719061</v>
      </c>
      <c r="BO100" s="180">
        <v>749545</v>
      </c>
      <c r="BP100" s="180">
        <v>15303</v>
      </c>
      <c r="BQ100" s="180">
        <v>78890</v>
      </c>
      <c r="BR100" s="180">
        <v>105084</v>
      </c>
      <c r="BS100" s="180">
        <v>760731</v>
      </c>
      <c r="BT100" s="180">
        <v>184232</v>
      </c>
      <c r="BU100" s="180">
        <v>98311</v>
      </c>
      <c r="BV100" s="180">
        <v>262176</v>
      </c>
      <c r="BW100" s="180">
        <v>423436</v>
      </c>
      <c r="BX100" s="180"/>
      <c r="BY100" s="180"/>
      <c r="BZ100" s="180">
        <v>1314188</v>
      </c>
      <c r="CA100" s="180">
        <v>17904</v>
      </c>
      <c r="CB100" s="180"/>
      <c r="CC100" s="180">
        <v>689902</v>
      </c>
      <c r="CD100" s="180">
        <v>18862743</v>
      </c>
      <c r="CE100" s="180">
        <v>5139466</v>
      </c>
      <c r="CF100" s="180">
        <v>94889</v>
      </c>
      <c r="CG100" s="180">
        <v>2225288</v>
      </c>
      <c r="CH100" s="180">
        <v>59744</v>
      </c>
      <c r="CI100" s="180">
        <v>128171</v>
      </c>
      <c r="CJ100" s="180">
        <v>28922360</v>
      </c>
      <c r="CK100" s="180">
        <v>1170085</v>
      </c>
      <c r="CL100" s="180">
        <v>65222</v>
      </c>
      <c r="CM100" s="180">
        <v>1554875</v>
      </c>
      <c r="CN100" s="180">
        <v>270981</v>
      </c>
      <c r="CO100" s="180">
        <v>1343903</v>
      </c>
      <c r="CP100" s="180">
        <v>432913</v>
      </c>
      <c r="CQ100" s="180">
        <v>89516</v>
      </c>
      <c r="CR100" s="180">
        <v>489630</v>
      </c>
      <c r="CS100" s="180">
        <v>1139540</v>
      </c>
      <c r="CT100" s="180"/>
      <c r="CU100" s="180"/>
    </row>
    <row r="101" spans="1:99" x14ac:dyDescent="0.3">
      <c r="A101" s="155">
        <v>500</v>
      </c>
      <c r="B101" s="180" t="s">
        <v>175</v>
      </c>
      <c r="C101" s="180"/>
      <c r="D101" s="180">
        <v>141870</v>
      </c>
      <c r="E101" s="180">
        <v>995611</v>
      </c>
      <c r="F101" s="180">
        <v>367268</v>
      </c>
      <c r="G101" s="180">
        <v>280756</v>
      </c>
      <c r="H101" s="180">
        <v>3306870</v>
      </c>
      <c r="I101" s="180">
        <v>252721</v>
      </c>
      <c r="J101" s="180">
        <v>1196106</v>
      </c>
      <c r="K101" s="180"/>
      <c r="L101" s="180">
        <v>367010</v>
      </c>
      <c r="M101" s="180">
        <v>7828000</v>
      </c>
      <c r="N101" s="180"/>
      <c r="O101" s="180">
        <v>181622</v>
      </c>
      <c r="P101" s="180">
        <v>367051</v>
      </c>
      <c r="Q101" s="180">
        <v>377917</v>
      </c>
      <c r="R101" s="180">
        <v>62116</v>
      </c>
      <c r="S101" s="180">
        <v>43538</v>
      </c>
      <c r="T101" s="180">
        <v>31144</v>
      </c>
      <c r="U101" s="180">
        <v>718469</v>
      </c>
      <c r="V101" s="180">
        <v>298095</v>
      </c>
      <c r="W101" s="180">
        <v>5897780</v>
      </c>
      <c r="X101" s="180">
        <v>7130361</v>
      </c>
      <c r="Y101" s="180">
        <v>0</v>
      </c>
      <c r="Z101" s="180">
        <v>4026484</v>
      </c>
      <c r="AA101" s="180">
        <v>3332528</v>
      </c>
      <c r="AB101" s="180">
        <v>41928</v>
      </c>
      <c r="AC101" s="180">
        <v>871235</v>
      </c>
      <c r="AD101" s="180"/>
      <c r="AE101" s="180">
        <v>298878</v>
      </c>
      <c r="AF101" s="180">
        <v>69475</v>
      </c>
      <c r="AG101" s="180">
        <v>7006448</v>
      </c>
      <c r="AH101" s="180">
        <v>790691</v>
      </c>
      <c r="AI101" s="180">
        <v>684283</v>
      </c>
      <c r="AJ101" s="180">
        <v>886202</v>
      </c>
      <c r="AK101" s="180">
        <v>54064</v>
      </c>
      <c r="AL101" s="180">
        <v>1689849</v>
      </c>
      <c r="AM101" s="180">
        <v>692644</v>
      </c>
      <c r="AN101" s="180">
        <v>964098</v>
      </c>
      <c r="AO101" s="180">
        <v>544441</v>
      </c>
      <c r="AP101" s="180">
        <v>191876</v>
      </c>
      <c r="AQ101" s="180">
        <v>50000</v>
      </c>
      <c r="AR101" s="180">
        <v>213384</v>
      </c>
      <c r="AS101" s="180">
        <v>193387</v>
      </c>
      <c r="AT101" s="180">
        <v>134612</v>
      </c>
      <c r="AU101" s="180">
        <v>143012</v>
      </c>
      <c r="AV101" s="180">
        <v>389742</v>
      </c>
      <c r="AW101" s="180">
        <v>141443</v>
      </c>
      <c r="AX101" s="180">
        <v>287748</v>
      </c>
      <c r="AY101" s="180">
        <v>834150</v>
      </c>
      <c r="AZ101" s="180">
        <v>241961</v>
      </c>
      <c r="BA101" s="180">
        <v>9584137</v>
      </c>
      <c r="BB101" s="180">
        <v>1575724</v>
      </c>
      <c r="BC101" s="180">
        <v>17044</v>
      </c>
      <c r="BD101" s="180">
        <v>0</v>
      </c>
      <c r="BE101" s="180">
        <v>387088</v>
      </c>
      <c r="BF101" s="180">
        <v>214990</v>
      </c>
      <c r="BG101" s="180">
        <v>49754</v>
      </c>
      <c r="BH101" s="180">
        <v>14730</v>
      </c>
      <c r="BI101" s="180">
        <v>569540</v>
      </c>
      <c r="BJ101" s="180">
        <v>4843744</v>
      </c>
      <c r="BK101" s="180">
        <v>154326</v>
      </c>
      <c r="BL101" s="180">
        <v>27773</v>
      </c>
      <c r="BM101" s="180">
        <v>10501776</v>
      </c>
      <c r="BN101" s="180">
        <v>1549419</v>
      </c>
      <c r="BO101" s="180">
        <v>939620</v>
      </c>
      <c r="BP101" s="180">
        <v>36563</v>
      </c>
      <c r="BQ101" s="180">
        <v>736530</v>
      </c>
      <c r="BR101" s="180">
        <v>124242</v>
      </c>
      <c r="BS101" s="180">
        <v>11680091</v>
      </c>
      <c r="BT101" s="180">
        <v>0</v>
      </c>
      <c r="BU101" s="180">
        <v>329630</v>
      </c>
      <c r="BV101" s="180">
        <v>688929</v>
      </c>
      <c r="BW101" s="180">
        <v>818</v>
      </c>
      <c r="BX101" s="180"/>
      <c r="BY101" s="180"/>
      <c r="BZ101" s="180">
        <v>2546461</v>
      </c>
      <c r="CA101" s="180">
        <v>0</v>
      </c>
      <c r="CB101" s="180"/>
      <c r="CC101" s="180">
        <v>1527849</v>
      </c>
      <c r="CD101" s="180">
        <v>74004507</v>
      </c>
      <c r="CE101" s="180">
        <v>9218043</v>
      </c>
      <c r="CF101" s="180">
        <v>2618259</v>
      </c>
      <c r="CG101" s="180">
        <v>0</v>
      </c>
      <c r="CH101" s="180">
        <v>45079</v>
      </c>
      <c r="CI101" s="180">
        <v>6227109</v>
      </c>
      <c r="CJ101" s="180">
        <v>0</v>
      </c>
      <c r="CK101" s="180">
        <v>3353935</v>
      </c>
      <c r="CL101" s="180">
        <v>213743</v>
      </c>
      <c r="CM101" s="180">
        <v>717357</v>
      </c>
      <c r="CN101" s="180">
        <v>225632</v>
      </c>
      <c r="CO101" s="180">
        <v>654599</v>
      </c>
      <c r="CP101" s="180">
        <v>583310</v>
      </c>
      <c r="CQ101" s="180">
        <v>1049728</v>
      </c>
      <c r="CR101" s="180">
        <v>14947</v>
      </c>
      <c r="CS101" s="180">
        <v>3746738</v>
      </c>
      <c r="CT101" s="180"/>
      <c r="CU101" s="180"/>
    </row>
    <row r="102" spans="1:99" x14ac:dyDescent="0.3">
      <c r="A102" s="155">
        <v>502</v>
      </c>
      <c r="B102" s="180" t="s">
        <v>177</v>
      </c>
      <c r="C102" s="180"/>
      <c r="D102" s="180">
        <v>0</v>
      </c>
      <c r="E102" s="180">
        <v>0</v>
      </c>
      <c r="F102" s="180">
        <v>419095</v>
      </c>
      <c r="G102" s="180">
        <v>0</v>
      </c>
      <c r="H102" s="180">
        <v>1461766</v>
      </c>
      <c r="I102" s="180">
        <v>948665</v>
      </c>
      <c r="J102" s="180">
        <v>1483860</v>
      </c>
      <c r="K102" s="180"/>
      <c r="L102" s="180">
        <v>139855</v>
      </c>
      <c r="M102" s="180">
        <v>55338043</v>
      </c>
      <c r="N102" s="180"/>
      <c r="O102" s="180">
        <v>0</v>
      </c>
      <c r="P102" s="180">
        <v>1626705</v>
      </c>
      <c r="Q102" s="180">
        <v>275387</v>
      </c>
      <c r="R102" s="180">
        <v>0</v>
      </c>
      <c r="S102" s="180">
        <v>99610</v>
      </c>
      <c r="T102" s="180">
        <v>327998</v>
      </c>
      <c r="U102" s="180">
        <v>0</v>
      </c>
      <c r="V102" s="180">
        <v>0</v>
      </c>
      <c r="W102" s="180">
        <v>14222822</v>
      </c>
      <c r="X102" s="180">
        <v>212767</v>
      </c>
      <c r="Y102" s="180">
        <v>3009956</v>
      </c>
      <c r="Z102" s="180">
        <v>0</v>
      </c>
      <c r="AA102" s="180">
        <v>3412697</v>
      </c>
      <c r="AB102" s="180">
        <v>0</v>
      </c>
      <c r="AC102" s="180">
        <v>14236326</v>
      </c>
      <c r="AD102" s="180"/>
      <c r="AE102" s="180">
        <v>430828</v>
      </c>
      <c r="AF102" s="180">
        <v>381424</v>
      </c>
      <c r="AG102" s="180">
        <v>13266437</v>
      </c>
      <c r="AH102" s="180">
        <v>0</v>
      </c>
      <c r="AI102" s="180">
        <v>2085216</v>
      </c>
      <c r="AJ102" s="180">
        <v>0</v>
      </c>
      <c r="AK102" s="180">
        <v>384431</v>
      </c>
      <c r="AL102" s="180">
        <v>1574342</v>
      </c>
      <c r="AM102" s="180">
        <v>1931506</v>
      </c>
      <c r="AN102" s="180">
        <v>313631</v>
      </c>
      <c r="AO102" s="180">
        <v>184874</v>
      </c>
      <c r="AP102" s="180">
        <v>74426</v>
      </c>
      <c r="AQ102" s="180">
        <v>0</v>
      </c>
      <c r="AR102" s="180">
        <v>2432618</v>
      </c>
      <c r="AS102" s="180">
        <v>217497</v>
      </c>
      <c r="AT102" s="180">
        <v>0</v>
      </c>
      <c r="AU102" s="180">
        <v>0</v>
      </c>
      <c r="AV102" s="180">
        <v>0</v>
      </c>
      <c r="AW102" s="180">
        <v>0</v>
      </c>
      <c r="AX102" s="180">
        <v>203679</v>
      </c>
      <c r="AY102" s="180">
        <v>3093723</v>
      </c>
      <c r="AZ102" s="180">
        <v>464514</v>
      </c>
      <c r="BA102" s="180">
        <v>2642372</v>
      </c>
      <c r="BB102" s="180">
        <v>0</v>
      </c>
      <c r="BC102" s="180">
        <v>3436859</v>
      </c>
      <c r="BD102" s="180">
        <v>0</v>
      </c>
      <c r="BE102" s="180">
        <v>1392414</v>
      </c>
      <c r="BF102" s="180">
        <v>1045661</v>
      </c>
      <c r="BG102" s="180">
        <v>572820</v>
      </c>
      <c r="BH102" s="180">
        <v>575663</v>
      </c>
      <c r="BI102" s="180">
        <v>2750276</v>
      </c>
      <c r="BJ102" s="180">
        <v>29140109</v>
      </c>
      <c r="BK102" s="180">
        <v>0</v>
      </c>
      <c r="BL102" s="180">
        <v>0</v>
      </c>
      <c r="BM102" s="180">
        <v>0</v>
      </c>
      <c r="BN102" s="180">
        <v>8563477</v>
      </c>
      <c r="BO102" s="180">
        <v>4726932</v>
      </c>
      <c r="BP102" s="180">
        <v>0</v>
      </c>
      <c r="BQ102" s="180">
        <v>0</v>
      </c>
      <c r="BR102" s="180">
        <v>2942564</v>
      </c>
      <c r="BS102" s="180">
        <v>0</v>
      </c>
      <c r="BT102" s="180">
        <v>0</v>
      </c>
      <c r="BU102" s="180">
        <v>0</v>
      </c>
      <c r="BV102" s="180">
        <v>1069511</v>
      </c>
      <c r="BW102" s="180">
        <v>0</v>
      </c>
      <c r="BX102" s="180"/>
      <c r="BY102" s="180"/>
      <c r="BZ102" s="180">
        <v>2766107</v>
      </c>
      <c r="CA102" s="180">
        <v>86806</v>
      </c>
      <c r="CB102" s="180"/>
      <c r="CC102" s="180">
        <v>6648886</v>
      </c>
      <c r="CD102" s="180">
        <v>43122431</v>
      </c>
      <c r="CE102" s="180">
        <v>97115338</v>
      </c>
      <c r="CF102" s="180">
        <v>81641</v>
      </c>
      <c r="CG102" s="180">
        <v>6156207</v>
      </c>
      <c r="CH102" s="180">
        <v>62604</v>
      </c>
      <c r="CI102" s="180">
        <v>1317096</v>
      </c>
      <c r="CJ102" s="180">
        <v>201930355</v>
      </c>
      <c r="CK102" s="180">
        <v>8504778</v>
      </c>
      <c r="CL102" s="180">
        <v>1107923</v>
      </c>
      <c r="CM102" s="180">
        <v>0</v>
      </c>
      <c r="CN102" s="180">
        <v>570885</v>
      </c>
      <c r="CO102" s="180">
        <v>9681805</v>
      </c>
      <c r="CP102" s="180">
        <v>3660893</v>
      </c>
      <c r="CQ102" s="180">
        <v>1684319</v>
      </c>
      <c r="CR102" s="180">
        <v>0</v>
      </c>
      <c r="CS102" s="180">
        <v>0</v>
      </c>
      <c r="CT102" s="180"/>
      <c r="CU102" s="180"/>
    </row>
    <row r="103" spans="1:99" x14ac:dyDescent="0.3">
      <c r="A103" s="155">
        <v>503</v>
      </c>
      <c r="B103" s="180" t="s">
        <v>178</v>
      </c>
      <c r="C103" s="180"/>
      <c r="D103" s="180">
        <v>0</v>
      </c>
      <c r="E103" s="180">
        <v>0</v>
      </c>
      <c r="F103" s="180">
        <v>108302</v>
      </c>
      <c r="G103" s="180">
        <v>0</v>
      </c>
      <c r="H103" s="180">
        <v>0</v>
      </c>
      <c r="I103" s="180">
        <v>24855</v>
      </c>
      <c r="J103" s="180">
        <v>439450</v>
      </c>
      <c r="K103" s="180"/>
      <c r="L103" s="180">
        <v>0</v>
      </c>
      <c r="M103" s="180">
        <v>6754928</v>
      </c>
      <c r="N103" s="180"/>
      <c r="O103" s="180">
        <v>0</v>
      </c>
      <c r="P103" s="180">
        <v>213634</v>
      </c>
      <c r="Q103" s="180">
        <v>23120</v>
      </c>
      <c r="R103" s="180">
        <v>0</v>
      </c>
      <c r="S103" s="180">
        <v>272945</v>
      </c>
      <c r="T103" s="180">
        <v>0</v>
      </c>
      <c r="U103" s="180">
        <v>0</v>
      </c>
      <c r="V103" s="180">
        <v>0</v>
      </c>
      <c r="W103" s="180">
        <v>606720</v>
      </c>
      <c r="X103" s="180">
        <v>0</v>
      </c>
      <c r="Y103" s="180">
        <v>403884</v>
      </c>
      <c r="Z103" s="180">
        <v>0</v>
      </c>
      <c r="AA103" s="180">
        <v>224349</v>
      </c>
      <c r="AB103" s="180">
        <v>0</v>
      </c>
      <c r="AC103" s="180">
        <v>653510</v>
      </c>
      <c r="AD103" s="180"/>
      <c r="AE103" s="180">
        <v>45380</v>
      </c>
      <c r="AF103" s="180">
        <v>0</v>
      </c>
      <c r="AG103" s="180">
        <v>1649160</v>
      </c>
      <c r="AH103" s="180">
        <v>0</v>
      </c>
      <c r="AI103" s="180">
        <v>83932</v>
      </c>
      <c r="AJ103" s="180">
        <v>0</v>
      </c>
      <c r="AK103" s="180">
        <v>3586</v>
      </c>
      <c r="AL103" s="180">
        <v>0</v>
      </c>
      <c r="AM103" s="180">
        <v>487590</v>
      </c>
      <c r="AN103" s="180">
        <v>115711</v>
      </c>
      <c r="AO103" s="180">
        <v>142992</v>
      </c>
      <c r="AP103" s="180">
        <v>3705</v>
      </c>
      <c r="AQ103" s="180">
        <v>0</v>
      </c>
      <c r="AR103" s="180">
        <v>81570</v>
      </c>
      <c r="AS103" s="180">
        <v>51901</v>
      </c>
      <c r="AT103" s="180">
        <v>0</v>
      </c>
      <c r="AU103" s="180">
        <v>0</v>
      </c>
      <c r="AV103" s="180">
        <v>0</v>
      </c>
      <c r="AW103" s="180">
        <v>0</v>
      </c>
      <c r="AX103" s="180">
        <v>19726</v>
      </c>
      <c r="AY103" s="180">
        <v>266633</v>
      </c>
      <c r="AZ103" s="180">
        <v>27603</v>
      </c>
      <c r="BA103" s="180">
        <v>470958</v>
      </c>
      <c r="BB103" s="180">
        <v>0</v>
      </c>
      <c r="BC103" s="180">
        <v>0</v>
      </c>
      <c r="BD103" s="180">
        <v>0</v>
      </c>
      <c r="BE103" s="180">
        <v>25359</v>
      </c>
      <c r="BF103" s="180">
        <v>31150</v>
      </c>
      <c r="BG103" s="180">
        <v>15137</v>
      </c>
      <c r="BH103" s="180">
        <v>96757</v>
      </c>
      <c r="BI103" s="180">
        <v>172981</v>
      </c>
      <c r="BJ103" s="180">
        <v>8677914</v>
      </c>
      <c r="BK103" s="180">
        <v>0</v>
      </c>
      <c r="BL103" s="180">
        <v>0</v>
      </c>
      <c r="BM103" s="180">
        <v>0</v>
      </c>
      <c r="BN103" s="180">
        <v>226993</v>
      </c>
      <c r="BO103" s="180">
        <v>26245</v>
      </c>
      <c r="BP103" s="180">
        <v>0</v>
      </c>
      <c r="BQ103" s="180">
        <v>0</v>
      </c>
      <c r="BR103" s="180">
        <v>52126</v>
      </c>
      <c r="BS103" s="180">
        <v>0</v>
      </c>
      <c r="BT103" s="180">
        <v>0</v>
      </c>
      <c r="BU103" s="180">
        <v>0</v>
      </c>
      <c r="BV103" s="180">
        <v>62010</v>
      </c>
      <c r="BW103" s="180">
        <v>0</v>
      </c>
      <c r="BX103" s="180"/>
      <c r="BY103" s="180"/>
      <c r="BZ103" s="180">
        <v>148508</v>
      </c>
      <c r="CA103" s="180">
        <v>1843</v>
      </c>
      <c r="CB103" s="180"/>
      <c r="CC103" s="180">
        <v>203947</v>
      </c>
      <c r="CD103" s="180">
        <v>3925654</v>
      </c>
      <c r="CE103" s="180">
        <v>2914624</v>
      </c>
      <c r="CF103" s="180">
        <v>0</v>
      </c>
      <c r="CG103" s="180">
        <v>124805</v>
      </c>
      <c r="CH103" s="180">
        <v>29663</v>
      </c>
      <c r="CI103" s="180">
        <v>145125</v>
      </c>
      <c r="CJ103" s="180">
        <v>116863639</v>
      </c>
      <c r="CK103" s="180">
        <v>746471</v>
      </c>
      <c r="CL103" s="180">
        <v>52463</v>
      </c>
      <c r="CM103" s="180">
        <v>0</v>
      </c>
      <c r="CN103" s="180">
        <v>19885</v>
      </c>
      <c r="CO103" s="180">
        <v>250000</v>
      </c>
      <c r="CP103" s="180">
        <v>50347</v>
      </c>
      <c r="CQ103" s="180">
        <v>1790</v>
      </c>
      <c r="CR103" s="180">
        <v>0</v>
      </c>
      <c r="CS103" s="180">
        <v>0</v>
      </c>
      <c r="CT103" s="180"/>
      <c r="CU103" s="180"/>
    </row>
    <row r="104" spans="1:99" x14ac:dyDescent="0.3">
      <c r="A104" s="155">
        <v>504</v>
      </c>
      <c r="B104" s="180" t="s">
        <v>182</v>
      </c>
      <c r="C104" s="180"/>
      <c r="D104" s="180">
        <v>11901</v>
      </c>
      <c r="E104" s="180">
        <v>0</v>
      </c>
      <c r="F104" s="180">
        <v>158378</v>
      </c>
      <c r="G104" s="180">
        <v>14851</v>
      </c>
      <c r="H104" s="180">
        <v>5929253</v>
      </c>
      <c r="I104" s="180">
        <v>246672</v>
      </c>
      <c r="J104" s="180">
        <v>174271</v>
      </c>
      <c r="K104" s="180"/>
      <c r="L104" s="180">
        <v>82872</v>
      </c>
      <c r="M104" s="180">
        <v>1736967</v>
      </c>
      <c r="N104" s="180"/>
      <c r="O104" s="180">
        <v>29630</v>
      </c>
      <c r="P104" s="180">
        <v>2800</v>
      </c>
      <c r="Q104" s="180">
        <v>237855</v>
      </c>
      <c r="R104" s="180">
        <v>2745</v>
      </c>
      <c r="S104" s="180">
        <v>14907</v>
      </c>
      <c r="T104" s="180">
        <v>34134</v>
      </c>
      <c r="U104" s="180">
        <v>0</v>
      </c>
      <c r="V104" s="180">
        <v>276904</v>
      </c>
      <c r="W104" s="180">
        <v>148494</v>
      </c>
      <c r="X104" s="180">
        <v>459558</v>
      </c>
      <c r="Y104" s="180">
        <v>0</v>
      </c>
      <c r="Z104" s="180">
        <v>911083</v>
      </c>
      <c r="AA104" s="180">
        <v>234953</v>
      </c>
      <c r="AB104" s="180">
        <v>35057</v>
      </c>
      <c r="AC104" s="180">
        <v>1258828</v>
      </c>
      <c r="AD104" s="180"/>
      <c r="AE104" s="180">
        <v>55098</v>
      </c>
      <c r="AF104" s="180">
        <v>15945</v>
      </c>
      <c r="AG104" s="180">
        <v>3719128</v>
      </c>
      <c r="AH104" s="180">
        <v>281483</v>
      </c>
      <c r="AI104" s="180">
        <v>5374301</v>
      </c>
      <c r="AJ104" s="180">
        <v>161579</v>
      </c>
      <c r="AK104" s="180">
        <v>50967</v>
      </c>
      <c r="AL104" s="180">
        <v>285269</v>
      </c>
      <c r="AM104" s="180">
        <v>110169</v>
      </c>
      <c r="AN104" s="180">
        <v>861340</v>
      </c>
      <c r="AO104" s="180">
        <v>381419</v>
      </c>
      <c r="AP104" s="180">
        <v>163281</v>
      </c>
      <c r="AQ104" s="180">
        <v>157634</v>
      </c>
      <c r="AR104" s="180">
        <v>995443</v>
      </c>
      <c r="AS104" s="180">
        <v>130613</v>
      </c>
      <c r="AT104" s="180">
        <v>15933</v>
      </c>
      <c r="AU104" s="180">
        <v>9610</v>
      </c>
      <c r="AV104" s="180">
        <v>176342</v>
      </c>
      <c r="AW104" s="180">
        <v>35429</v>
      </c>
      <c r="AX104" s="180">
        <v>20207</v>
      </c>
      <c r="AY104" s="180">
        <v>385439</v>
      </c>
      <c r="AZ104" s="180">
        <v>27029</v>
      </c>
      <c r="BA104" s="180">
        <v>3599302</v>
      </c>
      <c r="BB104" s="180">
        <v>457617</v>
      </c>
      <c r="BC104" s="180">
        <v>222109</v>
      </c>
      <c r="BD104" s="180">
        <v>0</v>
      </c>
      <c r="BE104" s="180">
        <v>302895</v>
      </c>
      <c r="BF104" s="180">
        <v>55388</v>
      </c>
      <c r="BG104" s="180">
        <v>21484</v>
      </c>
      <c r="BH104" s="180">
        <v>510537</v>
      </c>
      <c r="BI104" s="180">
        <v>165654</v>
      </c>
      <c r="BJ104" s="180">
        <v>521327</v>
      </c>
      <c r="BK104" s="180">
        <v>17127</v>
      </c>
      <c r="BL104" s="180">
        <v>4701</v>
      </c>
      <c r="BM104" s="180">
        <v>1984142</v>
      </c>
      <c r="BN104" s="180">
        <v>1512684</v>
      </c>
      <c r="BO104" s="180">
        <v>77007</v>
      </c>
      <c r="BP104" s="180">
        <v>4874</v>
      </c>
      <c r="BQ104" s="180">
        <v>156486</v>
      </c>
      <c r="BR104" s="180">
        <v>121458</v>
      </c>
      <c r="BS104" s="180">
        <v>1392691</v>
      </c>
      <c r="BT104" s="180">
        <v>0</v>
      </c>
      <c r="BU104" s="180">
        <v>0</v>
      </c>
      <c r="BV104" s="180">
        <v>315804</v>
      </c>
      <c r="BW104" s="180">
        <v>164569</v>
      </c>
      <c r="BX104" s="180"/>
      <c r="BY104" s="180"/>
      <c r="BZ104" s="180">
        <v>864778</v>
      </c>
      <c r="CA104" s="180">
        <v>50000</v>
      </c>
      <c r="CB104" s="180"/>
      <c r="CC104" s="180">
        <v>791094</v>
      </c>
      <c r="CD104" s="180">
        <v>17424837</v>
      </c>
      <c r="CE104" s="180">
        <v>3169763</v>
      </c>
      <c r="CF104" s="180">
        <v>523779</v>
      </c>
      <c r="CG104" s="180">
        <v>1645725</v>
      </c>
      <c r="CH104" s="180">
        <v>83073</v>
      </c>
      <c r="CI104" s="180">
        <v>118672</v>
      </c>
      <c r="CJ104" s="180">
        <v>62290459</v>
      </c>
      <c r="CK104" s="180">
        <v>787449</v>
      </c>
      <c r="CL104" s="180">
        <v>28196</v>
      </c>
      <c r="CM104" s="180">
        <v>2381533</v>
      </c>
      <c r="CN104" s="180">
        <v>82865</v>
      </c>
      <c r="CO104" s="180">
        <v>561143</v>
      </c>
      <c r="CP104" s="180">
        <v>96166</v>
      </c>
      <c r="CQ104" s="180">
        <v>154447</v>
      </c>
      <c r="CR104" s="180">
        <v>121549</v>
      </c>
      <c r="CS104" s="180">
        <v>885558</v>
      </c>
      <c r="CT104" s="180"/>
      <c r="CU104" s="180"/>
    </row>
    <row r="105" spans="1:99" x14ac:dyDescent="0.3">
      <c r="A105" s="155">
        <v>505</v>
      </c>
      <c r="B105" s="180" t="s">
        <v>183</v>
      </c>
      <c r="C105" s="180"/>
      <c r="D105" s="180">
        <v>0</v>
      </c>
      <c r="E105" s="180">
        <v>0</v>
      </c>
      <c r="F105" s="180">
        <v>134438</v>
      </c>
      <c r="G105" s="180">
        <v>0</v>
      </c>
      <c r="H105" s="180">
        <v>1600000</v>
      </c>
      <c r="I105" s="180">
        <v>90479</v>
      </c>
      <c r="J105" s="180">
        <v>100000</v>
      </c>
      <c r="K105" s="180"/>
      <c r="L105" s="180">
        <v>45205</v>
      </c>
      <c r="M105" s="180">
        <v>877329</v>
      </c>
      <c r="N105" s="180"/>
      <c r="O105" s="180">
        <v>0</v>
      </c>
      <c r="P105" s="180">
        <v>0</v>
      </c>
      <c r="Q105" s="180">
        <v>114187</v>
      </c>
      <c r="R105" s="180">
        <v>0</v>
      </c>
      <c r="S105" s="180">
        <v>0</v>
      </c>
      <c r="T105" s="180">
        <v>0</v>
      </c>
      <c r="U105" s="180">
        <v>0</v>
      </c>
      <c r="V105" s="180">
        <v>589075</v>
      </c>
      <c r="W105" s="180">
        <v>1533711</v>
      </c>
      <c r="X105" s="180">
        <v>147807</v>
      </c>
      <c r="Y105" s="180">
        <v>0</v>
      </c>
      <c r="Z105" s="180">
        <v>3250000</v>
      </c>
      <c r="AA105" s="180">
        <v>946</v>
      </c>
      <c r="AB105" s="180">
        <v>0</v>
      </c>
      <c r="AC105" s="180">
        <v>186780</v>
      </c>
      <c r="AD105" s="180"/>
      <c r="AE105" s="180">
        <v>0</v>
      </c>
      <c r="AF105" s="180">
        <v>0</v>
      </c>
      <c r="AG105" s="180">
        <v>80000</v>
      </c>
      <c r="AH105" s="180">
        <v>0</v>
      </c>
      <c r="AI105" s="180">
        <v>0</v>
      </c>
      <c r="AJ105" s="180">
        <v>0</v>
      </c>
      <c r="AK105" s="180">
        <v>26812</v>
      </c>
      <c r="AL105" s="180">
        <v>0</v>
      </c>
      <c r="AM105" s="180">
        <v>0</v>
      </c>
      <c r="AN105" s="180">
        <v>362547</v>
      </c>
      <c r="AO105" s="180">
        <v>85000</v>
      </c>
      <c r="AP105" s="180">
        <v>99059</v>
      </c>
      <c r="AQ105" s="180">
        <v>0</v>
      </c>
      <c r="AR105" s="180">
        <v>1503659</v>
      </c>
      <c r="AS105" s="180">
        <v>0</v>
      </c>
      <c r="AT105" s="180">
        <v>0</v>
      </c>
      <c r="AU105" s="180">
        <v>0</v>
      </c>
      <c r="AV105" s="180">
        <v>0</v>
      </c>
      <c r="AW105" s="180">
        <v>0</v>
      </c>
      <c r="AX105" s="180">
        <v>0</v>
      </c>
      <c r="AY105" s="180">
        <v>413574</v>
      </c>
      <c r="AZ105" s="180">
        <v>0</v>
      </c>
      <c r="BA105" s="180">
        <v>28867077</v>
      </c>
      <c r="BB105" s="180">
        <v>0</v>
      </c>
      <c r="BC105" s="180">
        <v>1330439</v>
      </c>
      <c r="BD105" s="180">
        <v>0</v>
      </c>
      <c r="BE105" s="180">
        <v>80479</v>
      </c>
      <c r="BF105" s="180">
        <v>0</v>
      </c>
      <c r="BG105" s="180">
        <v>0</v>
      </c>
      <c r="BH105" s="180">
        <v>59555</v>
      </c>
      <c r="BI105" s="180">
        <v>0</v>
      </c>
      <c r="BJ105" s="180">
        <v>1650082</v>
      </c>
      <c r="BK105" s="180">
        <v>0</v>
      </c>
      <c r="BL105" s="180">
        <v>0</v>
      </c>
      <c r="BM105" s="180">
        <v>104300</v>
      </c>
      <c r="BN105" s="180">
        <v>320019</v>
      </c>
      <c r="BO105" s="180">
        <v>136507</v>
      </c>
      <c r="BP105" s="180">
        <v>0</v>
      </c>
      <c r="BQ105" s="180">
        <v>0</v>
      </c>
      <c r="BR105" s="180">
        <v>0</v>
      </c>
      <c r="BS105" s="180">
        <v>0</v>
      </c>
      <c r="BT105" s="180">
        <v>0</v>
      </c>
      <c r="BU105" s="180">
        <v>0</v>
      </c>
      <c r="BV105" s="180">
        <v>50106</v>
      </c>
      <c r="BW105" s="180">
        <v>541807</v>
      </c>
      <c r="BX105" s="180"/>
      <c r="BY105" s="180"/>
      <c r="BZ105" s="180">
        <v>0</v>
      </c>
      <c r="CA105" s="180">
        <v>0</v>
      </c>
      <c r="CB105" s="180"/>
      <c r="CC105" s="180">
        <v>2000</v>
      </c>
      <c r="CD105" s="180">
        <v>6148569</v>
      </c>
      <c r="CE105" s="180">
        <v>1302520</v>
      </c>
      <c r="CF105" s="180">
        <v>2000000</v>
      </c>
      <c r="CG105" s="180">
        <v>4116</v>
      </c>
      <c r="CH105" s="180">
        <v>0</v>
      </c>
      <c r="CI105" s="180">
        <v>0</v>
      </c>
      <c r="CJ105" s="180">
        <v>769274</v>
      </c>
      <c r="CK105" s="180">
        <v>751843</v>
      </c>
      <c r="CL105" s="180">
        <v>0</v>
      </c>
      <c r="CM105" s="180">
        <v>28948</v>
      </c>
      <c r="CN105" s="180">
        <v>0</v>
      </c>
      <c r="CO105" s="180">
        <v>73102</v>
      </c>
      <c r="CP105" s="180">
        <v>57490</v>
      </c>
      <c r="CQ105" s="180">
        <v>169414</v>
      </c>
      <c r="CR105" s="180">
        <v>1000000</v>
      </c>
      <c r="CS105" s="180">
        <v>8802622</v>
      </c>
      <c r="CT105" s="180"/>
      <c r="CU105" s="180"/>
    </row>
    <row r="106" spans="1:99" x14ac:dyDescent="0.3">
      <c r="A106" s="155">
        <v>506</v>
      </c>
      <c r="B106" s="180" t="s">
        <v>189</v>
      </c>
      <c r="C106" s="180"/>
      <c r="D106" s="180">
        <v>792781</v>
      </c>
      <c r="E106" s="180">
        <v>4505279</v>
      </c>
      <c r="F106" s="180">
        <v>1078032</v>
      </c>
      <c r="G106" s="180">
        <v>569204</v>
      </c>
      <c r="H106" s="180">
        <v>10811342</v>
      </c>
      <c r="I106" s="180">
        <v>1163896</v>
      </c>
      <c r="J106" s="180">
        <v>1363338</v>
      </c>
      <c r="K106" s="180"/>
      <c r="L106" s="180">
        <v>734184</v>
      </c>
      <c r="M106" s="180">
        <v>33332033</v>
      </c>
      <c r="N106" s="180"/>
      <c r="O106" s="180">
        <v>946612</v>
      </c>
      <c r="P106" s="180">
        <v>2896330</v>
      </c>
      <c r="Q106" s="180">
        <v>810654</v>
      </c>
      <c r="R106" s="180">
        <v>270967</v>
      </c>
      <c r="S106" s="180">
        <v>347112</v>
      </c>
      <c r="T106" s="180">
        <v>1314930</v>
      </c>
      <c r="U106" s="180">
        <v>6648481</v>
      </c>
      <c r="V106" s="180">
        <v>11302917</v>
      </c>
      <c r="W106" s="180">
        <v>5906774</v>
      </c>
      <c r="X106" s="180">
        <v>3781616</v>
      </c>
      <c r="Y106" s="180">
        <v>3535227</v>
      </c>
      <c r="Z106" s="180">
        <v>6159106</v>
      </c>
      <c r="AA106" s="180">
        <v>2194633</v>
      </c>
      <c r="AB106" s="180">
        <v>86280</v>
      </c>
      <c r="AC106" s="180">
        <v>3421277</v>
      </c>
      <c r="AD106" s="180"/>
      <c r="AE106" s="180">
        <v>910243</v>
      </c>
      <c r="AF106" s="180">
        <v>765670</v>
      </c>
      <c r="AG106" s="180">
        <v>16190539</v>
      </c>
      <c r="AH106" s="180">
        <v>1654416</v>
      </c>
      <c r="AI106" s="180">
        <v>3708359</v>
      </c>
      <c r="AJ106" s="180">
        <v>1664293</v>
      </c>
      <c r="AK106" s="180">
        <v>920247</v>
      </c>
      <c r="AL106" s="180">
        <v>8521150</v>
      </c>
      <c r="AM106" s="180">
        <v>4500454</v>
      </c>
      <c r="AN106" s="180">
        <v>784069</v>
      </c>
      <c r="AO106" s="180">
        <v>1485604</v>
      </c>
      <c r="AP106" s="180">
        <v>68370</v>
      </c>
      <c r="AQ106" s="180">
        <v>3429369</v>
      </c>
      <c r="AR106" s="180">
        <v>6143028</v>
      </c>
      <c r="AS106" s="180">
        <v>866202</v>
      </c>
      <c r="AT106" s="180">
        <v>377476</v>
      </c>
      <c r="AU106" s="180">
        <v>1870853</v>
      </c>
      <c r="AV106" s="180">
        <v>512953</v>
      </c>
      <c r="AW106" s="180">
        <v>79101</v>
      </c>
      <c r="AX106" s="180">
        <v>223063</v>
      </c>
      <c r="AY106" s="180">
        <v>3208621</v>
      </c>
      <c r="AZ106" s="180">
        <v>1217333</v>
      </c>
      <c r="BA106" s="180">
        <v>24448905</v>
      </c>
      <c r="BB106" s="180">
        <v>5127187</v>
      </c>
      <c r="BC106" s="180">
        <v>2182387</v>
      </c>
      <c r="BD106" s="180">
        <v>3138598</v>
      </c>
      <c r="BE106" s="180">
        <v>1489312</v>
      </c>
      <c r="BF106" s="180">
        <v>1942094</v>
      </c>
      <c r="BG106" s="180">
        <v>285349</v>
      </c>
      <c r="BH106" s="180">
        <v>958107</v>
      </c>
      <c r="BI106" s="180">
        <v>2780085</v>
      </c>
      <c r="BJ106" s="180">
        <v>7975263</v>
      </c>
      <c r="BK106" s="180">
        <v>507668</v>
      </c>
      <c r="BL106" s="180">
        <v>303690</v>
      </c>
      <c r="BM106" s="180">
        <v>15773611</v>
      </c>
      <c r="BN106" s="180">
        <v>10823416</v>
      </c>
      <c r="BO106" s="180">
        <v>6307565</v>
      </c>
      <c r="BP106" s="180">
        <v>257496</v>
      </c>
      <c r="BQ106" s="180">
        <v>4578845</v>
      </c>
      <c r="BR106" s="180">
        <v>1111355</v>
      </c>
      <c r="BS106" s="180">
        <v>11194751</v>
      </c>
      <c r="BT106" s="180">
        <v>2119686</v>
      </c>
      <c r="BU106" s="180">
        <v>1681575</v>
      </c>
      <c r="BV106" s="180">
        <v>1772726</v>
      </c>
      <c r="BW106" s="180">
        <v>4554113</v>
      </c>
      <c r="BX106" s="180"/>
      <c r="BY106" s="180"/>
      <c r="BZ106" s="180">
        <v>2186905</v>
      </c>
      <c r="CA106" s="180">
        <v>735342</v>
      </c>
      <c r="CB106" s="180"/>
      <c r="CC106" s="180">
        <v>4835416</v>
      </c>
      <c r="CD106" s="180">
        <v>64775851</v>
      </c>
      <c r="CE106" s="180">
        <v>29081448</v>
      </c>
      <c r="CF106" s="180">
        <v>1049127</v>
      </c>
      <c r="CG106" s="180">
        <v>2033691</v>
      </c>
      <c r="CH106" s="180">
        <v>213317</v>
      </c>
      <c r="CI106" s="180">
        <v>1511864</v>
      </c>
      <c r="CJ106" s="180">
        <v>70122306</v>
      </c>
      <c r="CK106" s="180">
        <v>12020878</v>
      </c>
      <c r="CL106" s="180">
        <v>989022</v>
      </c>
      <c r="CM106" s="180">
        <v>3898046</v>
      </c>
      <c r="CN106" s="180">
        <v>852036</v>
      </c>
      <c r="CO106" s="180">
        <v>19925724</v>
      </c>
      <c r="CP106" s="180">
        <v>3498467</v>
      </c>
      <c r="CQ106" s="180">
        <v>1672537</v>
      </c>
      <c r="CR106" s="180">
        <v>3812665</v>
      </c>
      <c r="CS106" s="180">
        <v>13894387</v>
      </c>
      <c r="CT106" s="180"/>
      <c r="CU106" s="180"/>
    </row>
    <row r="107" spans="1:99" x14ac:dyDescent="0.3">
      <c r="A107" s="155">
        <v>507</v>
      </c>
      <c r="B107" s="180" t="s">
        <v>925</v>
      </c>
      <c r="C107" s="180"/>
      <c r="D107" s="180">
        <v>0</v>
      </c>
      <c r="E107" s="180">
        <v>0</v>
      </c>
      <c r="F107" s="180">
        <v>0</v>
      </c>
      <c r="G107" s="180">
        <v>0</v>
      </c>
      <c r="H107" s="180">
        <v>0</v>
      </c>
      <c r="I107" s="180">
        <v>0</v>
      </c>
      <c r="J107" s="180">
        <v>0</v>
      </c>
      <c r="K107" s="180"/>
      <c r="L107" s="180">
        <v>0</v>
      </c>
      <c r="M107" s="180">
        <v>0</v>
      </c>
      <c r="N107" s="180"/>
      <c r="O107" s="180">
        <v>0</v>
      </c>
      <c r="P107" s="180">
        <v>0</v>
      </c>
      <c r="Q107" s="180">
        <v>0</v>
      </c>
      <c r="R107" s="180">
        <v>0</v>
      </c>
      <c r="S107" s="180">
        <v>0</v>
      </c>
      <c r="T107" s="180">
        <v>0</v>
      </c>
      <c r="U107" s="180">
        <v>0</v>
      </c>
      <c r="V107" s="180">
        <v>0</v>
      </c>
      <c r="W107" s="180">
        <v>0</v>
      </c>
      <c r="X107" s="180">
        <v>0</v>
      </c>
      <c r="Y107" s="180">
        <v>0</v>
      </c>
      <c r="Z107" s="180">
        <v>0</v>
      </c>
      <c r="AA107" s="180">
        <v>0</v>
      </c>
      <c r="AB107" s="180">
        <v>0</v>
      </c>
      <c r="AC107" s="180">
        <v>254602</v>
      </c>
      <c r="AD107" s="180"/>
      <c r="AE107" s="180">
        <v>0</v>
      </c>
      <c r="AF107" s="180">
        <v>0</v>
      </c>
      <c r="AG107" s="180">
        <v>0</v>
      </c>
      <c r="AH107" s="180">
        <v>0</v>
      </c>
      <c r="AI107" s="180">
        <v>0</v>
      </c>
      <c r="AJ107" s="180">
        <v>0</v>
      </c>
      <c r="AK107" s="180">
        <v>0</v>
      </c>
      <c r="AL107" s="180">
        <v>0</v>
      </c>
      <c r="AM107" s="180">
        <v>0</v>
      </c>
      <c r="AN107" s="180">
        <v>0</v>
      </c>
      <c r="AO107" s="180">
        <v>0</v>
      </c>
      <c r="AP107" s="180">
        <v>0</v>
      </c>
      <c r="AQ107" s="180">
        <v>0</v>
      </c>
      <c r="AR107" s="180">
        <v>1</v>
      </c>
      <c r="AS107" s="180">
        <v>0</v>
      </c>
      <c r="AT107" s="180">
        <v>0</v>
      </c>
      <c r="AU107" s="180">
        <v>0</v>
      </c>
      <c r="AV107" s="180">
        <v>0</v>
      </c>
      <c r="AW107" s="180">
        <v>0</v>
      </c>
      <c r="AX107" s="180">
        <v>0</v>
      </c>
      <c r="AY107" s="180">
        <v>0</v>
      </c>
      <c r="AZ107" s="180">
        <v>0</v>
      </c>
      <c r="BA107" s="180">
        <v>0</v>
      </c>
      <c r="BB107" s="180">
        <v>0</v>
      </c>
      <c r="BC107" s="180">
        <v>0</v>
      </c>
      <c r="BD107" s="180">
        <v>1</v>
      </c>
      <c r="BE107" s="180">
        <v>0</v>
      </c>
      <c r="BF107" s="180">
        <v>0</v>
      </c>
      <c r="BG107" s="180">
        <v>0</v>
      </c>
      <c r="BH107" s="180">
        <v>0</v>
      </c>
      <c r="BI107" s="180">
        <v>0</v>
      </c>
      <c r="BJ107" s="180">
        <v>0</v>
      </c>
      <c r="BK107" s="180">
        <v>0</v>
      </c>
      <c r="BL107" s="180">
        <v>0</v>
      </c>
      <c r="BM107" s="180">
        <v>0</v>
      </c>
      <c r="BN107" s="180">
        <v>-800000</v>
      </c>
      <c r="BO107" s="180">
        <v>0</v>
      </c>
      <c r="BP107" s="180">
        <v>0</v>
      </c>
      <c r="BQ107" s="180">
        <v>0</v>
      </c>
      <c r="BR107" s="180">
        <v>0</v>
      </c>
      <c r="BS107" s="180">
        <v>-1</v>
      </c>
      <c r="BT107" s="180">
        <v>661</v>
      </c>
      <c r="BU107" s="180">
        <v>0</v>
      </c>
      <c r="BV107" s="180">
        <v>0</v>
      </c>
      <c r="BW107" s="180">
        <v>0</v>
      </c>
      <c r="BX107" s="180"/>
      <c r="BY107" s="180"/>
      <c r="BZ107" s="180">
        <v>-84367</v>
      </c>
      <c r="CA107" s="180">
        <v>0</v>
      </c>
      <c r="CB107" s="180"/>
      <c r="CC107" s="180">
        <v>13371</v>
      </c>
      <c r="CD107" s="180">
        <v>21798</v>
      </c>
      <c r="CE107" s="180">
        <v>0</v>
      </c>
      <c r="CF107" s="180">
        <v>0</v>
      </c>
      <c r="CG107" s="180">
        <v>0</v>
      </c>
      <c r="CH107" s="180">
        <v>0</v>
      </c>
      <c r="CI107" s="180">
        <v>1</v>
      </c>
      <c r="CJ107" s="180">
        <v>0</v>
      </c>
      <c r="CK107" s="180">
        <v>0</v>
      </c>
      <c r="CL107" s="180">
        <v>0</v>
      </c>
      <c r="CM107" s="180">
        <v>0</v>
      </c>
      <c r="CN107" s="180">
        <v>0</v>
      </c>
      <c r="CO107" s="180">
        <v>0</v>
      </c>
      <c r="CP107" s="180">
        <v>0</v>
      </c>
      <c r="CQ107" s="180">
        <v>0</v>
      </c>
      <c r="CR107" s="180">
        <v>0</v>
      </c>
      <c r="CS107" s="180">
        <v>0</v>
      </c>
      <c r="CT107" s="180"/>
      <c r="CU107" s="180"/>
    </row>
    <row r="108" spans="1:99" x14ac:dyDescent="0.3">
      <c r="A108" s="155">
        <v>508</v>
      </c>
      <c r="B108" s="180" t="s">
        <v>204</v>
      </c>
      <c r="C108" s="180"/>
      <c r="D108" s="180">
        <v>0</v>
      </c>
      <c r="E108" s="180">
        <v>0</v>
      </c>
      <c r="F108" s="180">
        <v>0</v>
      </c>
      <c r="G108" s="180">
        <v>0</v>
      </c>
      <c r="H108" s="180">
        <v>0</v>
      </c>
      <c r="I108" s="180">
        <v>0</v>
      </c>
      <c r="J108" s="180">
        <v>0</v>
      </c>
      <c r="K108" s="180"/>
      <c r="L108" s="180">
        <v>0</v>
      </c>
      <c r="M108" s="180">
        <v>0</v>
      </c>
      <c r="N108" s="180"/>
      <c r="O108" s="180">
        <v>0</v>
      </c>
      <c r="P108" s="180">
        <v>0</v>
      </c>
      <c r="Q108" s="180">
        <v>0</v>
      </c>
      <c r="R108" s="180">
        <v>0</v>
      </c>
      <c r="S108" s="180">
        <v>0</v>
      </c>
      <c r="T108" s="180">
        <v>0</v>
      </c>
      <c r="U108" s="180">
        <v>0</v>
      </c>
      <c r="V108" s="180">
        <v>0</v>
      </c>
      <c r="W108" s="180">
        <v>0</v>
      </c>
      <c r="X108" s="180">
        <v>0</v>
      </c>
      <c r="Y108" s="180">
        <v>0</v>
      </c>
      <c r="Z108" s="180">
        <v>0</v>
      </c>
      <c r="AA108" s="180">
        <v>0</v>
      </c>
      <c r="AB108" s="180">
        <v>0</v>
      </c>
      <c r="AC108" s="180">
        <v>0</v>
      </c>
      <c r="AD108" s="180"/>
      <c r="AE108" s="180">
        <v>0</v>
      </c>
      <c r="AF108" s="180">
        <v>0</v>
      </c>
      <c r="AG108" s="180">
        <v>0</v>
      </c>
      <c r="AH108" s="180">
        <v>0</v>
      </c>
      <c r="AI108" s="180">
        <v>0</v>
      </c>
      <c r="AJ108" s="180">
        <v>0</v>
      </c>
      <c r="AK108" s="180">
        <v>0</v>
      </c>
      <c r="AL108" s="180">
        <v>0</v>
      </c>
      <c r="AM108" s="180">
        <v>0</v>
      </c>
      <c r="AN108" s="180">
        <v>0</v>
      </c>
      <c r="AO108" s="180">
        <v>0</v>
      </c>
      <c r="AP108" s="180">
        <v>0</v>
      </c>
      <c r="AQ108" s="180">
        <v>0</v>
      </c>
      <c r="AR108" s="180">
        <v>0</v>
      </c>
      <c r="AS108" s="180">
        <v>0</v>
      </c>
      <c r="AT108" s="180">
        <v>0</v>
      </c>
      <c r="AU108" s="180">
        <v>0</v>
      </c>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v>0</v>
      </c>
      <c r="BL108" s="180">
        <v>0</v>
      </c>
      <c r="BM108" s="180">
        <v>0</v>
      </c>
      <c r="BN108" s="180">
        <v>0</v>
      </c>
      <c r="BO108" s="180">
        <v>0</v>
      </c>
      <c r="BP108" s="180">
        <v>0</v>
      </c>
      <c r="BQ108" s="180">
        <v>0</v>
      </c>
      <c r="BR108" s="180">
        <v>0</v>
      </c>
      <c r="BS108" s="180">
        <v>0</v>
      </c>
      <c r="BT108" s="180">
        <v>0</v>
      </c>
      <c r="BU108" s="180">
        <v>0</v>
      </c>
      <c r="BV108" s="180">
        <v>0</v>
      </c>
      <c r="BW108" s="180">
        <v>0</v>
      </c>
      <c r="BX108" s="180"/>
      <c r="BY108" s="180"/>
      <c r="BZ108" s="180">
        <v>0</v>
      </c>
      <c r="CA108" s="180">
        <v>0</v>
      </c>
      <c r="CB108" s="180"/>
      <c r="CC108" s="180">
        <v>0</v>
      </c>
      <c r="CD108" s="180">
        <v>0</v>
      </c>
      <c r="CE108" s="180">
        <v>0</v>
      </c>
      <c r="CF108" s="180">
        <v>0</v>
      </c>
      <c r="CG108" s="180">
        <v>0</v>
      </c>
      <c r="CH108" s="180">
        <v>0</v>
      </c>
      <c r="CI108" s="180">
        <v>0</v>
      </c>
      <c r="CJ108" s="180">
        <v>0</v>
      </c>
      <c r="CK108" s="180">
        <v>0</v>
      </c>
      <c r="CL108" s="180">
        <v>0</v>
      </c>
      <c r="CM108" s="180">
        <v>0</v>
      </c>
      <c r="CN108" s="180">
        <v>0</v>
      </c>
      <c r="CO108" s="180">
        <v>0</v>
      </c>
      <c r="CP108" s="180">
        <v>0</v>
      </c>
      <c r="CQ108" s="180">
        <v>0</v>
      </c>
      <c r="CR108" s="180">
        <v>0</v>
      </c>
      <c r="CS108" s="180">
        <v>0</v>
      </c>
      <c r="CT108" s="180"/>
      <c r="CU108" s="180"/>
    </row>
    <row r="109" spans="1:99" x14ac:dyDescent="0.3">
      <c r="A109" s="155">
        <v>509</v>
      </c>
      <c r="B109" s="180" t="s">
        <v>205</v>
      </c>
      <c r="C109" s="180"/>
      <c r="D109" s="180">
        <v>0</v>
      </c>
      <c r="E109" s="180">
        <v>0</v>
      </c>
      <c r="F109" s="180">
        <v>0</v>
      </c>
      <c r="G109" s="180">
        <v>0</v>
      </c>
      <c r="H109" s="180">
        <v>0</v>
      </c>
      <c r="I109" s="180">
        <v>0</v>
      </c>
      <c r="J109" s="180">
        <v>0</v>
      </c>
      <c r="K109" s="180"/>
      <c r="L109" s="180">
        <v>0</v>
      </c>
      <c r="M109" s="180">
        <v>0</v>
      </c>
      <c r="N109" s="180"/>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v>0</v>
      </c>
      <c r="AD109" s="180"/>
      <c r="AE109" s="180">
        <v>0</v>
      </c>
      <c r="AF109" s="180">
        <v>0</v>
      </c>
      <c r="AG109" s="180">
        <v>0</v>
      </c>
      <c r="AH109" s="180">
        <v>0</v>
      </c>
      <c r="AI109" s="180">
        <v>0</v>
      </c>
      <c r="AJ109" s="180">
        <v>0</v>
      </c>
      <c r="AK109" s="180">
        <v>0</v>
      </c>
      <c r="AL109" s="180">
        <v>0</v>
      </c>
      <c r="AM109" s="180">
        <v>0</v>
      </c>
      <c r="AN109" s="180">
        <v>0</v>
      </c>
      <c r="AO109" s="180">
        <v>0</v>
      </c>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v>0</v>
      </c>
      <c r="BT109" s="180">
        <v>0</v>
      </c>
      <c r="BU109" s="180">
        <v>0</v>
      </c>
      <c r="BV109" s="180">
        <v>0</v>
      </c>
      <c r="BW109" s="180">
        <v>0</v>
      </c>
      <c r="BX109" s="180"/>
      <c r="BY109" s="180"/>
      <c r="BZ109" s="180">
        <v>0</v>
      </c>
      <c r="CA109" s="180">
        <v>0</v>
      </c>
      <c r="CB109" s="180"/>
      <c r="CC109" s="180">
        <v>0</v>
      </c>
      <c r="CD109" s="180">
        <v>0</v>
      </c>
      <c r="CE109" s="180">
        <v>0</v>
      </c>
      <c r="CF109" s="180">
        <v>0</v>
      </c>
      <c r="CG109" s="180">
        <v>0</v>
      </c>
      <c r="CH109" s="180">
        <v>0</v>
      </c>
      <c r="CI109" s="180">
        <v>0</v>
      </c>
      <c r="CJ109" s="180">
        <v>0</v>
      </c>
      <c r="CK109" s="180">
        <v>0</v>
      </c>
      <c r="CL109" s="180">
        <v>0</v>
      </c>
      <c r="CM109" s="180">
        <v>0</v>
      </c>
      <c r="CN109" s="180">
        <v>0</v>
      </c>
      <c r="CO109" s="180">
        <v>0</v>
      </c>
      <c r="CP109" s="180">
        <v>0</v>
      </c>
      <c r="CQ109" s="180">
        <v>0</v>
      </c>
      <c r="CR109" s="180">
        <v>0</v>
      </c>
      <c r="CS109" s="180">
        <v>0</v>
      </c>
      <c r="CT109" s="180"/>
      <c r="CU109" s="180"/>
    </row>
    <row r="110" spans="1:99" x14ac:dyDescent="0.3">
      <c r="A110" s="155">
        <v>510</v>
      </c>
      <c r="B110" s="180" t="s">
        <v>211</v>
      </c>
      <c r="C110" s="180"/>
      <c r="D110" s="180">
        <v>0</v>
      </c>
      <c r="E110" s="180">
        <v>0</v>
      </c>
      <c r="F110" s="180">
        <v>17781</v>
      </c>
      <c r="G110" s="180">
        <v>0</v>
      </c>
      <c r="H110" s="180">
        <v>0</v>
      </c>
      <c r="I110" s="180">
        <v>0</v>
      </c>
      <c r="J110" s="180">
        <v>0</v>
      </c>
      <c r="K110" s="180"/>
      <c r="L110" s="180">
        <v>0</v>
      </c>
      <c r="M110" s="180">
        <v>206146</v>
      </c>
      <c r="N110" s="180"/>
      <c r="O110" s="180">
        <v>0</v>
      </c>
      <c r="P110" s="180">
        <v>0</v>
      </c>
      <c r="Q110" s="180">
        <v>0</v>
      </c>
      <c r="R110" s="180">
        <v>0</v>
      </c>
      <c r="S110" s="180">
        <v>0</v>
      </c>
      <c r="T110" s="180">
        <v>0</v>
      </c>
      <c r="U110" s="180">
        <v>0</v>
      </c>
      <c r="V110" s="180">
        <v>0</v>
      </c>
      <c r="W110" s="180">
        <v>0</v>
      </c>
      <c r="X110" s="180">
        <v>0</v>
      </c>
      <c r="Y110" s="180">
        <v>6085</v>
      </c>
      <c r="Z110" s="180">
        <v>0</v>
      </c>
      <c r="AA110" s="180">
        <v>0</v>
      </c>
      <c r="AB110" s="180">
        <v>0</v>
      </c>
      <c r="AC110" s="180">
        <v>94278</v>
      </c>
      <c r="AD110" s="180"/>
      <c r="AE110" s="180">
        <v>0</v>
      </c>
      <c r="AF110" s="180">
        <v>0</v>
      </c>
      <c r="AG110" s="180">
        <v>348930</v>
      </c>
      <c r="AH110" s="180">
        <v>0</v>
      </c>
      <c r="AI110" s="180">
        <v>0</v>
      </c>
      <c r="AJ110" s="180">
        <v>0</v>
      </c>
      <c r="AK110" s="180">
        <v>0</v>
      </c>
      <c r="AL110" s="180">
        <v>0</v>
      </c>
      <c r="AM110" s="180">
        <v>0</v>
      </c>
      <c r="AN110" s="180">
        <v>40393</v>
      </c>
      <c r="AO110" s="180">
        <v>53195</v>
      </c>
      <c r="AP110" s="180">
        <v>0</v>
      </c>
      <c r="AQ110" s="180">
        <v>0</v>
      </c>
      <c r="AR110" s="180">
        <v>214671</v>
      </c>
      <c r="AS110" s="180">
        <v>0</v>
      </c>
      <c r="AT110" s="180">
        <v>0</v>
      </c>
      <c r="AU110" s="180">
        <v>0</v>
      </c>
      <c r="AV110" s="180">
        <v>0</v>
      </c>
      <c r="AW110" s="180">
        <v>0</v>
      </c>
      <c r="AX110" s="180">
        <v>0</v>
      </c>
      <c r="AY110" s="180">
        <v>219456</v>
      </c>
      <c r="AZ110" s="180">
        <v>0</v>
      </c>
      <c r="BA110" s="180">
        <v>0</v>
      </c>
      <c r="BB110" s="180">
        <v>0</v>
      </c>
      <c r="BC110" s="180">
        <v>28300</v>
      </c>
      <c r="BD110" s="180">
        <v>0</v>
      </c>
      <c r="BE110" s="180">
        <v>9820</v>
      </c>
      <c r="BF110" s="180">
        <v>0</v>
      </c>
      <c r="BG110" s="180">
        <v>0</v>
      </c>
      <c r="BH110" s="180">
        <v>101805</v>
      </c>
      <c r="BI110" s="180">
        <v>0</v>
      </c>
      <c r="BJ110" s="180">
        <v>152774</v>
      </c>
      <c r="BK110" s="180">
        <v>0</v>
      </c>
      <c r="BL110" s="180">
        <v>0</v>
      </c>
      <c r="BM110" s="180">
        <v>0</v>
      </c>
      <c r="BN110" s="180">
        <v>281446</v>
      </c>
      <c r="BO110" s="180">
        <v>0</v>
      </c>
      <c r="BP110" s="180">
        <v>0</v>
      </c>
      <c r="BQ110" s="180">
        <v>0</v>
      </c>
      <c r="BR110" s="180">
        <v>84688</v>
      </c>
      <c r="BS110" s="180">
        <v>0</v>
      </c>
      <c r="BT110" s="180">
        <v>0</v>
      </c>
      <c r="BU110" s="180">
        <v>0</v>
      </c>
      <c r="BV110" s="180">
        <v>0</v>
      </c>
      <c r="BW110" s="180">
        <v>0</v>
      </c>
      <c r="BX110" s="180"/>
      <c r="BY110" s="180"/>
      <c r="BZ110" s="180">
        <v>0</v>
      </c>
      <c r="CA110" s="180">
        <v>0</v>
      </c>
      <c r="CB110" s="180"/>
      <c r="CC110" s="180">
        <v>0</v>
      </c>
      <c r="CD110" s="180">
        <v>0</v>
      </c>
      <c r="CE110" s="180">
        <v>181451</v>
      </c>
      <c r="CF110" s="180">
        <v>0</v>
      </c>
      <c r="CG110" s="180">
        <v>9062</v>
      </c>
      <c r="CH110" s="180">
        <v>0</v>
      </c>
      <c r="CI110" s="180">
        <v>5324</v>
      </c>
      <c r="CJ110" s="180">
        <v>4623268</v>
      </c>
      <c r="CK110" s="180">
        <v>68016</v>
      </c>
      <c r="CL110" s="180">
        <v>3151</v>
      </c>
      <c r="CM110" s="180">
        <v>0</v>
      </c>
      <c r="CN110" s="180">
        <v>0</v>
      </c>
      <c r="CO110" s="180">
        <v>96519</v>
      </c>
      <c r="CP110" s="180">
        <v>133584</v>
      </c>
      <c r="CQ110" s="180">
        <v>0</v>
      </c>
      <c r="CR110" s="180">
        <v>0</v>
      </c>
      <c r="CS110" s="180">
        <v>0</v>
      </c>
      <c r="CT110" s="180"/>
      <c r="CU110" s="180"/>
    </row>
    <row r="111" spans="1:99" x14ac:dyDescent="0.3">
      <c r="A111" s="155">
        <v>511</v>
      </c>
      <c r="B111" s="180" t="s">
        <v>216</v>
      </c>
      <c r="C111" s="180"/>
      <c r="D111" s="180">
        <v>0</v>
      </c>
      <c r="E111" s="180">
        <v>0</v>
      </c>
      <c r="F111" s="180">
        <v>0</v>
      </c>
      <c r="G111" s="180">
        <v>0</v>
      </c>
      <c r="H111" s="180">
        <v>0</v>
      </c>
      <c r="I111" s="180">
        <v>0</v>
      </c>
      <c r="J111" s="180">
        <v>0</v>
      </c>
      <c r="K111" s="180"/>
      <c r="L111" s="180">
        <v>0</v>
      </c>
      <c r="M111" s="180">
        <v>2752040</v>
      </c>
      <c r="N111" s="180"/>
      <c r="O111" s="180">
        <v>0</v>
      </c>
      <c r="P111" s="180">
        <v>0</v>
      </c>
      <c r="Q111" s="180">
        <v>0</v>
      </c>
      <c r="R111" s="180">
        <v>0</v>
      </c>
      <c r="S111" s="180">
        <v>0</v>
      </c>
      <c r="T111" s="180">
        <v>0</v>
      </c>
      <c r="U111" s="180">
        <v>0</v>
      </c>
      <c r="V111" s="180">
        <v>0</v>
      </c>
      <c r="W111" s="180">
        <v>0</v>
      </c>
      <c r="X111" s="180">
        <v>0</v>
      </c>
      <c r="Y111" s="180">
        <v>0</v>
      </c>
      <c r="Z111" s="180">
        <v>0</v>
      </c>
      <c r="AA111" s="180">
        <v>0</v>
      </c>
      <c r="AB111" s="180">
        <v>0</v>
      </c>
      <c r="AC111" s="180">
        <v>1444511</v>
      </c>
      <c r="AD111" s="180"/>
      <c r="AE111" s="180">
        <v>0</v>
      </c>
      <c r="AF111" s="180">
        <v>0</v>
      </c>
      <c r="AG111" s="180">
        <v>0</v>
      </c>
      <c r="AH111" s="180">
        <v>0</v>
      </c>
      <c r="AI111" s="180">
        <v>0</v>
      </c>
      <c r="AJ111" s="180">
        <v>0</v>
      </c>
      <c r="AK111" s="180">
        <v>0</v>
      </c>
      <c r="AL111" s="180">
        <v>0</v>
      </c>
      <c r="AM111" s="180">
        <v>0</v>
      </c>
      <c r="AN111" s="180">
        <v>0</v>
      </c>
      <c r="AO111" s="180">
        <v>0</v>
      </c>
      <c r="AP111" s="180">
        <v>0</v>
      </c>
      <c r="AQ111" s="180">
        <v>0</v>
      </c>
      <c r="AR111" s="180">
        <v>0</v>
      </c>
      <c r="AS111" s="180">
        <v>0</v>
      </c>
      <c r="AT111" s="180">
        <v>0</v>
      </c>
      <c r="AU111" s="180">
        <v>0</v>
      </c>
      <c r="AV111" s="180">
        <v>0</v>
      </c>
      <c r="AW111" s="180">
        <v>0</v>
      </c>
      <c r="AX111" s="180">
        <v>0</v>
      </c>
      <c r="AY111" s="180">
        <v>0</v>
      </c>
      <c r="AZ111" s="180">
        <v>0</v>
      </c>
      <c r="BA111" s="180">
        <v>2026834</v>
      </c>
      <c r="BB111" s="180">
        <v>0</v>
      </c>
      <c r="BC111" s="180">
        <v>0</v>
      </c>
      <c r="BD111" s="180">
        <v>0</v>
      </c>
      <c r="BE111" s="180">
        <v>0</v>
      </c>
      <c r="BF111" s="180">
        <v>0</v>
      </c>
      <c r="BG111" s="180">
        <v>3224</v>
      </c>
      <c r="BH111" s="180">
        <v>0</v>
      </c>
      <c r="BI111" s="180">
        <v>0</v>
      </c>
      <c r="BJ111" s="180">
        <v>997890</v>
      </c>
      <c r="BK111" s="180">
        <v>0</v>
      </c>
      <c r="BL111" s="180">
        <v>0</v>
      </c>
      <c r="BM111" s="180">
        <v>0</v>
      </c>
      <c r="BN111" s="180">
        <v>315443</v>
      </c>
      <c r="BO111" s="180">
        <v>0</v>
      </c>
      <c r="BP111" s="180">
        <v>0</v>
      </c>
      <c r="BQ111" s="180">
        <v>0</v>
      </c>
      <c r="BR111" s="180">
        <v>0</v>
      </c>
      <c r="BS111" s="180">
        <v>0</v>
      </c>
      <c r="BT111" s="180">
        <v>0</v>
      </c>
      <c r="BU111" s="180">
        <v>0</v>
      </c>
      <c r="BV111" s="180">
        <v>0</v>
      </c>
      <c r="BW111" s="180">
        <v>0</v>
      </c>
      <c r="BX111" s="180"/>
      <c r="BY111" s="180"/>
      <c r="BZ111" s="180">
        <v>0</v>
      </c>
      <c r="CA111" s="180">
        <v>0</v>
      </c>
      <c r="CB111" s="180"/>
      <c r="CC111" s="180">
        <v>0</v>
      </c>
      <c r="CD111" s="180">
        <v>0</v>
      </c>
      <c r="CE111" s="180">
        <v>2392331</v>
      </c>
      <c r="CF111" s="180">
        <v>0</v>
      </c>
      <c r="CG111" s="180">
        <v>127478</v>
      </c>
      <c r="CH111" s="180">
        <v>0</v>
      </c>
      <c r="CI111" s="180">
        <v>0</v>
      </c>
      <c r="CJ111" s="180">
        <v>0</v>
      </c>
      <c r="CK111" s="180">
        <v>966106</v>
      </c>
      <c r="CL111" s="180">
        <v>0</v>
      </c>
      <c r="CM111" s="180">
        <v>0</v>
      </c>
      <c r="CN111" s="180">
        <v>0</v>
      </c>
      <c r="CO111" s="180">
        <v>0</v>
      </c>
      <c r="CP111" s="180">
        <v>0</v>
      </c>
      <c r="CQ111" s="180">
        <v>0</v>
      </c>
      <c r="CR111" s="180">
        <v>0</v>
      </c>
      <c r="CS111" s="180">
        <v>0</v>
      </c>
      <c r="CT111" s="180"/>
      <c r="CU111" s="180"/>
    </row>
    <row r="112" spans="1:99" x14ac:dyDescent="0.3">
      <c r="A112" s="155">
        <v>512</v>
      </c>
      <c r="B112" s="180" t="s">
        <v>243</v>
      </c>
      <c r="C112" s="180"/>
      <c r="D112" s="180">
        <v>0</v>
      </c>
      <c r="E112" s="180">
        <v>0</v>
      </c>
      <c r="F112" s="180">
        <v>0</v>
      </c>
      <c r="G112" s="180">
        <v>0</v>
      </c>
      <c r="H112" s="180">
        <v>0</v>
      </c>
      <c r="I112" s="180">
        <v>0</v>
      </c>
      <c r="J112" s="180">
        <v>0</v>
      </c>
      <c r="K112" s="180"/>
      <c r="L112" s="180">
        <v>0</v>
      </c>
      <c r="M112" s="180">
        <v>0</v>
      </c>
      <c r="N112" s="180"/>
      <c r="O112" s="180">
        <v>0</v>
      </c>
      <c r="P112" s="180">
        <v>0</v>
      </c>
      <c r="Q112" s="180">
        <v>0</v>
      </c>
      <c r="R112" s="180">
        <v>0</v>
      </c>
      <c r="S112" s="180">
        <v>0</v>
      </c>
      <c r="T112" s="180">
        <v>0</v>
      </c>
      <c r="U112" s="180">
        <v>0</v>
      </c>
      <c r="V112" s="180">
        <v>0</v>
      </c>
      <c r="W112" s="180">
        <v>0</v>
      </c>
      <c r="X112" s="180">
        <v>0</v>
      </c>
      <c r="Y112" s="180">
        <v>0</v>
      </c>
      <c r="Z112" s="180">
        <v>0</v>
      </c>
      <c r="AA112" s="180">
        <v>0</v>
      </c>
      <c r="AB112" s="180">
        <v>0</v>
      </c>
      <c r="AC112" s="180">
        <v>0</v>
      </c>
      <c r="AD112" s="180"/>
      <c r="AE112" s="180">
        <v>0</v>
      </c>
      <c r="AF112" s="180">
        <v>0</v>
      </c>
      <c r="AG112" s="180">
        <v>0</v>
      </c>
      <c r="AH112" s="180">
        <v>0</v>
      </c>
      <c r="AI112" s="180">
        <v>0</v>
      </c>
      <c r="AJ112" s="180">
        <v>0</v>
      </c>
      <c r="AK112" s="180">
        <v>0</v>
      </c>
      <c r="AL112" s="180">
        <v>0</v>
      </c>
      <c r="AM112" s="180">
        <v>0</v>
      </c>
      <c r="AN112" s="180">
        <v>0</v>
      </c>
      <c r="AO112" s="180">
        <v>0</v>
      </c>
      <c r="AP112" s="180">
        <v>0</v>
      </c>
      <c r="AQ112" s="180">
        <v>0</v>
      </c>
      <c r="AR112" s="180">
        <v>0</v>
      </c>
      <c r="AS112" s="180">
        <v>0</v>
      </c>
      <c r="AT112" s="180">
        <v>0</v>
      </c>
      <c r="AU112" s="180">
        <v>0</v>
      </c>
      <c r="AV112" s="180">
        <v>0</v>
      </c>
      <c r="AW112" s="180">
        <v>0</v>
      </c>
      <c r="AX112" s="180">
        <v>0</v>
      </c>
      <c r="AY112" s="180">
        <v>0</v>
      </c>
      <c r="AZ112" s="180">
        <v>0</v>
      </c>
      <c r="BA112" s="180">
        <v>0</v>
      </c>
      <c r="BB112" s="180">
        <v>0</v>
      </c>
      <c r="BC112" s="180">
        <v>0</v>
      </c>
      <c r="BD112" s="180">
        <v>0</v>
      </c>
      <c r="BE112" s="180">
        <v>0</v>
      </c>
      <c r="BF112" s="180">
        <v>0</v>
      </c>
      <c r="BG112" s="180">
        <v>0</v>
      </c>
      <c r="BH112" s="180">
        <v>0</v>
      </c>
      <c r="BI112" s="180">
        <v>0</v>
      </c>
      <c r="BJ112" s="180">
        <v>0</v>
      </c>
      <c r="BK112" s="180">
        <v>0</v>
      </c>
      <c r="BL112" s="180">
        <v>0</v>
      </c>
      <c r="BM112" s="180">
        <v>0</v>
      </c>
      <c r="BN112" s="180">
        <v>0</v>
      </c>
      <c r="BO112" s="180">
        <v>0</v>
      </c>
      <c r="BP112" s="180">
        <v>0</v>
      </c>
      <c r="BQ112" s="180">
        <v>0</v>
      </c>
      <c r="BR112" s="180">
        <v>0</v>
      </c>
      <c r="BS112" s="180">
        <v>0</v>
      </c>
      <c r="BT112" s="180">
        <v>0</v>
      </c>
      <c r="BU112" s="180">
        <v>0</v>
      </c>
      <c r="BV112" s="180">
        <v>0</v>
      </c>
      <c r="BW112" s="180">
        <v>0</v>
      </c>
      <c r="BX112" s="180"/>
      <c r="BY112" s="180"/>
      <c r="BZ112" s="180">
        <v>0</v>
      </c>
      <c r="CA112" s="180">
        <v>0</v>
      </c>
      <c r="CB112" s="180"/>
      <c r="CC112" s="180">
        <v>0</v>
      </c>
      <c r="CD112" s="180">
        <v>3642532</v>
      </c>
      <c r="CE112" s="180">
        <v>0</v>
      </c>
      <c r="CF112" s="180">
        <v>0</v>
      </c>
      <c r="CG112" s="180">
        <v>0</v>
      </c>
      <c r="CH112" s="180">
        <v>0</v>
      </c>
      <c r="CI112" s="180">
        <v>0</v>
      </c>
      <c r="CJ112" s="180">
        <v>257270353</v>
      </c>
      <c r="CK112" s="180">
        <v>0</v>
      </c>
      <c r="CL112" s="180">
        <v>0</v>
      </c>
      <c r="CM112" s="180">
        <v>0</v>
      </c>
      <c r="CN112" s="180">
        <v>0</v>
      </c>
      <c r="CO112" s="180">
        <v>0</v>
      </c>
      <c r="CP112" s="180">
        <v>0</v>
      </c>
      <c r="CQ112" s="180">
        <v>0</v>
      </c>
      <c r="CR112" s="180">
        <v>0</v>
      </c>
      <c r="CS112" s="180">
        <v>0</v>
      </c>
      <c r="CT112" s="180"/>
      <c r="CU112" s="180"/>
    </row>
    <row r="113" spans="1:99" x14ac:dyDescent="0.3">
      <c r="A113" s="155">
        <v>513</v>
      </c>
      <c r="B113" s="180" t="s">
        <v>249</v>
      </c>
      <c r="C113" s="180"/>
      <c r="D113" s="180">
        <v>0</v>
      </c>
      <c r="E113" s="180">
        <v>0</v>
      </c>
      <c r="F113" s="180">
        <v>0</v>
      </c>
      <c r="G113" s="180">
        <v>0</v>
      </c>
      <c r="H113" s="180">
        <v>0</v>
      </c>
      <c r="I113" s="180">
        <v>0</v>
      </c>
      <c r="J113" s="180">
        <v>0</v>
      </c>
      <c r="K113" s="180"/>
      <c r="L113" s="180">
        <v>0</v>
      </c>
      <c r="M113" s="180">
        <v>0</v>
      </c>
      <c r="N113" s="180"/>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v>0</v>
      </c>
      <c r="AD113" s="180"/>
      <c r="AE113" s="180">
        <v>0</v>
      </c>
      <c r="AF113" s="180">
        <v>0</v>
      </c>
      <c r="AG113" s="180">
        <v>0</v>
      </c>
      <c r="AH113" s="180">
        <v>0</v>
      </c>
      <c r="AI113" s="180">
        <v>0</v>
      </c>
      <c r="AJ113" s="180">
        <v>0</v>
      </c>
      <c r="AK113" s="180">
        <v>0</v>
      </c>
      <c r="AL113" s="180">
        <v>0</v>
      </c>
      <c r="AM113" s="180">
        <v>0</v>
      </c>
      <c r="AN113" s="180">
        <v>0</v>
      </c>
      <c r="AO113" s="180">
        <v>0</v>
      </c>
      <c r="AP113" s="180">
        <v>0</v>
      </c>
      <c r="AQ113" s="180">
        <v>0</v>
      </c>
      <c r="AR113" s="180">
        <v>0</v>
      </c>
      <c r="AS113" s="180">
        <v>0</v>
      </c>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79014</v>
      </c>
      <c r="BK113" s="180">
        <v>0</v>
      </c>
      <c r="BL113" s="180">
        <v>0</v>
      </c>
      <c r="BM113" s="180">
        <v>0</v>
      </c>
      <c r="BN113" s="180">
        <v>0</v>
      </c>
      <c r="BO113" s="180">
        <v>0</v>
      </c>
      <c r="BP113" s="180">
        <v>0</v>
      </c>
      <c r="BQ113" s="180">
        <v>0</v>
      </c>
      <c r="BR113" s="180">
        <v>0</v>
      </c>
      <c r="BS113" s="180">
        <v>0</v>
      </c>
      <c r="BT113" s="180">
        <v>0</v>
      </c>
      <c r="BU113" s="180">
        <v>0</v>
      </c>
      <c r="BV113" s="180">
        <v>0</v>
      </c>
      <c r="BW113" s="180">
        <v>0</v>
      </c>
      <c r="BX113" s="180"/>
      <c r="BY113" s="180"/>
      <c r="BZ113" s="180">
        <v>0</v>
      </c>
      <c r="CA113" s="180">
        <v>0</v>
      </c>
      <c r="CB113" s="180"/>
      <c r="CC113" s="180">
        <v>0</v>
      </c>
      <c r="CD113" s="180">
        <v>0</v>
      </c>
      <c r="CE113" s="180">
        <v>0</v>
      </c>
      <c r="CF113" s="180">
        <v>0</v>
      </c>
      <c r="CG113" s="180">
        <v>0</v>
      </c>
      <c r="CH113" s="180">
        <v>0</v>
      </c>
      <c r="CI113" s="180">
        <v>0</v>
      </c>
      <c r="CJ113" s="180">
        <v>0</v>
      </c>
      <c r="CK113" s="180">
        <v>0</v>
      </c>
      <c r="CL113" s="180">
        <v>0</v>
      </c>
      <c r="CM113" s="180">
        <v>0</v>
      </c>
      <c r="CN113" s="180">
        <v>0</v>
      </c>
      <c r="CO113" s="180">
        <v>0</v>
      </c>
      <c r="CP113" s="180">
        <v>0</v>
      </c>
      <c r="CQ113" s="180">
        <v>0</v>
      </c>
      <c r="CR113" s="180">
        <v>0</v>
      </c>
      <c r="CS113" s="180">
        <v>0</v>
      </c>
      <c r="CT113" s="180"/>
      <c r="CU113" s="180"/>
    </row>
    <row r="114" spans="1:99" x14ac:dyDescent="0.3">
      <c r="A114" s="155">
        <v>514</v>
      </c>
      <c r="B114" s="180" t="s">
        <v>250</v>
      </c>
      <c r="C114" s="180"/>
      <c r="D114" s="180">
        <v>0</v>
      </c>
      <c r="E114" s="180">
        <v>0</v>
      </c>
      <c r="F114" s="180">
        <v>0</v>
      </c>
      <c r="G114" s="180">
        <v>0</v>
      </c>
      <c r="H114" s="180">
        <v>0</v>
      </c>
      <c r="I114" s="180">
        <v>0</v>
      </c>
      <c r="J114" s="180">
        <v>0</v>
      </c>
      <c r="K114" s="180"/>
      <c r="L114" s="180">
        <v>0</v>
      </c>
      <c r="M114" s="180">
        <v>2277177</v>
      </c>
      <c r="N114" s="180"/>
      <c r="O114" s="180">
        <v>0</v>
      </c>
      <c r="P114" s="180">
        <v>0</v>
      </c>
      <c r="Q114" s="180">
        <v>0</v>
      </c>
      <c r="R114" s="180">
        <v>0</v>
      </c>
      <c r="S114" s="180">
        <v>0</v>
      </c>
      <c r="T114" s="180">
        <v>0</v>
      </c>
      <c r="U114" s="180">
        <v>0</v>
      </c>
      <c r="V114" s="180">
        <v>0</v>
      </c>
      <c r="W114" s="180">
        <v>0</v>
      </c>
      <c r="X114" s="180">
        <v>0</v>
      </c>
      <c r="Y114" s="180">
        <v>0</v>
      </c>
      <c r="Z114" s="180">
        <v>0</v>
      </c>
      <c r="AA114" s="180">
        <v>0</v>
      </c>
      <c r="AB114" s="180">
        <v>0</v>
      </c>
      <c r="AC114" s="180">
        <v>1801300</v>
      </c>
      <c r="AD114" s="180"/>
      <c r="AE114" s="180">
        <v>0</v>
      </c>
      <c r="AF114" s="180">
        <v>0</v>
      </c>
      <c r="AG114" s="180">
        <v>0</v>
      </c>
      <c r="AH114" s="180">
        <v>0</v>
      </c>
      <c r="AI114" s="180">
        <v>0</v>
      </c>
      <c r="AJ114" s="180">
        <v>0</v>
      </c>
      <c r="AK114" s="180">
        <v>0</v>
      </c>
      <c r="AL114" s="180">
        <v>0</v>
      </c>
      <c r="AM114" s="180">
        <v>0</v>
      </c>
      <c r="AN114" s="180">
        <v>0</v>
      </c>
      <c r="AO114" s="180">
        <v>0</v>
      </c>
      <c r="AP114" s="180">
        <v>0</v>
      </c>
      <c r="AQ114" s="180">
        <v>0</v>
      </c>
      <c r="AR114" s="180">
        <v>0</v>
      </c>
      <c r="AS114" s="180">
        <v>0</v>
      </c>
      <c r="AT114" s="180">
        <v>0</v>
      </c>
      <c r="AU114" s="180">
        <v>0</v>
      </c>
      <c r="AV114" s="180">
        <v>0</v>
      </c>
      <c r="AW114" s="180">
        <v>0</v>
      </c>
      <c r="AX114" s="180">
        <v>0</v>
      </c>
      <c r="AY114" s="180">
        <v>0</v>
      </c>
      <c r="AZ114" s="180">
        <v>0</v>
      </c>
      <c r="BA114" s="180">
        <v>0</v>
      </c>
      <c r="BB114" s="180">
        <v>0</v>
      </c>
      <c r="BC114" s="180">
        <v>0</v>
      </c>
      <c r="BD114" s="180">
        <v>0</v>
      </c>
      <c r="BE114" s="180">
        <v>0</v>
      </c>
      <c r="BF114" s="180">
        <v>0</v>
      </c>
      <c r="BG114" s="180">
        <v>0</v>
      </c>
      <c r="BH114" s="180">
        <v>0</v>
      </c>
      <c r="BI114" s="180">
        <v>0</v>
      </c>
      <c r="BJ114" s="180">
        <v>1759649</v>
      </c>
      <c r="BK114" s="180">
        <v>0</v>
      </c>
      <c r="BL114" s="180">
        <v>0</v>
      </c>
      <c r="BM114" s="180">
        <v>0</v>
      </c>
      <c r="BN114" s="180">
        <v>1275600</v>
      </c>
      <c r="BO114" s="180">
        <v>0</v>
      </c>
      <c r="BP114" s="180">
        <v>0</v>
      </c>
      <c r="BQ114" s="180">
        <v>0</v>
      </c>
      <c r="BR114" s="180">
        <v>0</v>
      </c>
      <c r="BS114" s="180">
        <v>0</v>
      </c>
      <c r="BT114" s="180">
        <v>0</v>
      </c>
      <c r="BU114" s="180">
        <v>0</v>
      </c>
      <c r="BV114" s="180">
        <v>0</v>
      </c>
      <c r="BW114" s="180">
        <v>0</v>
      </c>
      <c r="BX114" s="180"/>
      <c r="BY114" s="180"/>
      <c r="BZ114" s="180">
        <v>0</v>
      </c>
      <c r="CA114" s="180">
        <v>0</v>
      </c>
      <c r="CB114" s="180"/>
      <c r="CC114" s="180">
        <v>0</v>
      </c>
      <c r="CD114" s="180">
        <v>0</v>
      </c>
      <c r="CE114" s="180">
        <v>2372170</v>
      </c>
      <c r="CF114" s="180">
        <v>0</v>
      </c>
      <c r="CG114" s="180">
        <v>0</v>
      </c>
      <c r="CH114" s="180">
        <v>0</v>
      </c>
      <c r="CI114" s="180">
        <v>0</v>
      </c>
      <c r="CJ114" s="180">
        <v>0</v>
      </c>
      <c r="CK114" s="180">
        <v>650000</v>
      </c>
      <c r="CL114" s="180">
        <v>0</v>
      </c>
      <c r="CM114" s="180">
        <v>0</v>
      </c>
      <c r="CN114" s="180">
        <v>0</v>
      </c>
      <c r="CO114" s="180">
        <v>0</v>
      </c>
      <c r="CP114" s="180">
        <v>0</v>
      </c>
      <c r="CQ114" s="180">
        <v>0</v>
      </c>
      <c r="CR114" s="180">
        <v>0</v>
      </c>
      <c r="CS114" s="180">
        <v>0</v>
      </c>
      <c r="CT114" s="180"/>
      <c r="CU114" s="180"/>
    </row>
    <row r="115" spans="1:99" x14ac:dyDescent="0.3">
      <c r="A115" s="155">
        <v>515</v>
      </c>
      <c r="B115" s="180" t="s">
        <v>262</v>
      </c>
      <c r="C115" s="180"/>
      <c r="D115" s="180">
        <v>0</v>
      </c>
      <c r="E115" s="180">
        <v>0</v>
      </c>
      <c r="F115" s="180">
        <v>118993</v>
      </c>
      <c r="G115" s="180">
        <v>0</v>
      </c>
      <c r="H115" s="180">
        <v>0</v>
      </c>
      <c r="I115" s="180">
        <v>0</v>
      </c>
      <c r="J115" s="180">
        <v>50876</v>
      </c>
      <c r="K115" s="180"/>
      <c r="L115" s="180">
        <v>0</v>
      </c>
      <c r="M115" s="180">
        <v>0</v>
      </c>
      <c r="N115" s="180"/>
      <c r="O115" s="180">
        <v>0</v>
      </c>
      <c r="P115" s="180">
        <v>0</v>
      </c>
      <c r="Q115" s="180">
        <v>0</v>
      </c>
      <c r="R115" s="180">
        <v>0</v>
      </c>
      <c r="S115" s="180">
        <v>10803</v>
      </c>
      <c r="T115" s="180">
        <v>0</v>
      </c>
      <c r="U115" s="180">
        <v>0</v>
      </c>
      <c r="V115" s="180">
        <v>0</v>
      </c>
      <c r="W115" s="180">
        <v>0</v>
      </c>
      <c r="X115" s="180">
        <v>0</v>
      </c>
      <c r="Y115" s="180">
        <v>0</v>
      </c>
      <c r="Z115" s="180">
        <v>0</v>
      </c>
      <c r="AA115" s="180">
        <v>0</v>
      </c>
      <c r="AB115" s="180">
        <v>0</v>
      </c>
      <c r="AC115" s="180">
        <v>45935</v>
      </c>
      <c r="AD115" s="180"/>
      <c r="AE115" s="180">
        <v>0</v>
      </c>
      <c r="AF115" s="180">
        <v>0</v>
      </c>
      <c r="AG115" s="180">
        <v>7582068</v>
      </c>
      <c r="AH115" s="180">
        <v>0</v>
      </c>
      <c r="AI115" s="180">
        <v>5000</v>
      </c>
      <c r="AJ115" s="180">
        <v>0</v>
      </c>
      <c r="AK115" s="180">
        <v>0</v>
      </c>
      <c r="AL115" s="180">
        <v>4367</v>
      </c>
      <c r="AM115" s="180">
        <v>374517</v>
      </c>
      <c r="AN115" s="180">
        <v>2935237</v>
      </c>
      <c r="AO115" s="180">
        <v>105011</v>
      </c>
      <c r="AP115" s="180">
        <v>0</v>
      </c>
      <c r="AQ115" s="180">
        <v>0</v>
      </c>
      <c r="AR115" s="180">
        <v>0</v>
      </c>
      <c r="AS115" s="180">
        <v>0</v>
      </c>
      <c r="AT115" s="180">
        <v>0</v>
      </c>
      <c r="AU115" s="180">
        <v>0</v>
      </c>
      <c r="AV115" s="180">
        <v>0</v>
      </c>
      <c r="AW115" s="180">
        <v>0</v>
      </c>
      <c r="AX115" s="180">
        <v>0</v>
      </c>
      <c r="AY115" s="180">
        <v>0</v>
      </c>
      <c r="AZ115" s="180">
        <v>0</v>
      </c>
      <c r="BA115" s="180">
        <v>0</v>
      </c>
      <c r="BB115" s="180">
        <v>0</v>
      </c>
      <c r="BC115" s="180">
        <v>131415</v>
      </c>
      <c r="BD115" s="180">
        <v>0</v>
      </c>
      <c r="BE115" s="180">
        <v>0</v>
      </c>
      <c r="BF115" s="180">
        <v>0</v>
      </c>
      <c r="BG115" s="180">
        <v>0</v>
      </c>
      <c r="BH115" s="180">
        <v>0</v>
      </c>
      <c r="BI115" s="180">
        <v>0</v>
      </c>
      <c r="BJ115" s="180">
        <v>9778664</v>
      </c>
      <c r="BK115" s="180">
        <v>0</v>
      </c>
      <c r="BL115" s="180">
        <v>0</v>
      </c>
      <c r="BM115" s="180">
        <v>0</v>
      </c>
      <c r="BN115" s="180">
        <v>10545308</v>
      </c>
      <c r="BO115" s="180">
        <v>0</v>
      </c>
      <c r="BP115" s="180">
        <v>0</v>
      </c>
      <c r="BQ115" s="180">
        <v>0</v>
      </c>
      <c r="BR115" s="180">
        <v>116102</v>
      </c>
      <c r="BS115" s="180">
        <v>0</v>
      </c>
      <c r="BT115" s="180">
        <v>0</v>
      </c>
      <c r="BU115" s="180">
        <v>0</v>
      </c>
      <c r="BV115" s="180">
        <v>0</v>
      </c>
      <c r="BW115" s="180">
        <v>0</v>
      </c>
      <c r="BX115" s="180"/>
      <c r="BY115" s="180"/>
      <c r="BZ115" s="180">
        <v>0</v>
      </c>
      <c r="CA115" s="180">
        <v>0</v>
      </c>
      <c r="CB115" s="180"/>
      <c r="CC115" s="180">
        <v>241512</v>
      </c>
      <c r="CD115" s="180">
        <v>0</v>
      </c>
      <c r="CE115" s="180">
        <v>11335426</v>
      </c>
      <c r="CF115" s="180">
        <v>0</v>
      </c>
      <c r="CG115" s="180">
        <v>0</v>
      </c>
      <c r="CH115" s="180">
        <v>0</v>
      </c>
      <c r="CI115" s="180">
        <v>1249236</v>
      </c>
      <c r="CJ115" s="180">
        <v>281346328</v>
      </c>
      <c r="CK115" s="180">
        <v>0</v>
      </c>
      <c r="CL115" s="180">
        <v>21286</v>
      </c>
      <c r="CM115" s="180">
        <v>0</v>
      </c>
      <c r="CN115" s="180">
        <v>0</v>
      </c>
      <c r="CO115" s="180">
        <v>0</v>
      </c>
      <c r="CP115" s="180">
        <v>0</v>
      </c>
      <c r="CQ115" s="180">
        <v>627039</v>
      </c>
      <c r="CR115" s="180">
        <v>0</v>
      </c>
      <c r="CS115" s="180">
        <v>0</v>
      </c>
      <c r="CT115" s="180"/>
      <c r="CU115" s="180"/>
    </row>
    <row r="116" spans="1:99" x14ac:dyDescent="0.3">
      <c r="A116" s="155">
        <v>516</v>
      </c>
      <c r="B116" s="180" t="s">
        <v>263</v>
      </c>
      <c r="C116" s="180"/>
      <c r="D116" s="180">
        <v>0</v>
      </c>
      <c r="E116" s="180">
        <v>0</v>
      </c>
      <c r="F116" s="180">
        <v>6940047</v>
      </c>
      <c r="G116" s="180">
        <v>0</v>
      </c>
      <c r="H116" s="180">
        <v>0</v>
      </c>
      <c r="I116" s="180">
        <v>5979484</v>
      </c>
      <c r="J116" s="180">
        <v>21136505</v>
      </c>
      <c r="K116" s="180"/>
      <c r="L116" s="180">
        <v>4646326</v>
      </c>
      <c r="M116" s="180">
        <v>121315702</v>
      </c>
      <c r="N116" s="180"/>
      <c r="O116" s="180">
        <v>0</v>
      </c>
      <c r="P116" s="180">
        <v>4628743</v>
      </c>
      <c r="Q116" s="180">
        <v>10639296</v>
      </c>
      <c r="R116" s="180">
        <v>0</v>
      </c>
      <c r="S116" s="180">
        <v>5562154</v>
      </c>
      <c r="T116" s="180">
        <v>0</v>
      </c>
      <c r="U116" s="180">
        <v>0</v>
      </c>
      <c r="V116" s="180">
        <v>0</v>
      </c>
      <c r="W116" s="180">
        <v>52872954</v>
      </c>
      <c r="X116" s="180">
        <v>0</v>
      </c>
      <c r="Y116" s="180">
        <v>3336838</v>
      </c>
      <c r="Z116" s="180">
        <v>0</v>
      </c>
      <c r="AA116" s="180">
        <v>16381326</v>
      </c>
      <c r="AB116" s="180">
        <v>0</v>
      </c>
      <c r="AC116" s="180">
        <v>37948238</v>
      </c>
      <c r="AD116" s="180"/>
      <c r="AE116" s="180">
        <v>1507187</v>
      </c>
      <c r="AF116" s="180">
        <v>4342728</v>
      </c>
      <c r="AG116" s="180">
        <v>38362350</v>
      </c>
      <c r="AH116" s="180">
        <v>0</v>
      </c>
      <c r="AI116" s="180">
        <v>5826567</v>
      </c>
      <c r="AJ116" s="180">
        <v>0</v>
      </c>
      <c r="AK116" s="180">
        <v>5317219</v>
      </c>
      <c r="AL116" s="180">
        <v>30799951</v>
      </c>
      <c r="AM116" s="180">
        <v>21301356</v>
      </c>
      <c r="AN116" s="180">
        <v>13246550</v>
      </c>
      <c r="AO116" s="180">
        <v>13997408</v>
      </c>
      <c r="AP116" s="180">
        <v>0</v>
      </c>
      <c r="AQ116" s="180">
        <v>0</v>
      </c>
      <c r="AR116" s="180">
        <v>48377145</v>
      </c>
      <c r="AS116" s="180">
        <v>6416245</v>
      </c>
      <c r="AT116" s="180">
        <v>0</v>
      </c>
      <c r="AU116" s="180">
        <v>0</v>
      </c>
      <c r="AV116" s="180">
        <v>0</v>
      </c>
      <c r="AW116" s="180">
        <v>0</v>
      </c>
      <c r="AX116" s="180">
        <v>1063713</v>
      </c>
      <c r="AY116" s="180">
        <v>22062474</v>
      </c>
      <c r="AZ116" s="180">
        <v>0</v>
      </c>
      <c r="BA116" s="180">
        <v>0</v>
      </c>
      <c r="BB116" s="180">
        <v>0</v>
      </c>
      <c r="BC116" s="180">
        <v>30605646</v>
      </c>
      <c r="BD116" s="180">
        <v>0</v>
      </c>
      <c r="BE116" s="180">
        <v>6334340</v>
      </c>
      <c r="BF116" s="180">
        <v>4026476</v>
      </c>
      <c r="BG116" s="180">
        <v>2570511</v>
      </c>
      <c r="BH116" s="180">
        <v>6023025</v>
      </c>
      <c r="BI116" s="180">
        <v>24467012</v>
      </c>
      <c r="BJ116" s="180">
        <v>60214455</v>
      </c>
      <c r="BK116" s="180">
        <v>0</v>
      </c>
      <c r="BL116" s="180">
        <v>0</v>
      </c>
      <c r="BM116" s="180">
        <v>0</v>
      </c>
      <c r="BN116" s="180">
        <v>36052908</v>
      </c>
      <c r="BO116" s="180">
        <v>16234423</v>
      </c>
      <c r="BP116" s="180">
        <v>0</v>
      </c>
      <c r="BQ116" s="180">
        <v>0</v>
      </c>
      <c r="BR116" s="180">
        <v>12953373</v>
      </c>
      <c r="BS116" s="180">
        <v>0</v>
      </c>
      <c r="BT116" s="180">
        <v>0</v>
      </c>
      <c r="BU116" s="180">
        <v>0</v>
      </c>
      <c r="BV116" s="180">
        <v>15991937</v>
      </c>
      <c r="BW116" s="180">
        <v>0</v>
      </c>
      <c r="BX116" s="180"/>
      <c r="BY116" s="180"/>
      <c r="BZ116" s="180">
        <v>25680104</v>
      </c>
      <c r="CA116" s="180">
        <v>688680</v>
      </c>
      <c r="CB116" s="180"/>
      <c r="CC116" s="180">
        <v>29493164</v>
      </c>
      <c r="CD116" s="180">
        <v>0</v>
      </c>
      <c r="CE116" s="180">
        <v>195426421</v>
      </c>
      <c r="CF116" s="180">
        <v>6683482</v>
      </c>
      <c r="CG116" s="180">
        <v>11047389</v>
      </c>
      <c r="CH116" s="180">
        <v>7788988</v>
      </c>
      <c r="CI116" s="180">
        <v>10007504</v>
      </c>
      <c r="CJ116" s="180">
        <v>1193553323</v>
      </c>
      <c r="CK116" s="180">
        <v>11986038</v>
      </c>
      <c r="CL116" s="180">
        <v>7246428</v>
      </c>
      <c r="CM116" s="180">
        <v>0</v>
      </c>
      <c r="CN116" s="180">
        <v>2449910</v>
      </c>
      <c r="CO116" s="180">
        <v>9930350</v>
      </c>
      <c r="CP116" s="180">
        <v>22698460</v>
      </c>
      <c r="CQ116" s="180">
        <v>15831448</v>
      </c>
      <c r="CR116" s="180">
        <v>0</v>
      </c>
      <c r="CS116" s="180">
        <v>0</v>
      </c>
      <c r="CT116" s="180"/>
      <c r="CU116" s="180"/>
    </row>
    <row r="117" spans="1:99" x14ac:dyDescent="0.3">
      <c r="A117" s="155">
        <v>517</v>
      </c>
      <c r="B117" s="180" t="s">
        <v>264</v>
      </c>
      <c r="C117" s="180"/>
      <c r="D117" s="180">
        <v>0</v>
      </c>
      <c r="E117" s="180">
        <v>0</v>
      </c>
      <c r="F117" s="180">
        <v>0</v>
      </c>
      <c r="G117" s="180">
        <v>0</v>
      </c>
      <c r="H117" s="180">
        <v>0</v>
      </c>
      <c r="I117" s="180">
        <v>0</v>
      </c>
      <c r="J117" s="180">
        <v>0</v>
      </c>
      <c r="K117" s="180"/>
      <c r="L117" s="180">
        <v>0</v>
      </c>
      <c r="M117" s="180">
        <v>0</v>
      </c>
      <c r="N117" s="180"/>
      <c r="O117" s="180">
        <v>0</v>
      </c>
      <c r="P117" s="180">
        <v>0</v>
      </c>
      <c r="Q117" s="180">
        <v>0</v>
      </c>
      <c r="R117" s="180">
        <v>0</v>
      </c>
      <c r="S117" s="180">
        <v>5890</v>
      </c>
      <c r="T117" s="180">
        <v>0</v>
      </c>
      <c r="U117" s="180">
        <v>0</v>
      </c>
      <c r="V117" s="180">
        <v>0</v>
      </c>
      <c r="W117" s="180">
        <v>0</v>
      </c>
      <c r="X117" s="180">
        <v>0</v>
      </c>
      <c r="Y117" s="180">
        <v>0</v>
      </c>
      <c r="Z117" s="180">
        <v>0</v>
      </c>
      <c r="AA117" s="180">
        <v>0</v>
      </c>
      <c r="AB117" s="180">
        <v>0</v>
      </c>
      <c r="AC117" s="180">
        <v>0</v>
      </c>
      <c r="AD117" s="180"/>
      <c r="AE117" s="180">
        <v>0</v>
      </c>
      <c r="AF117" s="180">
        <v>0</v>
      </c>
      <c r="AG117" s="180">
        <v>68802018</v>
      </c>
      <c r="AH117" s="180">
        <v>0</v>
      </c>
      <c r="AI117" s="180">
        <v>0</v>
      </c>
      <c r="AJ117" s="180">
        <v>0</v>
      </c>
      <c r="AK117" s="180">
        <v>0</v>
      </c>
      <c r="AL117" s="180">
        <v>0</v>
      </c>
      <c r="AM117" s="180">
        <v>0</v>
      </c>
      <c r="AN117" s="180">
        <v>0</v>
      </c>
      <c r="AO117" s="180">
        <v>0</v>
      </c>
      <c r="AP117" s="180">
        <v>0</v>
      </c>
      <c r="AQ117" s="180">
        <v>0</v>
      </c>
      <c r="AR117" s="180">
        <v>0</v>
      </c>
      <c r="AS117" s="180">
        <v>436679</v>
      </c>
      <c r="AT117" s="180">
        <v>0</v>
      </c>
      <c r="AU117" s="180">
        <v>0</v>
      </c>
      <c r="AV117" s="180">
        <v>0</v>
      </c>
      <c r="AW117" s="180">
        <v>0</v>
      </c>
      <c r="AX117" s="180">
        <v>0</v>
      </c>
      <c r="AY117" s="180">
        <v>0</v>
      </c>
      <c r="AZ117" s="180">
        <v>4757339</v>
      </c>
      <c r="BA117" s="180">
        <v>0</v>
      </c>
      <c r="BB117" s="180">
        <v>0</v>
      </c>
      <c r="BC117" s="180">
        <v>0</v>
      </c>
      <c r="BD117" s="180">
        <v>0</v>
      </c>
      <c r="BE117" s="180">
        <v>0</v>
      </c>
      <c r="BF117" s="180">
        <v>0</v>
      </c>
      <c r="BG117" s="180">
        <v>0</v>
      </c>
      <c r="BH117" s="180">
        <v>0</v>
      </c>
      <c r="BI117" s="180">
        <v>0</v>
      </c>
      <c r="BJ117" s="180">
        <v>0</v>
      </c>
      <c r="BK117" s="180">
        <v>0</v>
      </c>
      <c r="BL117" s="180">
        <v>0</v>
      </c>
      <c r="BM117" s="180">
        <v>0</v>
      </c>
      <c r="BN117" s="180">
        <v>0</v>
      </c>
      <c r="BO117" s="180">
        <v>0</v>
      </c>
      <c r="BP117" s="180">
        <v>0</v>
      </c>
      <c r="BQ117" s="180">
        <v>0</v>
      </c>
      <c r="BR117" s="180">
        <v>0</v>
      </c>
      <c r="BS117" s="180">
        <v>0</v>
      </c>
      <c r="BT117" s="180">
        <v>0</v>
      </c>
      <c r="BU117" s="180">
        <v>0</v>
      </c>
      <c r="BV117" s="180">
        <v>0</v>
      </c>
      <c r="BW117" s="180">
        <v>0</v>
      </c>
      <c r="BX117" s="180"/>
      <c r="BY117" s="180"/>
      <c r="BZ117" s="180">
        <v>0</v>
      </c>
      <c r="CA117" s="180">
        <v>0</v>
      </c>
      <c r="CB117" s="180"/>
      <c r="CC117" s="180">
        <v>0</v>
      </c>
      <c r="CD117" s="180">
        <v>0</v>
      </c>
      <c r="CE117" s="180">
        <v>0</v>
      </c>
      <c r="CF117" s="180">
        <v>0</v>
      </c>
      <c r="CG117" s="180">
        <v>0</v>
      </c>
      <c r="CH117" s="180">
        <v>0</v>
      </c>
      <c r="CI117" s="180">
        <v>1069686</v>
      </c>
      <c r="CJ117" s="180">
        <v>0</v>
      </c>
      <c r="CK117" s="180">
        <v>0</v>
      </c>
      <c r="CL117" s="180">
        <v>0</v>
      </c>
      <c r="CM117" s="180">
        <v>0</v>
      </c>
      <c r="CN117" s="180">
        <v>0</v>
      </c>
      <c r="CO117" s="180">
        <v>0</v>
      </c>
      <c r="CP117" s="180">
        <v>0</v>
      </c>
      <c r="CQ117" s="180">
        <v>0</v>
      </c>
      <c r="CR117" s="180">
        <v>0</v>
      </c>
      <c r="CS117" s="180">
        <v>0</v>
      </c>
      <c r="CT117" s="180"/>
      <c r="CU117" s="180"/>
    </row>
    <row r="118" spans="1:99" s="180" customFormat="1" x14ac:dyDescent="0.3">
      <c r="A118" s="155">
        <v>518</v>
      </c>
      <c r="B118" s="180" t="s">
        <v>265</v>
      </c>
      <c r="D118" s="180">
        <v>0</v>
      </c>
      <c r="E118" s="180">
        <v>0</v>
      </c>
      <c r="F118" s="180">
        <v>1013986</v>
      </c>
      <c r="G118" s="180">
        <v>0</v>
      </c>
      <c r="H118" s="180">
        <v>0</v>
      </c>
      <c r="I118" s="180">
        <v>0</v>
      </c>
      <c r="J118" s="180">
        <v>462696</v>
      </c>
      <c r="L118" s="180">
        <v>289335</v>
      </c>
      <c r="M118" s="180">
        <v>6600252</v>
      </c>
      <c r="O118" s="180">
        <v>0</v>
      </c>
      <c r="P118" s="180">
        <v>9000</v>
      </c>
      <c r="Q118" s="180">
        <v>669349</v>
      </c>
      <c r="R118" s="180">
        <v>0</v>
      </c>
      <c r="S118" s="180">
        <v>152649</v>
      </c>
      <c r="T118" s="180">
        <v>0</v>
      </c>
      <c r="U118" s="180">
        <v>0</v>
      </c>
      <c r="V118" s="180">
        <v>0</v>
      </c>
      <c r="W118" s="180">
        <v>898442</v>
      </c>
      <c r="X118" s="180">
        <v>0</v>
      </c>
      <c r="Y118" s="180">
        <v>115669</v>
      </c>
      <c r="Z118" s="180">
        <v>0</v>
      </c>
      <c r="AA118" s="180">
        <v>166694</v>
      </c>
      <c r="AB118" s="180">
        <v>0</v>
      </c>
      <c r="AC118" s="180">
        <v>4234303</v>
      </c>
      <c r="AE118" s="180">
        <v>9619</v>
      </c>
      <c r="AF118" s="180">
        <v>40988</v>
      </c>
      <c r="AG118" s="180">
        <v>4883370</v>
      </c>
      <c r="AH118" s="180">
        <v>0</v>
      </c>
      <c r="AI118" s="180">
        <v>326525</v>
      </c>
      <c r="AJ118" s="180">
        <v>0</v>
      </c>
      <c r="AK118" s="180">
        <v>10314</v>
      </c>
      <c r="AL118" s="180">
        <v>149037</v>
      </c>
      <c r="AM118" s="180">
        <v>1633422</v>
      </c>
      <c r="AN118" s="180">
        <v>2102281</v>
      </c>
      <c r="AO118" s="180">
        <v>1703877</v>
      </c>
      <c r="AP118" s="180">
        <v>568799</v>
      </c>
      <c r="AQ118" s="180">
        <v>0</v>
      </c>
      <c r="AR118" s="180">
        <v>1299505</v>
      </c>
      <c r="AS118" s="180">
        <v>149758</v>
      </c>
      <c r="AT118" s="180">
        <v>0</v>
      </c>
      <c r="AU118" s="180">
        <v>0</v>
      </c>
      <c r="AV118" s="180">
        <v>0</v>
      </c>
      <c r="AW118" s="180">
        <v>0</v>
      </c>
      <c r="AX118" s="180">
        <v>3513</v>
      </c>
      <c r="AY118" s="180">
        <v>1511736</v>
      </c>
      <c r="AZ118" s="180">
        <v>108055</v>
      </c>
      <c r="BA118" s="180">
        <v>0</v>
      </c>
      <c r="BB118" s="180">
        <v>0</v>
      </c>
      <c r="BC118" s="180">
        <v>1788951</v>
      </c>
      <c r="BD118" s="180">
        <v>0</v>
      </c>
      <c r="BE118" s="180">
        <v>637346</v>
      </c>
      <c r="BF118" s="180">
        <v>0</v>
      </c>
      <c r="BG118" s="180">
        <v>73206</v>
      </c>
      <c r="BH118" s="180">
        <v>9320554</v>
      </c>
      <c r="BI118" s="180">
        <v>486279</v>
      </c>
      <c r="BJ118" s="180">
        <v>8081421</v>
      </c>
      <c r="BK118" s="180">
        <v>0</v>
      </c>
      <c r="BL118" s="180">
        <v>0</v>
      </c>
      <c r="BM118" s="180">
        <v>0</v>
      </c>
      <c r="BN118" s="180">
        <v>3072040</v>
      </c>
      <c r="BO118" s="180">
        <v>1862089</v>
      </c>
      <c r="BP118" s="180">
        <v>0</v>
      </c>
      <c r="BQ118" s="180">
        <v>0</v>
      </c>
      <c r="BR118" s="180">
        <v>1215334</v>
      </c>
      <c r="BS118" s="180">
        <v>0</v>
      </c>
      <c r="BT118" s="180">
        <v>0</v>
      </c>
      <c r="BU118" s="180">
        <v>0</v>
      </c>
      <c r="BV118" s="180">
        <v>1090342</v>
      </c>
      <c r="BW118" s="180">
        <v>0</v>
      </c>
      <c r="BZ118" s="180">
        <v>1862726</v>
      </c>
      <c r="CA118" s="180">
        <v>0</v>
      </c>
      <c r="CC118" s="180">
        <v>1353815</v>
      </c>
      <c r="CD118" s="180">
        <v>0</v>
      </c>
      <c r="CE118" s="180">
        <v>17951743</v>
      </c>
      <c r="CF118" s="180">
        <v>0</v>
      </c>
      <c r="CG118" s="180">
        <v>519003</v>
      </c>
      <c r="CH118" s="180">
        <v>48654</v>
      </c>
      <c r="CI118" s="180">
        <v>727057</v>
      </c>
      <c r="CJ118" s="180">
        <v>29209819</v>
      </c>
      <c r="CK118" s="180">
        <v>955420</v>
      </c>
      <c r="CL118" s="180">
        <v>284803</v>
      </c>
      <c r="CM118" s="180">
        <v>0</v>
      </c>
      <c r="CN118" s="180">
        <v>1563725</v>
      </c>
      <c r="CO118" s="180">
        <v>1690727</v>
      </c>
      <c r="CP118" s="180">
        <v>3295540</v>
      </c>
      <c r="CQ118" s="180">
        <v>858327</v>
      </c>
      <c r="CR118" s="180">
        <v>0</v>
      </c>
      <c r="CS118" s="180">
        <v>0</v>
      </c>
    </row>
    <row r="119" spans="1:99" x14ac:dyDescent="0.3">
      <c r="A119" s="155">
        <v>519</v>
      </c>
      <c r="B119" s="180" t="s">
        <v>266</v>
      </c>
      <c r="C119" s="180"/>
      <c r="D119" s="180">
        <v>0</v>
      </c>
      <c r="E119" s="180">
        <v>0</v>
      </c>
      <c r="F119" s="180">
        <v>621</v>
      </c>
      <c r="G119" s="180">
        <v>0</v>
      </c>
      <c r="H119" s="180">
        <v>0</v>
      </c>
      <c r="I119" s="180">
        <v>0</v>
      </c>
      <c r="J119" s="180">
        <v>1030</v>
      </c>
      <c r="K119" s="180"/>
      <c r="L119" s="180">
        <v>0</v>
      </c>
      <c r="M119" s="180">
        <v>0</v>
      </c>
      <c r="N119" s="180"/>
      <c r="O119" s="180">
        <v>0</v>
      </c>
      <c r="P119" s="180">
        <v>0</v>
      </c>
      <c r="Q119" s="180">
        <v>0</v>
      </c>
      <c r="R119" s="180">
        <v>0</v>
      </c>
      <c r="S119" s="180">
        <v>400</v>
      </c>
      <c r="T119" s="180">
        <v>0</v>
      </c>
      <c r="U119" s="180">
        <v>0</v>
      </c>
      <c r="V119" s="180">
        <v>0</v>
      </c>
      <c r="W119" s="180">
        <v>0</v>
      </c>
      <c r="X119" s="180">
        <v>0</v>
      </c>
      <c r="Y119" s="180">
        <v>0</v>
      </c>
      <c r="Z119" s="180">
        <v>0</v>
      </c>
      <c r="AA119" s="180">
        <v>0</v>
      </c>
      <c r="AB119" s="180">
        <v>0</v>
      </c>
      <c r="AC119" s="180">
        <v>2297</v>
      </c>
      <c r="AD119" s="180"/>
      <c r="AE119" s="180">
        <v>0</v>
      </c>
      <c r="AF119" s="180">
        <v>0</v>
      </c>
      <c r="AG119" s="180">
        <v>58000</v>
      </c>
      <c r="AH119" s="180">
        <v>0</v>
      </c>
      <c r="AI119" s="180">
        <v>0</v>
      </c>
      <c r="AJ119" s="180">
        <v>0</v>
      </c>
      <c r="AK119" s="180">
        <v>0</v>
      </c>
      <c r="AL119" s="180">
        <v>146</v>
      </c>
      <c r="AM119" s="180">
        <v>10283</v>
      </c>
      <c r="AN119" s="180">
        <v>62744</v>
      </c>
      <c r="AO119" s="180">
        <v>1574</v>
      </c>
      <c r="AP119" s="180">
        <v>0</v>
      </c>
      <c r="AQ119" s="180">
        <v>0</v>
      </c>
      <c r="AR119" s="180">
        <v>0</v>
      </c>
      <c r="AS119" s="180">
        <v>0</v>
      </c>
      <c r="AT119" s="180">
        <v>0</v>
      </c>
      <c r="AU119" s="180">
        <v>0</v>
      </c>
      <c r="AV119" s="180">
        <v>0</v>
      </c>
      <c r="AW119" s="180">
        <v>0</v>
      </c>
      <c r="AX119" s="180">
        <v>0</v>
      </c>
      <c r="AY119" s="180">
        <v>0</v>
      </c>
      <c r="AZ119" s="180">
        <v>0</v>
      </c>
      <c r="BA119" s="180">
        <v>0</v>
      </c>
      <c r="BB119" s="180">
        <v>0</v>
      </c>
      <c r="BC119" s="180">
        <v>8761</v>
      </c>
      <c r="BD119" s="180">
        <v>0</v>
      </c>
      <c r="BE119" s="180">
        <v>0</v>
      </c>
      <c r="BF119" s="180">
        <v>0</v>
      </c>
      <c r="BG119" s="180">
        <v>0</v>
      </c>
      <c r="BH119" s="180">
        <v>0</v>
      </c>
      <c r="BI119" s="180">
        <v>0</v>
      </c>
      <c r="BJ119" s="180">
        <v>173953</v>
      </c>
      <c r="BK119" s="180">
        <v>0</v>
      </c>
      <c r="BL119" s="180">
        <v>0</v>
      </c>
      <c r="BM119" s="180">
        <v>0</v>
      </c>
      <c r="BN119" s="180">
        <v>205211</v>
      </c>
      <c r="BO119" s="180">
        <v>0</v>
      </c>
      <c r="BP119" s="180">
        <v>0</v>
      </c>
      <c r="BQ119" s="180">
        <v>0</v>
      </c>
      <c r="BR119" s="180">
        <v>3607</v>
      </c>
      <c r="BS119" s="180">
        <v>0</v>
      </c>
      <c r="BT119" s="180">
        <v>0</v>
      </c>
      <c r="BU119" s="180">
        <v>0</v>
      </c>
      <c r="BV119" s="180">
        <v>0</v>
      </c>
      <c r="BW119" s="180">
        <v>0</v>
      </c>
      <c r="BX119" s="180"/>
      <c r="BY119" s="180"/>
      <c r="BZ119" s="180">
        <v>0</v>
      </c>
      <c r="CA119" s="180">
        <v>0</v>
      </c>
      <c r="CB119" s="180"/>
      <c r="CC119" s="180">
        <v>7907</v>
      </c>
      <c r="CD119" s="180">
        <v>0</v>
      </c>
      <c r="CE119" s="180">
        <v>198412</v>
      </c>
      <c r="CF119" s="180">
        <v>0</v>
      </c>
      <c r="CG119" s="180">
        <v>0</v>
      </c>
      <c r="CH119" s="180">
        <v>0</v>
      </c>
      <c r="CI119" s="180">
        <v>31283</v>
      </c>
      <c r="CJ119" s="180">
        <v>6574533</v>
      </c>
      <c r="CK119" s="180">
        <v>0</v>
      </c>
      <c r="CL119" s="180">
        <v>0</v>
      </c>
      <c r="CM119" s="180">
        <v>0</v>
      </c>
      <c r="CN119" s="180">
        <v>0</v>
      </c>
      <c r="CO119" s="180">
        <v>0</v>
      </c>
      <c r="CP119" s="180">
        <v>0</v>
      </c>
      <c r="CQ119" s="180">
        <v>12523</v>
      </c>
      <c r="CR119" s="180">
        <v>0</v>
      </c>
      <c r="CS119" s="180">
        <v>0</v>
      </c>
      <c r="CT119" s="180"/>
      <c r="CU119" s="180"/>
    </row>
    <row r="120" spans="1:99" x14ac:dyDescent="0.3">
      <c r="A120" s="155">
        <v>520</v>
      </c>
      <c r="B120" s="180" t="s">
        <v>267</v>
      </c>
      <c r="C120" s="180"/>
      <c r="D120" s="180">
        <v>0</v>
      </c>
      <c r="E120" s="180">
        <v>0</v>
      </c>
      <c r="F120" s="180">
        <v>154166</v>
      </c>
      <c r="G120" s="180">
        <v>0</v>
      </c>
      <c r="H120" s="180">
        <v>0</v>
      </c>
      <c r="I120" s="180">
        <v>130028</v>
      </c>
      <c r="J120" s="180">
        <v>478628</v>
      </c>
      <c r="K120" s="180"/>
      <c r="L120" s="180">
        <v>33654</v>
      </c>
      <c r="M120" s="180">
        <v>3359054</v>
      </c>
      <c r="N120" s="180"/>
      <c r="O120" s="180">
        <v>0</v>
      </c>
      <c r="P120" s="180">
        <v>115421</v>
      </c>
      <c r="Q120" s="180">
        <v>252015</v>
      </c>
      <c r="R120" s="180">
        <v>0</v>
      </c>
      <c r="S120" s="180">
        <v>87881</v>
      </c>
      <c r="T120" s="180">
        <v>0</v>
      </c>
      <c r="U120" s="180">
        <v>0</v>
      </c>
      <c r="V120" s="180">
        <v>0</v>
      </c>
      <c r="W120" s="180">
        <v>1077683</v>
      </c>
      <c r="X120" s="180">
        <v>0</v>
      </c>
      <c r="Y120" s="180">
        <v>107633</v>
      </c>
      <c r="Z120" s="180">
        <v>0</v>
      </c>
      <c r="AA120" s="180">
        <v>340513</v>
      </c>
      <c r="AB120" s="180">
        <v>0</v>
      </c>
      <c r="AC120" s="180">
        <v>865458</v>
      </c>
      <c r="AD120" s="180"/>
      <c r="AE120" s="180">
        <v>39474</v>
      </c>
      <c r="AF120" s="180">
        <v>108077</v>
      </c>
      <c r="AG120" s="180">
        <v>1685175</v>
      </c>
      <c r="AH120" s="180">
        <v>0</v>
      </c>
      <c r="AI120" s="180">
        <v>133558</v>
      </c>
      <c r="AJ120" s="180">
        <v>0</v>
      </c>
      <c r="AK120" s="180">
        <v>132929</v>
      </c>
      <c r="AL120" s="180">
        <v>769999</v>
      </c>
      <c r="AM120" s="180">
        <v>427724</v>
      </c>
      <c r="AN120" s="180">
        <v>174495</v>
      </c>
      <c r="AO120" s="180">
        <v>214931</v>
      </c>
      <c r="AP120" s="180">
        <v>0</v>
      </c>
      <c r="AQ120" s="180">
        <v>0</v>
      </c>
      <c r="AR120" s="180">
        <v>1152559</v>
      </c>
      <c r="AS120" s="180">
        <v>153191</v>
      </c>
      <c r="AT120" s="180">
        <v>0</v>
      </c>
      <c r="AU120" s="180">
        <v>0</v>
      </c>
      <c r="AV120" s="180">
        <v>0</v>
      </c>
      <c r="AW120" s="180">
        <v>0</v>
      </c>
      <c r="AX120" s="180">
        <v>26593</v>
      </c>
      <c r="AY120" s="180">
        <v>267249</v>
      </c>
      <c r="AZ120" s="180">
        <v>0</v>
      </c>
      <c r="BA120" s="180">
        <v>0</v>
      </c>
      <c r="BB120" s="180">
        <v>0</v>
      </c>
      <c r="BC120" s="180">
        <v>603415</v>
      </c>
      <c r="BD120" s="180">
        <v>0</v>
      </c>
      <c r="BE120" s="180">
        <v>109634</v>
      </c>
      <c r="BF120" s="180">
        <v>137298</v>
      </c>
      <c r="BG120" s="180">
        <v>55514</v>
      </c>
      <c r="BH120" s="180">
        <v>226708</v>
      </c>
      <c r="BI120" s="180">
        <v>611675</v>
      </c>
      <c r="BJ120" s="180">
        <v>1166658</v>
      </c>
      <c r="BK120" s="180">
        <v>0</v>
      </c>
      <c r="BL120" s="180">
        <v>0</v>
      </c>
      <c r="BM120" s="180">
        <v>0</v>
      </c>
      <c r="BN120" s="180">
        <v>748203</v>
      </c>
      <c r="BO120" s="180">
        <v>353311</v>
      </c>
      <c r="BP120" s="180">
        <v>0</v>
      </c>
      <c r="BQ120" s="180">
        <v>0</v>
      </c>
      <c r="BR120" s="180">
        <v>252642</v>
      </c>
      <c r="BS120" s="180">
        <v>0</v>
      </c>
      <c r="BT120" s="180">
        <v>0</v>
      </c>
      <c r="BU120" s="180">
        <v>0</v>
      </c>
      <c r="BV120" s="180">
        <v>303638</v>
      </c>
      <c r="BW120" s="180">
        <v>0</v>
      </c>
      <c r="BX120" s="180"/>
      <c r="BY120" s="180"/>
      <c r="BZ120" s="180">
        <v>413569</v>
      </c>
      <c r="CA120" s="180">
        <v>17217</v>
      </c>
      <c r="CB120" s="180"/>
      <c r="CC120" s="180">
        <v>811331</v>
      </c>
      <c r="CD120" s="180">
        <v>0</v>
      </c>
      <c r="CE120" s="180">
        <v>2730112</v>
      </c>
      <c r="CF120" s="180">
        <v>165196</v>
      </c>
      <c r="CG120" s="180">
        <v>223737</v>
      </c>
      <c r="CH120" s="180">
        <v>150967</v>
      </c>
      <c r="CI120" s="180">
        <v>199038</v>
      </c>
      <c r="CJ120" s="180">
        <v>25182889</v>
      </c>
      <c r="CK120" s="180">
        <v>484642</v>
      </c>
      <c r="CL120" s="180">
        <v>116685</v>
      </c>
      <c r="CM120" s="180">
        <v>0</v>
      </c>
      <c r="CN120" s="180">
        <v>59474</v>
      </c>
      <c r="CO120" s="180">
        <v>188607</v>
      </c>
      <c r="CP120" s="180">
        <v>538345</v>
      </c>
      <c r="CQ120" s="180">
        <v>298140</v>
      </c>
      <c r="CR120" s="180">
        <v>0</v>
      </c>
      <c r="CS120" s="180">
        <v>0</v>
      </c>
      <c r="CT120" s="180"/>
      <c r="CU120" s="180"/>
    </row>
    <row r="121" spans="1:99" x14ac:dyDescent="0.3">
      <c r="A121" s="155">
        <v>521</v>
      </c>
      <c r="B121" s="180" t="s">
        <v>268</v>
      </c>
      <c r="C121" s="180"/>
      <c r="D121" s="180">
        <v>0</v>
      </c>
      <c r="E121" s="180">
        <v>0</v>
      </c>
      <c r="F121" s="180">
        <v>0</v>
      </c>
      <c r="G121" s="180">
        <v>0</v>
      </c>
      <c r="H121" s="180">
        <v>0</v>
      </c>
      <c r="I121" s="180">
        <v>0</v>
      </c>
      <c r="J121" s="180">
        <v>0</v>
      </c>
      <c r="K121" s="180"/>
      <c r="L121" s="180">
        <v>0</v>
      </c>
      <c r="M121" s="180">
        <v>0</v>
      </c>
      <c r="N121" s="180"/>
      <c r="O121" s="180">
        <v>0</v>
      </c>
      <c r="P121" s="180">
        <v>0</v>
      </c>
      <c r="Q121" s="180">
        <v>0</v>
      </c>
      <c r="R121" s="180">
        <v>0</v>
      </c>
      <c r="S121" s="180">
        <v>0</v>
      </c>
      <c r="T121" s="180">
        <v>0</v>
      </c>
      <c r="U121" s="180">
        <v>0</v>
      </c>
      <c r="V121" s="180">
        <v>0</v>
      </c>
      <c r="W121" s="180">
        <v>0</v>
      </c>
      <c r="X121" s="180">
        <v>0</v>
      </c>
      <c r="Y121" s="180">
        <v>0</v>
      </c>
      <c r="Z121" s="180">
        <v>0</v>
      </c>
      <c r="AA121" s="180">
        <v>0</v>
      </c>
      <c r="AB121" s="180">
        <v>0</v>
      </c>
      <c r="AC121" s="180">
        <v>0</v>
      </c>
      <c r="AD121" s="180"/>
      <c r="AE121" s="180">
        <v>0</v>
      </c>
      <c r="AF121" s="180">
        <v>0</v>
      </c>
      <c r="AG121" s="180">
        <v>2003332</v>
      </c>
      <c r="AH121" s="180">
        <v>0</v>
      </c>
      <c r="AI121" s="180">
        <v>0</v>
      </c>
      <c r="AJ121" s="180">
        <v>0</v>
      </c>
      <c r="AK121" s="180">
        <v>0</v>
      </c>
      <c r="AL121" s="180">
        <v>0</v>
      </c>
      <c r="AM121" s="180">
        <v>0</v>
      </c>
      <c r="AN121" s="180">
        <v>0</v>
      </c>
      <c r="AO121" s="180">
        <v>0</v>
      </c>
      <c r="AP121" s="180">
        <v>0</v>
      </c>
      <c r="AQ121" s="180">
        <v>0</v>
      </c>
      <c r="AR121" s="180">
        <v>0</v>
      </c>
      <c r="AS121" s="180">
        <v>9799</v>
      </c>
      <c r="AT121" s="180">
        <v>0</v>
      </c>
      <c r="AU121" s="180">
        <v>0</v>
      </c>
      <c r="AV121" s="180">
        <v>0</v>
      </c>
      <c r="AW121" s="180">
        <v>0</v>
      </c>
      <c r="AX121" s="180">
        <v>0</v>
      </c>
      <c r="AY121" s="180">
        <v>0</v>
      </c>
      <c r="AZ121" s="180">
        <v>90461</v>
      </c>
      <c r="BA121" s="180">
        <v>0</v>
      </c>
      <c r="BB121" s="180">
        <v>0</v>
      </c>
      <c r="BC121" s="180">
        <v>0</v>
      </c>
      <c r="BD121" s="180">
        <v>0</v>
      </c>
      <c r="BE121" s="180">
        <v>0</v>
      </c>
      <c r="BF121" s="180">
        <v>0</v>
      </c>
      <c r="BG121" s="180">
        <v>0</v>
      </c>
      <c r="BH121" s="180">
        <v>0</v>
      </c>
      <c r="BI121" s="180">
        <v>0</v>
      </c>
      <c r="BJ121" s="180">
        <v>0</v>
      </c>
      <c r="BK121" s="180">
        <v>0</v>
      </c>
      <c r="BL121" s="180">
        <v>0</v>
      </c>
      <c r="BM121" s="180">
        <v>0</v>
      </c>
      <c r="BN121" s="180">
        <v>0</v>
      </c>
      <c r="BO121" s="180">
        <v>0</v>
      </c>
      <c r="BP121" s="180">
        <v>0</v>
      </c>
      <c r="BQ121" s="180">
        <v>0</v>
      </c>
      <c r="BR121" s="180">
        <v>0</v>
      </c>
      <c r="BS121" s="180">
        <v>0</v>
      </c>
      <c r="BT121" s="180">
        <v>0</v>
      </c>
      <c r="BU121" s="180">
        <v>0</v>
      </c>
      <c r="BV121" s="180">
        <v>0</v>
      </c>
      <c r="BW121" s="180">
        <v>0</v>
      </c>
      <c r="BX121" s="180"/>
      <c r="BY121" s="180"/>
      <c r="BZ121" s="180">
        <v>0</v>
      </c>
      <c r="CA121" s="180">
        <v>0</v>
      </c>
      <c r="CB121" s="180"/>
      <c r="CC121" s="180">
        <v>0</v>
      </c>
      <c r="CD121" s="180">
        <v>0</v>
      </c>
      <c r="CE121" s="180">
        <v>855743</v>
      </c>
      <c r="CF121" s="180">
        <v>0</v>
      </c>
      <c r="CG121" s="180">
        <v>0</v>
      </c>
      <c r="CH121" s="180">
        <v>0</v>
      </c>
      <c r="CI121" s="180">
        <v>21394</v>
      </c>
      <c r="CJ121" s="180">
        <v>0</v>
      </c>
      <c r="CK121" s="180">
        <v>0</v>
      </c>
      <c r="CL121" s="180">
        <v>0</v>
      </c>
      <c r="CM121" s="180">
        <v>0</v>
      </c>
      <c r="CN121" s="180">
        <v>0</v>
      </c>
      <c r="CO121" s="180">
        <v>0</v>
      </c>
      <c r="CP121" s="180">
        <v>0</v>
      </c>
      <c r="CQ121" s="180">
        <v>0</v>
      </c>
      <c r="CR121" s="180">
        <v>0</v>
      </c>
      <c r="CS121" s="180">
        <v>0</v>
      </c>
      <c r="CT121" s="180"/>
      <c r="CU121" s="180"/>
    </row>
    <row r="122" spans="1:99" x14ac:dyDescent="0.3">
      <c r="A122" s="155">
        <v>522</v>
      </c>
      <c r="B122" s="180" t="s">
        <v>269</v>
      </c>
      <c r="C122" s="180"/>
      <c r="D122" s="180">
        <v>0</v>
      </c>
      <c r="E122" s="180">
        <v>0</v>
      </c>
      <c r="F122" s="180">
        <v>22343</v>
      </c>
      <c r="G122" s="180">
        <v>0</v>
      </c>
      <c r="H122" s="180">
        <v>0</v>
      </c>
      <c r="I122" s="180">
        <v>0</v>
      </c>
      <c r="J122" s="180">
        <v>24954</v>
      </c>
      <c r="K122" s="180"/>
      <c r="L122" s="180">
        <v>11068</v>
      </c>
      <c r="M122" s="180">
        <v>386958</v>
      </c>
      <c r="N122" s="180"/>
      <c r="O122" s="180">
        <v>0</v>
      </c>
      <c r="P122" s="180">
        <v>900</v>
      </c>
      <c r="Q122" s="180">
        <v>42575</v>
      </c>
      <c r="R122" s="180">
        <v>0</v>
      </c>
      <c r="S122" s="180">
        <v>0</v>
      </c>
      <c r="T122" s="180">
        <v>0</v>
      </c>
      <c r="U122" s="180">
        <v>0</v>
      </c>
      <c r="V122" s="180">
        <v>0</v>
      </c>
      <c r="W122" s="180">
        <v>69183</v>
      </c>
      <c r="X122" s="180">
        <v>0</v>
      </c>
      <c r="Y122" s="180">
        <v>2068</v>
      </c>
      <c r="Z122" s="180">
        <v>0</v>
      </c>
      <c r="AA122" s="180">
        <v>13445</v>
      </c>
      <c r="AB122" s="180">
        <v>0</v>
      </c>
      <c r="AC122" s="180">
        <v>220189</v>
      </c>
      <c r="AD122" s="180"/>
      <c r="AE122" s="180">
        <v>0</v>
      </c>
      <c r="AF122" s="180">
        <v>0</v>
      </c>
      <c r="AG122" s="180">
        <v>300341</v>
      </c>
      <c r="AH122" s="180">
        <v>0</v>
      </c>
      <c r="AI122" s="180">
        <v>7130</v>
      </c>
      <c r="AJ122" s="180">
        <v>0</v>
      </c>
      <c r="AK122" s="180">
        <v>775</v>
      </c>
      <c r="AL122" s="180">
        <v>9817</v>
      </c>
      <c r="AM122" s="180">
        <v>75883</v>
      </c>
      <c r="AN122" s="180">
        <v>87928</v>
      </c>
      <c r="AO122" s="180">
        <v>45993</v>
      </c>
      <c r="AP122" s="180">
        <v>11707</v>
      </c>
      <c r="AQ122" s="180">
        <v>0</v>
      </c>
      <c r="AR122" s="180">
        <v>110261</v>
      </c>
      <c r="AS122" s="180">
        <v>5702</v>
      </c>
      <c r="AT122" s="180">
        <v>0</v>
      </c>
      <c r="AU122" s="180">
        <v>0</v>
      </c>
      <c r="AV122" s="180">
        <v>0</v>
      </c>
      <c r="AW122" s="180">
        <v>0</v>
      </c>
      <c r="AX122" s="180">
        <v>615</v>
      </c>
      <c r="AY122" s="180">
        <v>76932</v>
      </c>
      <c r="AZ122" s="180">
        <v>5561</v>
      </c>
      <c r="BA122" s="180">
        <v>0</v>
      </c>
      <c r="BB122" s="180">
        <v>0</v>
      </c>
      <c r="BC122" s="180">
        <v>142641</v>
      </c>
      <c r="BD122" s="180">
        <v>0</v>
      </c>
      <c r="BE122" s="180">
        <v>19631</v>
      </c>
      <c r="BF122" s="180">
        <v>0</v>
      </c>
      <c r="BG122" s="180">
        <v>9060</v>
      </c>
      <c r="BH122" s="180">
        <v>207067</v>
      </c>
      <c r="BI122" s="180">
        <v>20048</v>
      </c>
      <c r="BJ122" s="180">
        <v>368984</v>
      </c>
      <c r="BK122" s="180">
        <v>0</v>
      </c>
      <c r="BL122" s="180">
        <v>0</v>
      </c>
      <c r="BM122" s="180">
        <v>0</v>
      </c>
      <c r="BN122" s="180">
        <v>163790</v>
      </c>
      <c r="BO122" s="180">
        <v>110355</v>
      </c>
      <c r="BP122" s="180">
        <v>0</v>
      </c>
      <c r="BQ122" s="180">
        <v>0</v>
      </c>
      <c r="BR122" s="180">
        <v>38741</v>
      </c>
      <c r="BS122" s="180">
        <v>0</v>
      </c>
      <c r="BT122" s="180">
        <v>0</v>
      </c>
      <c r="BU122" s="180">
        <v>0</v>
      </c>
      <c r="BV122" s="180">
        <v>47927</v>
      </c>
      <c r="BW122" s="180">
        <v>0</v>
      </c>
      <c r="BX122" s="180"/>
      <c r="BY122" s="180"/>
      <c r="BZ122" s="180">
        <v>54194</v>
      </c>
      <c r="CA122" s="180">
        <v>0</v>
      </c>
      <c r="CB122" s="180"/>
      <c r="CC122" s="180">
        <v>50697</v>
      </c>
      <c r="CD122" s="180">
        <v>0</v>
      </c>
      <c r="CE122" s="180">
        <v>796020</v>
      </c>
      <c r="CF122" s="180">
        <v>0</v>
      </c>
      <c r="CG122" s="180">
        <v>48156</v>
      </c>
      <c r="CH122" s="180">
        <v>3511</v>
      </c>
      <c r="CI122" s="180">
        <v>17932</v>
      </c>
      <c r="CJ122" s="180">
        <v>1911621</v>
      </c>
      <c r="CK122" s="180">
        <v>18033</v>
      </c>
      <c r="CL122" s="180">
        <v>3134</v>
      </c>
      <c r="CM122" s="180">
        <v>0</v>
      </c>
      <c r="CN122" s="180">
        <v>57446</v>
      </c>
      <c r="CO122" s="180">
        <v>85478</v>
      </c>
      <c r="CP122" s="180">
        <v>108294</v>
      </c>
      <c r="CQ122" s="180">
        <v>35869</v>
      </c>
      <c r="CR122" s="180">
        <v>0</v>
      </c>
      <c r="CS122" s="180">
        <v>0</v>
      </c>
      <c r="CT122" s="180"/>
      <c r="CU122" s="180"/>
    </row>
    <row r="123" spans="1:99" x14ac:dyDescent="0.3">
      <c r="A123" s="155">
        <v>523</v>
      </c>
      <c r="B123" s="180" t="s">
        <v>270</v>
      </c>
      <c r="C123" s="180"/>
      <c r="D123" s="180">
        <v>0</v>
      </c>
      <c r="E123" s="180">
        <v>0</v>
      </c>
      <c r="F123" s="180">
        <v>69619</v>
      </c>
      <c r="G123" s="180">
        <v>0</v>
      </c>
      <c r="H123" s="180">
        <v>0</v>
      </c>
      <c r="I123" s="180">
        <v>0</v>
      </c>
      <c r="J123" s="180">
        <v>31183</v>
      </c>
      <c r="K123" s="180"/>
      <c r="L123" s="180">
        <v>0</v>
      </c>
      <c r="M123" s="180">
        <v>0</v>
      </c>
      <c r="N123" s="180"/>
      <c r="O123" s="180">
        <v>0</v>
      </c>
      <c r="P123" s="180">
        <v>0</v>
      </c>
      <c r="Q123" s="180">
        <v>0</v>
      </c>
      <c r="R123" s="180">
        <v>0</v>
      </c>
      <c r="S123" s="180">
        <v>7464</v>
      </c>
      <c r="T123" s="180">
        <v>0</v>
      </c>
      <c r="U123" s="180">
        <v>0</v>
      </c>
      <c r="V123" s="180">
        <v>0</v>
      </c>
      <c r="W123" s="180">
        <v>0</v>
      </c>
      <c r="X123" s="180">
        <v>0</v>
      </c>
      <c r="Y123" s="180">
        <v>0</v>
      </c>
      <c r="Z123" s="180">
        <v>0</v>
      </c>
      <c r="AA123" s="180">
        <v>0</v>
      </c>
      <c r="AB123" s="180">
        <v>0</v>
      </c>
      <c r="AC123" s="180">
        <v>2488</v>
      </c>
      <c r="AD123" s="180"/>
      <c r="AE123" s="180">
        <v>0</v>
      </c>
      <c r="AF123" s="180">
        <v>0</v>
      </c>
      <c r="AG123" s="180">
        <v>7437657</v>
      </c>
      <c r="AH123" s="180">
        <v>0</v>
      </c>
      <c r="AI123" s="180">
        <v>5000</v>
      </c>
      <c r="AJ123" s="180">
        <v>0</v>
      </c>
      <c r="AK123" s="180">
        <v>0</v>
      </c>
      <c r="AL123" s="180">
        <v>875</v>
      </c>
      <c r="AM123" s="180">
        <v>129391</v>
      </c>
      <c r="AN123" s="180">
        <v>2262914</v>
      </c>
      <c r="AO123" s="180">
        <v>90752</v>
      </c>
      <c r="AP123" s="180">
        <v>0</v>
      </c>
      <c r="AQ123" s="180">
        <v>0</v>
      </c>
      <c r="AR123" s="180">
        <v>0</v>
      </c>
      <c r="AS123" s="180">
        <v>0</v>
      </c>
      <c r="AT123" s="180">
        <v>0</v>
      </c>
      <c r="AU123" s="180">
        <v>0</v>
      </c>
      <c r="AV123" s="180">
        <v>0</v>
      </c>
      <c r="AW123" s="180">
        <v>0</v>
      </c>
      <c r="AX123" s="180">
        <v>0</v>
      </c>
      <c r="AY123" s="180">
        <v>0</v>
      </c>
      <c r="AZ123" s="180">
        <v>0</v>
      </c>
      <c r="BA123" s="180">
        <v>0</v>
      </c>
      <c r="BB123" s="180">
        <v>0</v>
      </c>
      <c r="BC123" s="180">
        <v>10763</v>
      </c>
      <c r="BD123" s="180">
        <v>0</v>
      </c>
      <c r="BE123" s="180">
        <v>0</v>
      </c>
      <c r="BF123" s="180">
        <v>0</v>
      </c>
      <c r="BG123" s="180">
        <v>0</v>
      </c>
      <c r="BH123" s="180">
        <v>0</v>
      </c>
      <c r="BI123" s="180">
        <v>0</v>
      </c>
      <c r="BJ123" s="180">
        <v>7105976</v>
      </c>
      <c r="BK123" s="180">
        <v>0</v>
      </c>
      <c r="BL123" s="180">
        <v>0</v>
      </c>
      <c r="BM123" s="180">
        <v>0</v>
      </c>
      <c r="BN123" s="180">
        <v>9116822</v>
      </c>
      <c r="BO123" s="180">
        <v>0</v>
      </c>
      <c r="BP123" s="180">
        <v>0</v>
      </c>
      <c r="BQ123" s="180">
        <v>0</v>
      </c>
      <c r="BR123" s="180">
        <v>108887</v>
      </c>
      <c r="BS123" s="180">
        <v>0</v>
      </c>
      <c r="BT123" s="180">
        <v>0</v>
      </c>
      <c r="BU123" s="180">
        <v>0</v>
      </c>
      <c r="BV123" s="180">
        <v>0</v>
      </c>
      <c r="BW123" s="180">
        <v>0</v>
      </c>
      <c r="BX123" s="180"/>
      <c r="BY123" s="180"/>
      <c r="BZ123" s="180">
        <v>0</v>
      </c>
      <c r="CA123" s="180">
        <v>0</v>
      </c>
      <c r="CB123" s="180"/>
      <c r="CC123" s="180">
        <v>176559</v>
      </c>
      <c r="CD123" s="180">
        <v>0</v>
      </c>
      <c r="CE123" s="180">
        <v>5410545</v>
      </c>
      <c r="CF123" s="180">
        <v>0</v>
      </c>
      <c r="CG123" s="180">
        <v>0</v>
      </c>
      <c r="CH123" s="180">
        <v>0</v>
      </c>
      <c r="CI123" s="180">
        <v>183491</v>
      </c>
      <c r="CJ123" s="180">
        <v>132037970</v>
      </c>
      <c r="CK123" s="180">
        <v>0</v>
      </c>
      <c r="CL123" s="180">
        <v>21286</v>
      </c>
      <c r="CM123" s="180">
        <v>0</v>
      </c>
      <c r="CN123" s="180">
        <v>0</v>
      </c>
      <c r="CO123" s="180">
        <v>0</v>
      </c>
      <c r="CP123" s="180">
        <v>0</v>
      </c>
      <c r="CQ123" s="180">
        <v>293281</v>
      </c>
      <c r="CR123" s="180">
        <v>0</v>
      </c>
      <c r="CS123" s="180">
        <v>0</v>
      </c>
      <c r="CT123" s="180"/>
      <c r="CU123" s="180"/>
    </row>
    <row r="124" spans="1:99" x14ac:dyDescent="0.3">
      <c r="A124" s="155">
        <v>524</v>
      </c>
      <c r="B124" s="180" t="s">
        <v>271</v>
      </c>
      <c r="C124" s="180"/>
      <c r="D124" s="180">
        <v>0</v>
      </c>
      <c r="E124" s="180">
        <v>0</v>
      </c>
      <c r="F124" s="180">
        <v>2755665</v>
      </c>
      <c r="G124" s="180">
        <v>0</v>
      </c>
      <c r="H124" s="180">
        <v>0</v>
      </c>
      <c r="I124" s="180">
        <v>2496246</v>
      </c>
      <c r="J124" s="180">
        <v>8409020</v>
      </c>
      <c r="K124" s="180"/>
      <c r="L124" s="180">
        <v>3819230</v>
      </c>
      <c r="M124" s="180">
        <v>67500181</v>
      </c>
      <c r="N124" s="180"/>
      <c r="O124" s="180">
        <v>0</v>
      </c>
      <c r="P124" s="180">
        <v>1904205</v>
      </c>
      <c r="Q124" s="180">
        <v>3603919</v>
      </c>
      <c r="R124" s="180">
        <v>0</v>
      </c>
      <c r="S124" s="180">
        <v>1845692</v>
      </c>
      <c r="T124" s="180">
        <v>0</v>
      </c>
      <c r="U124" s="180">
        <v>0</v>
      </c>
      <c r="V124" s="180">
        <v>0</v>
      </c>
      <c r="W124" s="180">
        <v>18497554</v>
      </c>
      <c r="X124" s="180">
        <v>0</v>
      </c>
      <c r="Y124" s="180">
        <v>1814649</v>
      </c>
      <c r="Z124" s="180">
        <v>0</v>
      </c>
      <c r="AA124" s="180">
        <v>6079712</v>
      </c>
      <c r="AB124" s="180">
        <v>0</v>
      </c>
      <c r="AC124" s="180">
        <v>29117223</v>
      </c>
      <c r="AD124" s="180"/>
      <c r="AE124" s="180">
        <v>1070993</v>
      </c>
      <c r="AF124" s="180">
        <v>1882100</v>
      </c>
      <c r="AG124" s="180">
        <v>24592999</v>
      </c>
      <c r="AH124" s="180">
        <v>0</v>
      </c>
      <c r="AI124" s="180">
        <v>2039926</v>
      </c>
      <c r="AJ124" s="180">
        <v>0</v>
      </c>
      <c r="AK124" s="180">
        <v>480087</v>
      </c>
      <c r="AL124" s="180">
        <v>8268560</v>
      </c>
      <c r="AM124" s="180">
        <v>7919868</v>
      </c>
      <c r="AN124" s="180">
        <v>8140602</v>
      </c>
      <c r="AO124" s="180">
        <v>8881803</v>
      </c>
      <c r="AP124" s="180">
        <v>0</v>
      </c>
      <c r="AQ124" s="180">
        <v>0</v>
      </c>
      <c r="AR124" s="180">
        <v>24508914</v>
      </c>
      <c r="AS124" s="180">
        <v>3670421</v>
      </c>
      <c r="AT124" s="180">
        <v>0</v>
      </c>
      <c r="AU124" s="180">
        <v>0</v>
      </c>
      <c r="AV124" s="180">
        <v>0</v>
      </c>
      <c r="AW124" s="180">
        <v>0</v>
      </c>
      <c r="AX124" s="180">
        <v>764742</v>
      </c>
      <c r="AY124" s="180">
        <v>11173255</v>
      </c>
      <c r="AZ124" s="180">
        <v>0</v>
      </c>
      <c r="BA124" s="180">
        <v>0</v>
      </c>
      <c r="BB124" s="180">
        <v>0</v>
      </c>
      <c r="BC124" s="180">
        <v>16393369</v>
      </c>
      <c r="BD124" s="180">
        <v>0</v>
      </c>
      <c r="BE124" s="180">
        <v>3512691</v>
      </c>
      <c r="BF124" s="180">
        <v>1666070</v>
      </c>
      <c r="BG124" s="180">
        <v>1171377</v>
      </c>
      <c r="BH124" s="180">
        <v>4151211</v>
      </c>
      <c r="BI124" s="180">
        <v>9917151</v>
      </c>
      <c r="BJ124" s="180">
        <v>34741352</v>
      </c>
      <c r="BK124" s="180">
        <v>0</v>
      </c>
      <c r="BL124" s="180">
        <v>0</v>
      </c>
      <c r="BM124" s="180">
        <v>0</v>
      </c>
      <c r="BN124" s="180">
        <v>21397627</v>
      </c>
      <c r="BO124" s="180">
        <v>7319652</v>
      </c>
      <c r="BP124" s="180">
        <v>0</v>
      </c>
      <c r="BQ124" s="180">
        <v>0</v>
      </c>
      <c r="BR124" s="180">
        <v>7139840</v>
      </c>
      <c r="BS124" s="180">
        <v>0</v>
      </c>
      <c r="BT124" s="180">
        <v>0</v>
      </c>
      <c r="BU124" s="180">
        <v>0</v>
      </c>
      <c r="BV124" s="180">
        <v>6820745</v>
      </c>
      <c r="BW124" s="180">
        <v>0</v>
      </c>
      <c r="BX124" s="180"/>
      <c r="BY124" s="180"/>
      <c r="BZ124" s="180">
        <v>11187838</v>
      </c>
      <c r="CA124" s="180">
        <v>169301</v>
      </c>
      <c r="CB124" s="180"/>
      <c r="CC124" s="180">
        <v>17657483</v>
      </c>
      <c r="CD124" s="180">
        <v>0</v>
      </c>
      <c r="CE124" s="180">
        <v>72498663</v>
      </c>
      <c r="CF124" s="180">
        <v>572593</v>
      </c>
      <c r="CG124" s="180">
        <v>6112446</v>
      </c>
      <c r="CH124" s="180">
        <v>3249290</v>
      </c>
      <c r="CI124" s="180">
        <v>3136561</v>
      </c>
      <c r="CJ124" s="180">
        <v>448323004</v>
      </c>
      <c r="CK124" s="180">
        <v>6102541</v>
      </c>
      <c r="CL124" s="180">
        <v>4410760</v>
      </c>
      <c r="CM124" s="180">
        <v>0</v>
      </c>
      <c r="CN124" s="180">
        <v>1885895</v>
      </c>
      <c r="CO124" s="180">
        <v>6645934</v>
      </c>
      <c r="CP124" s="180">
        <v>13997979</v>
      </c>
      <c r="CQ124" s="180">
        <v>6510227</v>
      </c>
      <c r="CR124" s="180">
        <v>0</v>
      </c>
      <c r="CS124" s="180">
        <v>0</v>
      </c>
      <c r="CT124" s="180"/>
      <c r="CU124" s="180"/>
    </row>
    <row r="125" spans="1:99" x14ac:dyDescent="0.3">
      <c r="A125" s="155">
        <v>525</v>
      </c>
      <c r="B125" s="180" t="s">
        <v>272</v>
      </c>
      <c r="C125" s="180"/>
      <c r="D125" s="180">
        <v>0</v>
      </c>
      <c r="E125" s="180">
        <v>0</v>
      </c>
      <c r="F125" s="180">
        <v>0</v>
      </c>
      <c r="G125" s="180">
        <v>0</v>
      </c>
      <c r="H125" s="180">
        <v>0</v>
      </c>
      <c r="I125" s="180">
        <v>0</v>
      </c>
      <c r="J125" s="180">
        <v>0</v>
      </c>
      <c r="K125" s="180"/>
      <c r="L125" s="180">
        <v>0</v>
      </c>
      <c r="M125" s="180">
        <v>0</v>
      </c>
      <c r="N125" s="180"/>
      <c r="O125" s="180">
        <v>0</v>
      </c>
      <c r="P125" s="180">
        <v>0</v>
      </c>
      <c r="Q125" s="180">
        <v>0</v>
      </c>
      <c r="R125" s="180">
        <v>0</v>
      </c>
      <c r="S125" s="180">
        <v>2441</v>
      </c>
      <c r="T125" s="180">
        <v>0</v>
      </c>
      <c r="U125" s="180">
        <v>0</v>
      </c>
      <c r="V125" s="180">
        <v>0</v>
      </c>
      <c r="W125" s="180">
        <v>0</v>
      </c>
      <c r="X125" s="180">
        <v>0</v>
      </c>
      <c r="Y125" s="180">
        <v>0</v>
      </c>
      <c r="Z125" s="180">
        <v>0</v>
      </c>
      <c r="AA125" s="180">
        <v>0</v>
      </c>
      <c r="AB125" s="180">
        <v>0</v>
      </c>
      <c r="AC125" s="180">
        <v>0</v>
      </c>
      <c r="AD125" s="180"/>
      <c r="AE125" s="180">
        <v>0</v>
      </c>
      <c r="AF125" s="180">
        <v>0</v>
      </c>
      <c r="AG125" s="180">
        <v>44924974</v>
      </c>
      <c r="AH125" s="180">
        <v>0</v>
      </c>
      <c r="AI125" s="180">
        <v>0</v>
      </c>
      <c r="AJ125" s="180">
        <v>0</v>
      </c>
      <c r="AK125" s="180">
        <v>0</v>
      </c>
      <c r="AL125" s="180">
        <v>0</v>
      </c>
      <c r="AM125" s="180">
        <v>0</v>
      </c>
      <c r="AN125" s="180">
        <v>0</v>
      </c>
      <c r="AO125" s="180">
        <v>0</v>
      </c>
      <c r="AP125" s="180">
        <v>0</v>
      </c>
      <c r="AQ125" s="180">
        <v>0</v>
      </c>
      <c r="AR125" s="180">
        <v>0</v>
      </c>
      <c r="AS125" s="180">
        <v>382781</v>
      </c>
      <c r="AT125" s="180">
        <v>0</v>
      </c>
      <c r="AU125" s="180">
        <v>0</v>
      </c>
      <c r="AV125" s="180">
        <v>0</v>
      </c>
      <c r="AW125" s="180">
        <v>0</v>
      </c>
      <c r="AX125" s="180">
        <v>0</v>
      </c>
      <c r="AY125" s="180">
        <v>0</v>
      </c>
      <c r="AZ125" s="180">
        <v>1886648</v>
      </c>
      <c r="BA125" s="180">
        <v>0</v>
      </c>
      <c r="BB125" s="180">
        <v>0</v>
      </c>
      <c r="BC125" s="180">
        <v>0</v>
      </c>
      <c r="BD125" s="180">
        <v>0</v>
      </c>
      <c r="BE125" s="180">
        <v>0</v>
      </c>
      <c r="BF125" s="180">
        <v>0</v>
      </c>
      <c r="BG125" s="180">
        <v>0</v>
      </c>
      <c r="BH125" s="180">
        <v>0</v>
      </c>
      <c r="BI125" s="180">
        <v>0</v>
      </c>
      <c r="BJ125" s="180">
        <v>0</v>
      </c>
      <c r="BK125" s="180">
        <v>0</v>
      </c>
      <c r="BL125" s="180">
        <v>0</v>
      </c>
      <c r="BM125" s="180">
        <v>0</v>
      </c>
      <c r="BN125" s="180">
        <v>0</v>
      </c>
      <c r="BO125" s="180">
        <v>0</v>
      </c>
      <c r="BP125" s="180">
        <v>0</v>
      </c>
      <c r="BQ125" s="180">
        <v>0</v>
      </c>
      <c r="BR125" s="180">
        <v>0</v>
      </c>
      <c r="BS125" s="180">
        <v>0</v>
      </c>
      <c r="BT125" s="180">
        <v>0</v>
      </c>
      <c r="BU125" s="180">
        <v>0</v>
      </c>
      <c r="BV125" s="180">
        <v>0</v>
      </c>
      <c r="BW125" s="180">
        <v>0</v>
      </c>
      <c r="BX125" s="180"/>
      <c r="BY125" s="180"/>
      <c r="BZ125" s="180">
        <v>0</v>
      </c>
      <c r="CA125" s="180">
        <v>0</v>
      </c>
      <c r="CB125" s="180"/>
      <c r="CC125" s="180">
        <v>0</v>
      </c>
      <c r="CD125" s="180">
        <v>0</v>
      </c>
      <c r="CE125" s="180">
        <v>19543550</v>
      </c>
      <c r="CF125" s="180">
        <v>0</v>
      </c>
      <c r="CG125" s="180">
        <v>0</v>
      </c>
      <c r="CH125" s="180">
        <v>0</v>
      </c>
      <c r="CI125" s="180">
        <v>42283</v>
      </c>
      <c r="CJ125" s="180">
        <v>0</v>
      </c>
      <c r="CK125" s="180">
        <v>0</v>
      </c>
      <c r="CL125" s="180">
        <v>0</v>
      </c>
      <c r="CM125" s="180">
        <v>0</v>
      </c>
      <c r="CN125" s="180">
        <v>0</v>
      </c>
      <c r="CO125" s="180">
        <v>0</v>
      </c>
      <c r="CP125" s="180">
        <v>0</v>
      </c>
      <c r="CQ125" s="180">
        <v>0</v>
      </c>
      <c r="CR125" s="180">
        <v>0</v>
      </c>
      <c r="CS125" s="180">
        <v>0</v>
      </c>
      <c r="CT125" s="180"/>
      <c r="CU125" s="180"/>
    </row>
    <row r="126" spans="1:99" x14ac:dyDescent="0.3">
      <c r="A126" s="155">
        <v>526</v>
      </c>
      <c r="B126" s="180" t="s">
        <v>273</v>
      </c>
      <c r="C126" s="180"/>
      <c r="D126" s="180">
        <v>0</v>
      </c>
      <c r="E126" s="180">
        <v>0</v>
      </c>
      <c r="F126" s="180">
        <v>732622</v>
      </c>
      <c r="G126" s="180">
        <v>0</v>
      </c>
      <c r="H126" s="180">
        <v>0</v>
      </c>
      <c r="I126" s="180">
        <v>0</v>
      </c>
      <c r="J126" s="180">
        <v>404645</v>
      </c>
      <c r="K126" s="180"/>
      <c r="L126" s="180">
        <v>221946</v>
      </c>
      <c r="M126" s="180">
        <v>3774849</v>
      </c>
      <c r="N126" s="180"/>
      <c r="O126" s="180">
        <v>0</v>
      </c>
      <c r="P126" s="180">
        <v>9000</v>
      </c>
      <c r="Q126" s="180">
        <v>257162</v>
      </c>
      <c r="R126" s="180">
        <v>0</v>
      </c>
      <c r="S126" s="180">
        <v>110411</v>
      </c>
      <c r="T126" s="180">
        <v>0</v>
      </c>
      <c r="U126" s="180">
        <v>0</v>
      </c>
      <c r="V126" s="180">
        <v>0</v>
      </c>
      <c r="W126" s="180">
        <v>617368</v>
      </c>
      <c r="X126" s="180">
        <v>0</v>
      </c>
      <c r="Y126" s="180">
        <v>56444</v>
      </c>
      <c r="Z126" s="180">
        <v>0</v>
      </c>
      <c r="AA126" s="180">
        <v>104720</v>
      </c>
      <c r="AB126" s="180">
        <v>0</v>
      </c>
      <c r="AC126" s="180">
        <v>3380659</v>
      </c>
      <c r="AD126" s="180"/>
      <c r="AE126" s="180">
        <v>9619</v>
      </c>
      <c r="AF126" s="180">
        <v>30988</v>
      </c>
      <c r="AG126" s="180">
        <v>3641526</v>
      </c>
      <c r="AH126" s="180">
        <v>0</v>
      </c>
      <c r="AI126" s="180">
        <v>304365</v>
      </c>
      <c r="AJ126" s="180">
        <v>0</v>
      </c>
      <c r="AK126" s="180">
        <v>10314</v>
      </c>
      <c r="AL126" s="180">
        <v>129703</v>
      </c>
      <c r="AM126" s="180">
        <v>1392868</v>
      </c>
      <c r="AN126" s="180">
        <v>1515008</v>
      </c>
      <c r="AO126" s="180">
        <v>1557516</v>
      </c>
      <c r="AP126" s="180">
        <v>470245</v>
      </c>
      <c r="AQ126" s="180">
        <v>0</v>
      </c>
      <c r="AR126" s="180">
        <v>792670</v>
      </c>
      <c r="AS126" s="180">
        <v>128935</v>
      </c>
      <c r="AT126" s="180">
        <v>0</v>
      </c>
      <c r="AU126" s="180">
        <v>0</v>
      </c>
      <c r="AV126" s="180">
        <v>0</v>
      </c>
      <c r="AW126" s="180">
        <v>0</v>
      </c>
      <c r="AX126" s="180">
        <v>1976</v>
      </c>
      <c r="AY126" s="180">
        <v>1173911</v>
      </c>
      <c r="AZ126" s="180">
        <v>104032</v>
      </c>
      <c r="BA126" s="180">
        <v>0</v>
      </c>
      <c r="BB126" s="180">
        <v>0</v>
      </c>
      <c r="BC126" s="180">
        <v>1325426</v>
      </c>
      <c r="BD126" s="180">
        <v>0</v>
      </c>
      <c r="BE126" s="180">
        <v>580712</v>
      </c>
      <c r="BF126" s="180">
        <v>0</v>
      </c>
      <c r="BG126" s="180">
        <v>62150</v>
      </c>
      <c r="BH126" s="180">
        <v>1055046</v>
      </c>
      <c r="BI126" s="180">
        <v>381528</v>
      </c>
      <c r="BJ126" s="180">
        <v>6494026</v>
      </c>
      <c r="BK126" s="180">
        <v>0</v>
      </c>
      <c r="BL126" s="180">
        <v>0</v>
      </c>
      <c r="BM126" s="180">
        <v>0</v>
      </c>
      <c r="BN126" s="180">
        <v>2114877</v>
      </c>
      <c r="BO126" s="180">
        <v>1309897</v>
      </c>
      <c r="BP126" s="180">
        <v>0</v>
      </c>
      <c r="BQ126" s="180">
        <v>0</v>
      </c>
      <c r="BR126" s="180">
        <v>770383</v>
      </c>
      <c r="BS126" s="180">
        <v>0</v>
      </c>
      <c r="BT126" s="180">
        <v>0</v>
      </c>
      <c r="BU126" s="180">
        <v>0</v>
      </c>
      <c r="BV126" s="180">
        <v>796774</v>
      </c>
      <c r="BW126" s="180">
        <v>0</v>
      </c>
      <c r="BX126" s="180"/>
      <c r="BY126" s="180"/>
      <c r="BZ126" s="180">
        <v>1528251</v>
      </c>
      <c r="CA126" s="180">
        <v>0</v>
      </c>
      <c r="CB126" s="180"/>
      <c r="CC126" s="180">
        <v>951550</v>
      </c>
      <c r="CD126" s="180">
        <v>0</v>
      </c>
      <c r="CE126" s="180">
        <v>11925030</v>
      </c>
      <c r="CF126" s="180">
        <v>0</v>
      </c>
      <c r="CG126" s="180">
        <v>166342</v>
      </c>
      <c r="CH126" s="180">
        <v>31101</v>
      </c>
      <c r="CI126" s="180">
        <v>635214</v>
      </c>
      <c r="CJ126" s="180">
        <v>20154848</v>
      </c>
      <c r="CK126" s="180">
        <v>535894</v>
      </c>
      <c r="CL126" s="180">
        <v>253198</v>
      </c>
      <c r="CM126" s="180">
        <v>0</v>
      </c>
      <c r="CN126" s="180">
        <v>399851</v>
      </c>
      <c r="CO126" s="180">
        <v>1124119</v>
      </c>
      <c r="CP126" s="180">
        <v>2703275</v>
      </c>
      <c r="CQ126" s="180">
        <v>532231</v>
      </c>
      <c r="CR126" s="180">
        <v>0</v>
      </c>
      <c r="CS126" s="180">
        <v>0</v>
      </c>
      <c r="CT126" s="180"/>
      <c r="CU126" s="180"/>
    </row>
    <row r="127" spans="1:99" x14ac:dyDescent="0.3">
      <c r="A127" s="155">
        <v>527</v>
      </c>
      <c r="B127" s="180" t="s">
        <v>274</v>
      </c>
      <c r="C127" s="180"/>
      <c r="D127" s="180">
        <v>0</v>
      </c>
      <c r="E127" s="180">
        <v>0</v>
      </c>
      <c r="F127" s="180">
        <v>0</v>
      </c>
      <c r="G127" s="180">
        <v>0</v>
      </c>
      <c r="H127" s="180">
        <v>0</v>
      </c>
      <c r="I127" s="180">
        <v>0</v>
      </c>
      <c r="J127" s="180">
        <v>0</v>
      </c>
      <c r="K127" s="180"/>
      <c r="L127" s="180">
        <v>0</v>
      </c>
      <c r="M127" s="180">
        <v>6102875</v>
      </c>
      <c r="N127" s="180"/>
      <c r="O127" s="180">
        <v>0</v>
      </c>
      <c r="P127" s="180">
        <v>0</v>
      </c>
      <c r="Q127" s="180">
        <v>0</v>
      </c>
      <c r="R127" s="180">
        <v>0</v>
      </c>
      <c r="S127" s="180">
        <v>0</v>
      </c>
      <c r="T127" s="180">
        <v>0</v>
      </c>
      <c r="U127" s="180">
        <v>0</v>
      </c>
      <c r="V127" s="180">
        <v>0</v>
      </c>
      <c r="W127" s="180">
        <v>0</v>
      </c>
      <c r="X127" s="180">
        <v>0</v>
      </c>
      <c r="Y127" s="180">
        <v>0</v>
      </c>
      <c r="Z127" s="180">
        <v>0</v>
      </c>
      <c r="AA127" s="180">
        <v>0</v>
      </c>
      <c r="AB127" s="180">
        <v>0</v>
      </c>
      <c r="AC127" s="180">
        <v>858368</v>
      </c>
      <c r="AD127" s="180"/>
      <c r="AE127" s="180">
        <v>0</v>
      </c>
      <c r="AF127" s="180">
        <v>0</v>
      </c>
      <c r="AG127" s="180">
        <v>0</v>
      </c>
      <c r="AH127" s="180">
        <v>0</v>
      </c>
      <c r="AI127" s="180">
        <v>0</v>
      </c>
      <c r="AJ127" s="180">
        <v>0</v>
      </c>
      <c r="AK127" s="180">
        <v>0</v>
      </c>
      <c r="AL127" s="180">
        <v>0</v>
      </c>
      <c r="AM127" s="180">
        <v>0</v>
      </c>
      <c r="AN127" s="180">
        <v>0</v>
      </c>
      <c r="AO127" s="180">
        <v>0</v>
      </c>
      <c r="AP127" s="180">
        <v>0</v>
      </c>
      <c r="AQ127" s="180">
        <v>0</v>
      </c>
      <c r="AR127" s="180">
        <v>0</v>
      </c>
      <c r="AS127" s="180">
        <v>0</v>
      </c>
      <c r="AT127" s="180">
        <v>0</v>
      </c>
      <c r="AU127" s="180">
        <v>0</v>
      </c>
      <c r="AV127" s="180">
        <v>0</v>
      </c>
      <c r="AW127" s="180">
        <v>0</v>
      </c>
      <c r="AX127" s="180">
        <v>0</v>
      </c>
      <c r="AY127" s="180">
        <v>0</v>
      </c>
      <c r="AZ127" s="180">
        <v>0</v>
      </c>
      <c r="BA127" s="180">
        <v>1451949</v>
      </c>
      <c r="BB127" s="180">
        <v>0</v>
      </c>
      <c r="BC127" s="180">
        <v>0</v>
      </c>
      <c r="BD127" s="180">
        <v>0</v>
      </c>
      <c r="BE127" s="180">
        <v>0</v>
      </c>
      <c r="BF127" s="180">
        <v>0</v>
      </c>
      <c r="BG127" s="180">
        <v>0</v>
      </c>
      <c r="BH127" s="180">
        <v>0</v>
      </c>
      <c r="BI127" s="180">
        <v>0</v>
      </c>
      <c r="BJ127" s="180">
        <v>1394767</v>
      </c>
      <c r="BK127" s="180">
        <v>0</v>
      </c>
      <c r="BL127" s="180">
        <v>0</v>
      </c>
      <c r="BM127" s="180">
        <v>0</v>
      </c>
      <c r="BN127" s="180">
        <v>339209</v>
      </c>
      <c r="BO127" s="180">
        <v>0</v>
      </c>
      <c r="BP127" s="180">
        <v>0</v>
      </c>
      <c r="BQ127" s="180">
        <v>0</v>
      </c>
      <c r="BR127" s="180">
        <v>0</v>
      </c>
      <c r="BS127" s="180">
        <v>0</v>
      </c>
      <c r="BT127" s="180">
        <v>0</v>
      </c>
      <c r="BU127" s="180">
        <v>0</v>
      </c>
      <c r="BV127" s="180">
        <v>0</v>
      </c>
      <c r="BW127" s="180">
        <v>0</v>
      </c>
      <c r="BX127" s="180"/>
      <c r="BY127" s="180"/>
      <c r="BZ127" s="180">
        <v>0</v>
      </c>
      <c r="CA127" s="180">
        <v>0</v>
      </c>
      <c r="CB127" s="180"/>
      <c r="CC127" s="180">
        <v>0</v>
      </c>
      <c r="CD127" s="180">
        <v>0</v>
      </c>
      <c r="CE127" s="180">
        <v>7601566</v>
      </c>
      <c r="CF127" s="180">
        <v>0</v>
      </c>
      <c r="CG127" s="180">
        <v>16525</v>
      </c>
      <c r="CH127" s="180">
        <v>0</v>
      </c>
      <c r="CI127" s="180">
        <v>0</v>
      </c>
      <c r="CJ127" s="180">
        <v>0</v>
      </c>
      <c r="CK127" s="180">
        <v>146013</v>
      </c>
      <c r="CL127" s="180">
        <v>0</v>
      </c>
      <c r="CM127" s="180">
        <v>0</v>
      </c>
      <c r="CN127" s="180">
        <v>0</v>
      </c>
      <c r="CO127" s="180">
        <v>0</v>
      </c>
      <c r="CP127" s="180">
        <v>0</v>
      </c>
      <c r="CQ127" s="180">
        <v>0</v>
      </c>
      <c r="CR127" s="180">
        <v>0</v>
      </c>
      <c r="CS127" s="180">
        <v>0</v>
      </c>
      <c r="CT127" s="180"/>
      <c r="CU127" s="180"/>
    </row>
    <row r="128" spans="1:99" x14ac:dyDescent="0.3">
      <c r="A128" s="155">
        <v>528</v>
      </c>
      <c r="B128" s="180" t="s">
        <v>257</v>
      </c>
      <c r="C128" s="180"/>
      <c r="D128" s="180">
        <v>35674</v>
      </c>
      <c r="E128" s="180">
        <v>1226730</v>
      </c>
      <c r="F128" s="180">
        <v>1514443</v>
      </c>
      <c r="G128" s="180">
        <v>24240</v>
      </c>
      <c r="H128" s="180">
        <v>4318705</v>
      </c>
      <c r="I128" s="180">
        <v>489401</v>
      </c>
      <c r="J128" s="180">
        <v>1521507</v>
      </c>
      <c r="K128" s="180"/>
      <c r="L128" s="180">
        <v>277942</v>
      </c>
      <c r="M128" s="180">
        <v>17799737</v>
      </c>
      <c r="N128" s="180"/>
      <c r="O128" s="180">
        <v>303048</v>
      </c>
      <c r="P128" s="180">
        <v>0</v>
      </c>
      <c r="Q128" s="180">
        <v>532180</v>
      </c>
      <c r="R128" s="180">
        <v>32187</v>
      </c>
      <c r="S128" s="180">
        <v>75301</v>
      </c>
      <c r="T128" s="180">
        <v>1282164</v>
      </c>
      <c r="U128" s="180">
        <v>410041</v>
      </c>
      <c r="V128" s="180">
        <v>2766296</v>
      </c>
      <c r="W128" s="180">
        <v>6495917</v>
      </c>
      <c r="X128" s="180">
        <v>1739824</v>
      </c>
      <c r="Y128" s="180">
        <v>0</v>
      </c>
      <c r="Z128" s="180">
        <v>2184391</v>
      </c>
      <c r="AA128" s="180">
        <v>991316</v>
      </c>
      <c r="AB128" s="180">
        <v>24199</v>
      </c>
      <c r="AC128" s="180">
        <v>3501509</v>
      </c>
      <c r="AD128" s="180"/>
      <c r="AE128" s="180">
        <v>605960</v>
      </c>
      <c r="AF128" s="180">
        <v>129160</v>
      </c>
      <c r="AG128" s="180">
        <v>12551481</v>
      </c>
      <c r="AH128" s="180">
        <v>109953</v>
      </c>
      <c r="AI128" s="180">
        <v>2318040</v>
      </c>
      <c r="AJ128" s="180">
        <v>938673</v>
      </c>
      <c r="AK128" s="180">
        <v>52364</v>
      </c>
      <c r="AL128" s="180">
        <v>588552</v>
      </c>
      <c r="AM128" s="180">
        <v>3225055</v>
      </c>
      <c r="AN128" s="180">
        <v>1145365</v>
      </c>
      <c r="AO128" s="180">
        <v>944648</v>
      </c>
      <c r="AP128" s="180">
        <v>25102</v>
      </c>
      <c r="AQ128" s="180">
        <v>142413</v>
      </c>
      <c r="AR128" s="180">
        <v>2139821</v>
      </c>
      <c r="AS128" s="180">
        <v>261345</v>
      </c>
      <c r="AT128" s="180">
        <v>50006</v>
      </c>
      <c r="AU128" s="180">
        <v>24058</v>
      </c>
      <c r="AV128" s="180">
        <v>497230</v>
      </c>
      <c r="AW128" s="180">
        <v>32572</v>
      </c>
      <c r="AX128" s="180">
        <v>123414</v>
      </c>
      <c r="AY128" s="180">
        <v>1767516</v>
      </c>
      <c r="AZ128" s="180">
        <v>160552</v>
      </c>
      <c r="BA128" s="180">
        <v>32427208</v>
      </c>
      <c r="BB128" s="180">
        <v>1138977</v>
      </c>
      <c r="BC128" s="180">
        <v>1407277</v>
      </c>
      <c r="BD128" s="180">
        <v>154999</v>
      </c>
      <c r="BE128" s="180">
        <v>498185</v>
      </c>
      <c r="BF128" s="180">
        <v>757866</v>
      </c>
      <c r="BG128" s="180">
        <v>57305</v>
      </c>
      <c r="BH128" s="180">
        <v>431871</v>
      </c>
      <c r="BI128" s="180">
        <v>1224412</v>
      </c>
      <c r="BJ128" s="180">
        <v>4266976</v>
      </c>
      <c r="BK128" s="180">
        <v>144316</v>
      </c>
      <c r="BL128" s="180">
        <v>4016</v>
      </c>
      <c r="BM128" s="180">
        <v>10683256</v>
      </c>
      <c r="BN128" s="180">
        <v>6456109</v>
      </c>
      <c r="BO128" s="180">
        <v>3717653</v>
      </c>
      <c r="BP128" s="180">
        <v>71659</v>
      </c>
      <c r="BQ128" s="180">
        <v>1411655</v>
      </c>
      <c r="BR128" s="180">
        <v>572349</v>
      </c>
      <c r="BS128" s="180">
        <v>5324892</v>
      </c>
      <c r="BT128" s="180">
        <v>0</v>
      </c>
      <c r="BU128" s="180">
        <v>179713</v>
      </c>
      <c r="BV128" s="180">
        <v>1434411</v>
      </c>
      <c r="BW128" s="180">
        <v>2820280</v>
      </c>
      <c r="BX128" s="180"/>
      <c r="BY128" s="180"/>
      <c r="BZ128" s="180">
        <v>2389264</v>
      </c>
      <c r="CA128" s="180">
        <v>82366</v>
      </c>
      <c r="CB128" s="180"/>
      <c r="CC128" s="180">
        <v>3045513</v>
      </c>
      <c r="CD128" s="180">
        <v>77165476</v>
      </c>
      <c r="CE128" s="180">
        <v>23631130</v>
      </c>
      <c r="CF128" s="180">
        <v>907178</v>
      </c>
      <c r="CG128" s="180">
        <v>169805</v>
      </c>
      <c r="CH128" s="180">
        <v>231935</v>
      </c>
      <c r="CI128" s="180">
        <v>565703</v>
      </c>
      <c r="CJ128" s="180">
        <v>148608558</v>
      </c>
      <c r="CK128" s="180">
        <v>4007379</v>
      </c>
      <c r="CL128" s="180">
        <v>197849</v>
      </c>
      <c r="CM128" s="180">
        <v>3697417</v>
      </c>
      <c r="CN128" s="180">
        <v>147309</v>
      </c>
      <c r="CO128" s="180">
        <v>3446854</v>
      </c>
      <c r="CP128" s="180">
        <v>1148158</v>
      </c>
      <c r="CQ128" s="180">
        <v>307817</v>
      </c>
      <c r="CR128" s="180">
        <v>1813593</v>
      </c>
      <c r="CS128" s="180">
        <v>8011866</v>
      </c>
      <c r="CT128" s="180"/>
      <c r="CU128" s="180"/>
    </row>
    <row r="129" spans="1:99" x14ac:dyDescent="0.3">
      <c r="A129" s="155">
        <v>529</v>
      </c>
      <c r="B129" s="180" t="s">
        <v>258</v>
      </c>
      <c r="C129" s="180"/>
      <c r="D129" s="180">
        <v>4004</v>
      </c>
      <c r="E129" s="180">
        <v>96485</v>
      </c>
      <c r="F129" s="180">
        <v>131355</v>
      </c>
      <c r="G129" s="180">
        <v>4206</v>
      </c>
      <c r="H129" s="180">
        <v>416343</v>
      </c>
      <c r="I129" s="180">
        <v>74242</v>
      </c>
      <c r="J129" s="180">
        <v>212499</v>
      </c>
      <c r="K129" s="180"/>
      <c r="L129" s="180">
        <v>40280</v>
      </c>
      <c r="M129" s="180">
        <v>1433426</v>
      </c>
      <c r="N129" s="180"/>
      <c r="O129" s="180">
        <v>33570</v>
      </c>
      <c r="P129" s="180">
        <v>0</v>
      </c>
      <c r="Q129" s="180">
        <v>83370</v>
      </c>
      <c r="R129" s="180">
        <v>3776</v>
      </c>
      <c r="S129" s="180">
        <v>15837</v>
      </c>
      <c r="T129" s="180">
        <v>36500</v>
      </c>
      <c r="U129" s="180">
        <v>42623</v>
      </c>
      <c r="V129" s="180">
        <v>97281</v>
      </c>
      <c r="W129" s="180">
        <v>232817</v>
      </c>
      <c r="X129" s="180">
        <v>169245</v>
      </c>
      <c r="Y129" s="180">
        <v>0</v>
      </c>
      <c r="Z129" s="180">
        <v>104654</v>
      </c>
      <c r="AA129" s="180">
        <v>102877</v>
      </c>
      <c r="AB129" s="180">
        <v>3671</v>
      </c>
      <c r="AC129" s="180">
        <v>416051</v>
      </c>
      <c r="AD129" s="180"/>
      <c r="AE129" s="180">
        <v>38058</v>
      </c>
      <c r="AF129" s="180">
        <v>22294</v>
      </c>
      <c r="AG129" s="180">
        <v>1225100</v>
      </c>
      <c r="AH129" s="180">
        <v>16997</v>
      </c>
      <c r="AI129" s="180">
        <v>29889</v>
      </c>
      <c r="AJ129" s="180">
        <v>109648</v>
      </c>
      <c r="AK129" s="180">
        <v>21926</v>
      </c>
      <c r="AL129" s="180">
        <v>84233</v>
      </c>
      <c r="AM129" s="180">
        <v>273035</v>
      </c>
      <c r="AN129" s="180">
        <v>105366</v>
      </c>
      <c r="AO129" s="180">
        <v>122726</v>
      </c>
      <c r="AP129" s="180">
        <v>5059</v>
      </c>
      <c r="AQ129" s="180">
        <v>19394</v>
      </c>
      <c r="AR129" s="180">
        <v>214812</v>
      </c>
      <c r="AS129" s="180">
        <v>43118</v>
      </c>
      <c r="AT129" s="180">
        <v>5390</v>
      </c>
      <c r="AU129" s="180">
        <v>3707</v>
      </c>
      <c r="AV129" s="180">
        <v>63733</v>
      </c>
      <c r="AW129" s="180">
        <v>5771</v>
      </c>
      <c r="AX129" s="180">
        <v>17392</v>
      </c>
      <c r="AY129" s="180">
        <v>226123</v>
      </c>
      <c r="AZ129" s="180">
        <v>34840</v>
      </c>
      <c r="BA129" s="180">
        <v>2960074</v>
      </c>
      <c r="BB129" s="180">
        <v>123373</v>
      </c>
      <c r="BC129" s="180">
        <v>173635</v>
      </c>
      <c r="BD129" s="180">
        <v>19045</v>
      </c>
      <c r="BE129" s="180">
        <v>54479</v>
      </c>
      <c r="BF129" s="180">
        <v>89416</v>
      </c>
      <c r="BG129" s="180">
        <v>11966</v>
      </c>
      <c r="BH129" s="180">
        <v>42155</v>
      </c>
      <c r="BI129" s="180">
        <v>116417</v>
      </c>
      <c r="BJ129" s="180">
        <v>551401</v>
      </c>
      <c r="BK129" s="180">
        <v>16204</v>
      </c>
      <c r="BL129" s="180">
        <v>266</v>
      </c>
      <c r="BM129" s="180">
        <v>1071562</v>
      </c>
      <c r="BN129" s="180">
        <v>513025</v>
      </c>
      <c r="BO129" s="180">
        <v>186611</v>
      </c>
      <c r="BP129" s="180">
        <v>8295</v>
      </c>
      <c r="BQ129" s="180">
        <v>121782</v>
      </c>
      <c r="BR129" s="180">
        <v>90500</v>
      </c>
      <c r="BS129" s="180">
        <v>531692</v>
      </c>
      <c r="BT129" s="180">
        <v>0</v>
      </c>
      <c r="BU129" s="180">
        <v>19329</v>
      </c>
      <c r="BV129" s="180">
        <v>59244</v>
      </c>
      <c r="BW129" s="180">
        <v>252800</v>
      </c>
      <c r="BX129" s="180"/>
      <c r="BY129" s="180"/>
      <c r="BZ129" s="180">
        <v>253305</v>
      </c>
      <c r="CA129" s="180">
        <v>10279</v>
      </c>
      <c r="CB129" s="180"/>
      <c r="CC129" s="180">
        <v>344437</v>
      </c>
      <c r="CD129" s="180">
        <v>5120890</v>
      </c>
      <c r="CE129" s="180">
        <v>2664284</v>
      </c>
      <c r="CF129" s="180">
        <v>123858</v>
      </c>
      <c r="CG129" s="180">
        <v>38564</v>
      </c>
      <c r="CH129" s="180">
        <v>33580</v>
      </c>
      <c r="CI129" s="180">
        <v>63364</v>
      </c>
      <c r="CJ129" s="180">
        <v>13471659</v>
      </c>
      <c r="CK129" s="180">
        <v>647286</v>
      </c>
      <c r="CL129" s="180">
        <v>34593</v>
      </c>
      <c r="CM129" s="180">
        <v>225288</v>
      </c>
      <c r="CN129" s="180">
        <v>24098</v>
      </c>
      <c r="CO129" s="180">
        <v>50693</v>
      </c>
      <c r="CP129" s="180">
        <v>155084</v>
      </c>
      <c r="CQ129" s="180">
        <v>19467</v>
      </c>
      <c r="CR129" s="180">
        <v>247760</v>
      </c>
      <c r="CS129" s="180">
        <v>434163</v>
      </c>
      <c r="CT129" s="180"/>
      <c r="CU129" s="180"/>
    </row>
    <row r="130" spans="1:99" x14ac:dyDescent="0.3">
      <c r="A130" s="155">
        <v>530</v>
      </c>
      <c r="B130" s="180" t="s">
        <v>259</v>
      </c>
      <c r="C130" s="180"/>
      <c r="D130" s="180">
        <v>761</v>
      </c>
      <c r="E130" s="180">
        <v>2491</v>
      </c>
      <c r="F130" s="180">
        <v>56786</v>
      </c>
      <c r="G130" s="180">
        <v>206</v>
      </c>
      <c r="H130" s="180">
        <v>3066</v>
      </c>
      <c r="I130" s="180">
        <v>5888</v>
      </c>
      <c r="J130" s="180">
        <v>12984</v>
      </c>
      <c r="K130" s="180"/>
      <c r="L130" s="180">
        <v>14226</v>
      </c>
      <c r="M130" s="180">
        <v>135436</v>
      </c>
      <c r="N130" s="180"/>
      <c r="O130" s="180">
        <v>0</v>
      </c>
      <c r="P130" s="180">
        <v>0</v>
      </c>
      <c r="Q130" s="180">
        <v>7541</v>
      </c>
      <c r="R130" s="180">
        <v>1377</v>
      </c>
      <c r="S130" s="180">
        <v>1968</v>
      </c>
      <c r="T130" s="180">
        <v>4981</v>
      </c>
      <c r="U130" s="180">
        <v>899</v>
      </c>
      <c r="V130" s="180">
        <v>11920</v>
      </c>
      <c r="W130" s="180">
        <v>86758</v>
      </c>
      <c r="X130" s="180">
        <v>11028</v>
      </c>
      <c r="Y130" s="180">
        <v>0</v>
      </c>
      <c r="Z130" s="180">
        <v>44547</v>
      </c>
      <c r="AA130" s="180">
        <v>18290</v>
      </c>
      <c r="AB130" s="180">
        <v>795</v>
      </c>
      <c r="AC130" s="180">
        <v>126765</v>
      </c>
      <c r="AD130" s="180"/>
      <c r="AE130" s="180">
        <v>2484</v>
      </c>
      <c r="AF130" s="180">
        <v>13928</v>
      </c>
      <c r="AG130" s="180">
        <v>445363</v>
      </c>
      <c r="AH130" s="180">
        <v>1624</v>
      </c>
      <c r="AI130" s="180">
        <v>15310</v>
      </c>
      <c r="AJ130" s="180">
        <v>2861</v>
      </c>
      <c r="AK130" s="180">
        <v>3527</v>
      </c>
      <c r="AL130" s="180">
        <v>4646</v>
      </c>
      <c r="AM130" s="180">
        <v>53074</v>
      </c>
      <c r="AN130" s="180">
        <v>30363</v>
      </c>
      <c r="AO130" s="180">
        <v>25670</v>
      </c>
      <c r="AP130" s="180">
        <v>302</v>
      </c>
      <c r="AQ130" s="180">
        <v>2504</v>
      </c>
      <c r="AR130" s="180">
        <v>47633</v>
      </c>
      <c r="AS130" s="180">
        <v>4573</v>
      </c>
      <c r="AT130" s="180">
        <v>1814</v>
      </c>
      <c r="AU130" s="180">
        <v>408</v>
      </c>
      <c r="AV130" s="180">
        <v>3396</v>
      </c>
      <c r="AW130" s="180">
        <v>1154</v>
      </c>
      <c r="AX130" s="180">
        <v>2068</v>
      </c>
      <c r="AY130" s="180">
        <v>142004</v>
      </c>
      <c r="AZ130" s="180">
        <v>15604</v>
      </c>
      <c r="BA130" s="180">
        <v>56356</v>
      </c>
      <c r="BB130" s="180">
        <v>12440</v>
      </c>
      <c r="BC130" s="180">
        <v>54631</v>
      </c>
      <c r="BD130" s="180">
        <v>2578</v>
      </c>
      <c r="BE130" s="180">
        <v>13140</v>
      </c>
      <c r="BF130" s="180">
        <v>669</v>
      </c>
      <c r="BG130" s="180">
        <v>1049</v>
      </c>
      <c r="BH130" s="180">
        <v>6705</v>
      </c>
      <c r="BI130" s="180">
        <v>28542</v>
      </c>
      <c r="BJ130" s="180">
        <v>47608</v>
      </c>
      <c r="BK130" s="180">
        <v>1264</v>
      </c>
      <c r="BL130" s="180">
        <v>476</v>
      </c>
      <c r="BM130" s="180">
        <v>85240</v>
      </c>
      <c r="BN130" s="180">
        <v>185984</v>
      </c>
      <c r="BO130" s="180">
        <v>6084</v>
      </c>
      <c r="BP130" s="180">
        <v>137</v>
      </c>
      <c r="BQ130" s="180">
        <v>20999</v>
      </c>
      <c r="BR130" s="180">
        <v>20471</v>
      </c>
      <c r="BS130" s="180">
        <v>24891</v>
      </c>
      <c r="BT130" s="180">
        <v>0</v>
      </c>
      <c r="BU130" s="180">
        <v>162</v>
      </c>
      <c r="BV130" s="180">
        <v>18405</v>
      </c>
      <c r="BW130" s="180">
        <v>2059</v>
      </c>
      <c r="BX130" s="180"/>
      <c r="BY130" s="180"/>
      <c r="BZ130" s="180">
        <v>32806</v>
      </c>
      <c r="CA130" s="180">
        <v>676</v>
      </c>
      <c r="CB130" s="180"/>
      <c r="CC130" s="180">
        <v>188558</v>
      </c>
      <c r="CD130" s="180">
        <v>411427</v>
      </c>
      <c r="CE130" s="180">
        <v>315369</v>
      </c>
      <c r="CF130" s="180">
        <v>42</v>
      </c>
      <c r="CG130" s="180">
        <v>3451</v>
      </c>
      <c r="CH130" s="180">
        <v>7664</v>
      </c>
      <c r="CI130" s="180">
        <v>4836</v>
      </c>
      <c r="CJ130" s="180">
        <v>994204</v>
      </c>
      <c r="CK130" s="180">
        <v>23515</v>
      </c>
      <c r="CL130" s="180">
        <v>10628</v>
      </c>
      <c r="CM130" s="180">
        <v>8058</v>
      </c>
      <c r="CN130" s="180">
        <v>11721</v>
      </c>
      <c r="CO130" s="180">
        <v>3521</v>
      </c>
      <c r="CP130" s="180">
        <v>26034</v>
      </c>
      <c r="CQ130" s="180">
        <v>4678</v>
      </c>
      <c r="CR130" s="180">
        <v>12397</v>
      </c>
      <c r="CS130" s="180">
        <v>48877</v>
      </c>
      <c r="CT130" s="180"/>
      <c r="CU130" s="180"/>
    </row>
    <row r="131" spans="1:99" x14ac:dyDescent="0.3">
      <c r="A131" s="155">
        <v>531</v>
      </c>
      <c r="B131" s="180" t="s">
        <v>260</v>
      </c>
      <c r="C131" s="180"/>
      <c r="D131" s="180">
        <v>0</v>
      </c>
      <c r="E131" s="180">
        <v>0</v>
      </c>
      <c r="F131" s="180">
        <v>2727</v>
      </c>
      <c r="G131" s="180">
        <v>0</v>
      </c>
      <c r="H131" s="180">
        <v>633</v>
      </c>
      <c r="I131" s="180">
        <v>0</v>
      </c>
      <c r="J131" s="180">
        <v>0</v>
      </c>
      <c r="K131" s="180"/>
      <c r="L131" s="180">
        <v>0</v>
      </c>
      <c r="M131" s="180">
        <v>0</v>
      </c>
      <c r="N131" s="180"/>
      <c r="O131" s="180">
        <v>0</v>
      </c>
      <c r="P131" s="180">
        <v>0</v>
      </c>
      <c r="Q131" s="180">
        <v>0</v>
      </c>
      <c r="R131" s="180">
        <v>0</v>
      </c>
      <c r="S131" s="180">
        <v>0</v>
      </c>
      <c r="T131" s="180">
        <v>0</v>
      </c>
      <c r="U131" s="180">
        <v>0</v>
      </c>
      <c r="V131" s="180">
        <v>0</v>
      </c>
      <c r="W131" s="180">
        <v>0</v>
      </c>
      <c r="X131" s="180">
        <v>0</v>
      </c>
      <c r="Y131" s="180">
        <v>0</v>
      </c>
      <c r="Z131" s="180">
        <v>0</v>
      </c>
      <c r="AA131" s="180">
        <v>0</v>
      </c>
      <c r="AB131" s="180">
        <v>0</v>
      </c>
      <c r="AC131" s="180">
        <v>972</v>
      </c>
      <c r="AD131" s="180"/>
      <c r="AE131" s="180">
        <v>0</v>
      </c>
      <c r="AF131" s="180">
        <v>0</v>
      </c>
      <c r="AG131" s="180">
        <v>5345</v>
      </c>
      <c r="AH131" s="180">
        <v>0</v>
      </c>
      <c r="AI131" s="180">
        <v>0</v>
      </c>
      <c r="AJ131" s="180">
        <v>0</v>
      </c>
      <c r="AK131" s="180">
        <v>0</v>
      </c>
      <c r="AL131" s="180">
        <v>0</v>
      </c>
      <c r="AM131" s="180">
        <v>0</v>
      </c>
      <c r="AN131" s="180">
        <v>0</v>
      </c>
      <c r="AO131" s="180">
        <v>0</v>
      </c>
      <c r="AP131" s="180">
        <v>36</v>
      </c>
      <c r="AQ131" s="180">
        <v>0</v>
      </c>
      <c r="AR131" s="180">
        <v>0</v>
      </c>
      <c r="AS131" s="180">
        <v>0</v>
      </c>
      <c r="AT131" s="180">
        <v>0</v>
      </c>
      <c r="AU131" s="180">
        <v>0</v>
      </c>
      <c r="AV131" s="180">
        <v>0</v>
      </c>
      <c r="AW131" s="180">
        <v>0</v>
      </c>
      <c r="AX131" s="180">
        <v>0</v>
      </c>
      <c r="AY131" s="180">
        <v>0</v>
      </c>
      <c r="AZ131" s="180">
        <v>0</v>
      </c>
      <c r="BA131" s="180">
        <v>9091</v>
      </c>
      <c r="BB131" s="180">
        <v>0</v>
      </c>
      <c r="BC131" s="180">
        <v>347</v>
      </c>
      <c r="BD131" s="180">
        <v>0</v>
      </c>
      <c r="BE131" s="180">
        <v>0</v>
      </c>
      <c r="BF131" s="180">
        <v>0</v>
      </c>
      <c r="BG131" s="180">
        <v>0</v>
      </c>
      <c r="BH131" s="180">
        <v>364</v>
      </c>
      <c r="BI131" s="180">
        <v>0</v>
      </c>
      <c r="BJ131" s="180">
        <v>0</v>
      </c>
      <c r="BK131" s="180">
        <v>0</v>
      </c>
      <c r="BL131" s="180">
        <v>0</v>
      </c>
      <c r="BM131" s="180">
        <v>0</v>
      </c>
      <c r="BN131" s="180">
        <v>0</v>
      </c>
      <c r="BO131" s="180">
        <v>0</v>
      </c>
      <c r="BP131" s="180">
        <v>0</v>
      </c>
      <c r="BQ131" s="180">
        <v>0</v>
      </c>
      <c r="BR131" s="180">
        <v>0</v>
      </c>
      <c r="BS131" s="180">
        <v>3394</v>
      </c>
      <c r="BT131" s="180">
        <v>0</v>
      </c>
      <c r="BU131" s="180">
        <v>0</v>
      </c>
      <c r="BV131" s="180">
        <v>0</v>
      </c>
      <c r="BW131" s="180">
        <v>0</v>
      </c>
      <c r="BX131" s="180"/>
      <c r="BY131" s="180"/>
      <c r="BZ131" s="180">
        <v>0</v>
      </c>
      <c r="CA131" s="180">
        <v>0</v>
      </c>
      <c r="CB131" s="180"/>
      <c r="CC131" s="180">
        <v>0</v>
      </c>
      <c r="CD131" s="180">
        <v>0</v>
      </c>
      <c r="CE131" s="180">
        <v>6228</v>
      </c>
      <c r="CF131" s="180">
        <v>0</v>
      </c>
      <c r="CG131" s="180">
        <v>15</v>
      </c>
      <c r="CH131" s="180">
        <v>0</v>
      </c>
      <c r="CI131" s="180">
        <v>0</v>
      </c>
      <c r="CJ131" s="180">
        <v>0</v>
      </c>
      <c r="CK131" s="180">
        <v>153</v>
      </c>
      <c r="CL131" s="180">
        <v>0</v>
      </c>
      <c r="CM131" s="180">
        <v>0</v>
      </c>
      <c r="CN131" s="180">
        <v>0</v>
      </c>
      <c r="CO131" s="180">
        <v>0</v>
      </c>
      <c r="CP131" s="180">
        <v>0</v>
      </c>
      <c r="CQ131" s="180">
        <v>0</v>
      </c>
      <c r="CR131" s="180">
        <v>0</v>
      </c>
      <c r="CS131" s="180">
        <v>8391</v>
      </c>
      <c r="CT131" s="180"/>
      <c r="CU131" s="180"/>
    </row>
    <row r="132" spans="1:99" x14ac:dyDescent="0.3">
      <c r="A132" s="155">
        <v>532</v>
      </c>
      <c r="B132" s="180" t="s">
        <v>926</v>
      </c>
      <c r="C132" s="180"/>
      <c r="D132" s="180">
        <v>175998</v>
      </c>
      <c r="E132" s="180">
        <v>3573009</v>
      </c>
      <c r="F132" s="180">
        <v>3497837</v>
      </c>
      <c r="G132" s="180">
        <v>127109</v>
      </c>
      <c r="H132" s="180">
        <v>9850185</v>
      </c>
      <c r="I132" s="180">
        <v>1272367</v>
      </c>
      <c r="J132" s="180">
        <v>3621655</v>
      </c>
      <c r="K132" s="180"/>
      <c r="L132" s="180">
        <v>875743</v>
      </c>
      <c r="M132" s="180">
        <v>37135746</v>
      </c>
      <c r="N132" s="180"/>
      <c r="O132" s="180">
        <v>495322</v>
      </c>
      <c r="P132" s="180">
        <v>529869</v>
      </c>
      <c r="Q132" s="180">
        <v>1638262</v>
      </c>
      <c r="R132" s="180">
        <v>84549</v>
      </c>
      <c r="S132" s="180">
        <v>261281</v>
      </c>
      <c r="T132" s="180">
        <v>2229033</v>
      </c>
      <c r="U132" s="180">
        <v>1957164</v>
      </c>
      <c r="V132" s="180">
        <v>8440022</v>
      </c>
      <c r="W132" s="180">
        <v>11501011</v>
      </c>
      <c r="X132" s="180">
        <v>4306320</v>
      </c>
      <c r="Y132" s="180">
        <v>410510</v>
      </c>
      <c r="Z132" s="180">
        <v>3427573</v>
      </c>
      <c r="AA132" s="180">
        <v>2801476</v>
      </c>
      <c r="AB132" s="180">
        <v>40359</v>
      </c>
      <c r="AC132" s="180">
        <v>11189818</v>
      </c>
      <c r="AD132" s="180"/>
      <c r="AE132" s="180">
        <v>966079</v>
      </c>
      <c r="AF132" s="180">
        <v>324036</v>
      </c>
      <c r="AG132" s="180">
        <v>25557605</v>
      </c>
      <c r="AH132" s="180">
        <v>548222</v>
      </c>
      <c r="AI132" s="180">
        <v>3953076</v>
      </c>
      <c r="AJ132" s="180">
        <v>2409891</v>
      </c>
      <c r="AK132" s="180">
        <v>149556</v>
      </c>
      <c r="AL132" s="180">
        <v>1891776</v>
      </c>
      <c r="AM132" s="180">
        <v>6017376</v>
      </c>
      <c r="AN132" s="180">
        <v>3842273</v>
      </c>
      <c r="AO132" s="180">
        <v>1867589</v>
      </c>
      <c r="AP132" s="180">
        <v>215696</v>
      </c>
      <c r="AQ132" s="180">
        <v>346174</v>
      </c>
      <c r="AR132" s="180">
        <v>4757145</v>
      </c>
      <c r="AS132" s="180">
        <v>761215</v>
      </c>
      <c r="AT132" s="180">
        <v>112972</v>
      </c>
      <c r="AU132" s="180">
        <v>167036</v>
      </c>
      <c r="AV132" s="180">
        <v>1147492</v>
      </c>
      <c r="AW132" s="180">
        <v>101855</v>
      </c>
      <c r="AX132" s="180">
        <v>311730</v>
      </c>
      <c r="AY132" s="180">
        <v>5592265</v>
      </c>
      <c r="AZ132" s="180">
        <v>331182</v>
      </c>
      <c r="BA132" s="180">
        <v>52593355</v>
      </c>
      <c r="BB132" s="180">
        <v>2003820</v>
      </c>
      <c r="BC132" s="180">
        <v>4746479</v>
      </c>
      <c r="BD132" s="180">
        <v>1237817</v>
      </c>
      <c r="BE132" s="180">
        <v>1249180</v>
      </c>
      <c r="BF132" s="180">
        <v>1095722</v>
      </c>
      <c r="BG132" s="180">
        <v>204079</v>
      </c>
      <c r="BH132" s="180">
        <v>1130470</v>
      </c>
      <c r="BI132" s="180">
        <v>3022940</v>
      </c>
      <c r="BJ132" s="180">
        <v>14230017</v>
      </c>
      <c r="BK132" s="180">
        <v>283631</v>
      </c>
      <c r="BL132" s="180">
        <v>76624</v>
      </c>
      <c r="BM132" s="180">
        <v>12153655</v>
      </c>
      <c r="BN132" s="180">
        <v>17713464</v>
      </c>
      <c r="BO132" s="180">
        <v>4705053</v>
      </c>
      <c r="BP132" s="180">
        <v>100700</v>
      </c>
      <c r="BQ132" s="180">
        <v>2149301</v>
      </c>
      <c r="BR132" s="180">
        <v>1869513</v>
      </c>
      <c r="BS132" s="180">
        <v>14016665</v>
      </c>
      <c r="BT132" s="180">
        <v>750031</v>
      </c>
      <c r="BU132" s="180">
        <v>631448</v>
      </c>
      <c r="BV132" s="180">
        <v>2833612</v>
      </c>
      <c r="BW132" s="180">
        <v>4201321</v>
      </c>
      <c r="BX132" s="180"/>
      <c r="BY132" s="180"/>
      <c r="BZ132" s="180">
        <v>5542523</v>
      </c>
      <c r="CA132" s="180">
        <v>180540</v>
      </c>
      <c r="CB132" s="180"/>
      <c r="CC132" s="180">
        <v>6718385</v>
      </c>
      <c r="CD132" s="180">
        <v>115308447</v>
      </c>
      <c r="CE132" s="180">
        <v>57821813</v>
      </c>
      <c r="CF132" s="180">
        <v>2053582</v>
      </c>
      <c r="CG132" s="180">
        <v>2815498</v>
      </c>
      <c r="CH132" s="180">
        <v>744033</v>
      </c>
      <c r="CI132" s="180">
        <v>1931869</v>
      </c>
      <c r="CJ132" s="180">
        <v>206577101</v>
      </c>
      <c r="CK132" s="180">
        <v>9115861</v>
      </c>
      <c r="CL132" s="180">
        <v>510070</v>
      </c>
      <c r="CM132" s="180">
        <v>4085413</v>
      </c>
      <c r="CN132" s="180">
        <v>441802</v>
      </c>
      <c r="CO132" s="180">
        <v>11065672</v>
      </c>
      <c r="CP132" s="180">
        <v>2908433</v>
      </c>
      <c r="CQ132" s="180">
        <v>1122429</v>
      </c>
      <c r="CR132" s="180">
        <v>3372163</v>
      </c>
      <c r="CS132" s="180">
        <v>11550489</v>
      </c>
      <c r="CT132" s="180"/>
      <c r="CU132" s="180"/>
    </row>
    <row r="133" spans="1:99" x14ac:dyDescent="0.3">
      <c r="A133" s="155">
        <v>533</v>
      </c>
      <c r="B133" s="180" t="s">
        <v>927</v>
      </c>
      <c r="C133" s="180"/>
      <c r="D133" s="180">
        <v>0</v>
      </c>
      <c r="E133" s="180">
        <v>0</v>
      </c>
      <c r="F133" s="180">
        <v>0</v>
      </c>
      <c r="G133" s="180">
        <v>0</v>
      </c>
      <c r="H133" s="180">
        <v>0</v>
      </c>
      <c r="I133" s="180">
        <v>0</v>
      </c>
      <c r="J133" s="180">
        <v>0</v>
      </c>
      <c r="K133" s="180"/>
      <c r="L133" s="180">
        <v>0</v>
      </c>
      <c r="M133" s="180">
        <v>285889</v>
      </c>
      <c r="N133" s="180"/>
      <c r="O133" s="180">
        <v>250000</v>
      </c>
      <c r="P133" s="180">
        <v>0</v>
      </c>
      <c r="Q133" s="180">
        <v>0</v>
      </c>
      <c r="R133" s="180">
        <v>0</v>
      </c>
      <c r="S133" s="180">
        <v>0</v>
      </c>
      <c r="T133" s="180">
        <v>0</v>
      </c>
      <c r="U133" s="180">
        <v>0</v>
      </c>
      <c r="V133" s="180">
        <v>95051</v>
      </c>
      <c r="W133" s="180">
        <v>372232</v>
      </c>
      <c r="X133" s="180">
        <v>0</v>
      </c>
      <c r="Y133" s="180">
        <v>0</v>
      </c>
      <c r="Z133" s="180">
        <v>11267</v>
      </c>
      <c r="AA133" s="180">
        <v>0</v>
      </c>
      <c r="AB133" s="180">
        <v>0</v>
      </c>
      <c r="AC133" s="180">
        <v>0</v>
      </c>
      <c r="AD133" s="180"/>
      <c r="AE133" s="180">
        <v>0</v>
      </c>
      <c r="AF133" s="180">
        <v>0</v>
      </c>
      <c r="AG133" s="180">
        <v>1148341</v>
      </c>
      <c r="AH133" s="180">
        <v>0</v>
      </c>
      <c r="AI133" s="180">
        <v>450000</v>
      </c>
      <c r="AJ133" s="180">
        <v>0</v>
      </c>
      <c r="AK133" s="180">
        <v>0</v>
      </c>
      <c r="AL133" s="180">
        <v>0</v>
      </c>
      <c r="AM133" s="180">
        <v>712005</v>
      </c>
      <c r="AN133" s="180">
        <v>0</v>
      </c>
      <c r="AO133" s="180">
        <v>0</v>
      </c>
      <c r="AP133" s="180">
        <v>0</v>
      </c>
      <c r="AQ133" s="180">
        <v>0</v>
      </c>
      <c r="AR133" s="180">
        <v>214839</v>
      </c>
      <c r="AS133" s="180">
        <v>0</v>
      </c>
      <c r="AT133" s="180">
        <v>0</v>
      </c>
      <c r="AU133" s="180">
        <v>0</v>
      </c>
      <c r="AV133" s="180">
        <v>38272</v>
      </c>
      <c r="AW133" s="180">
        <v>0</v>
      </c>
      <c r="AX133" s="180">
        <v>0</v>
      </c>
      <c r="AY133" s="180">
        <v>615749</v>
      </c>
      <c r="AZ133" s="180">
        <v>0</v>
      </c>
      <c r="BA133" s="180">
        <v>2480148</v>
      </c>
      <c r="BB133" s="180">
        <v>0</v>
      </c>
      <c r="BC133" s="180">
        <v>0</v>
      </c>
      <c r="BD133" s="180">
        <v>0</v>
      </c>
      <c r="BE133" s="180">
        <v>0</v>
      </c>
      <c r="BF133" s="180">
        <v>0</v>
      </c>
      <c r="BG133" s="180">
        <v>0</v>
      </c>
      <c r="BH133" s="180">
        <v>0</v>
      </c>
      <c r="BI133" s="180">
        <v>0</v>
      </c>
      <c r="BJ133" s="180">
        <v>20411</v>
      </c>
      <c r="BK133" s="180">
        <v>0</v>
      </c>
      <c r="BL133" s="180">
        <v>0</v>
      </c>
      <c r="BM133" s="180">
        <v>273689</v>
      </c>
      <c r="BN133" s="180">
        <v>2901393</v>
      </c>
      <c r="BO133" s="180">
        <v>0</v>
      </c>
      <c r="BP133" s="180">
        <v>0</v>
      </c>
      <c r="BQ133" s="180">
        <v>0</v>
      </c>
      <c r="BR133" s="180">
        <v>245000</v>
      </c>
      <c r="BS133" s="180">
        <v>11300170</v>
      </c>
      <c r="BT133" s="180">
        <v>0</v>
      </c>
      <c r="BU133" s="180">
        <v>0</v>
      </c>
      <c r="BV133" s="180">
        <v>0</v>
      </c>
      <c r="BW133" s="180">
        <v>0</v>
      </c>
      <c r="BX133" s="180"/>
      <c r="BY133" s="180"/>
      <c r="BZ133" s="180">
        <v>0</v>
      </c>
      <c r="CA133" s="180">
        <v>0</v>
      </c>
      <c r="CB133" s="180"/>
      <c r="CC133" s="180">
        <v>0</v>
      </c>
      <c r="CD133" s="180">
        <v>1486493</v>
      </c>
      <c r="CE133" s="180">
        <v>2645488</v>
      </c>
      <c r="CF133" s="180">
        <v>0</v>
      </c>
      <c r="CG133" s="180">
        <v>0</v>
      </c>
      <c r="CH133" s="180">
        <v>0</v>
      </c>
      <c r="CI133" s="180">
        <v>0</v>
      </c>
      <c r="CJ133" s="180">
        <v>1881897</v>
      </c>
      <c r="CK133" s="180">
        <v>0</v>
      </c>
      <c r="CL133" s="180">
        <v>0</v>
      </c>
      <c r="CM133" s="180">
        <v>241378</v>
      </c>
      <c r="CN133" s="180">
        <v>10002</v>
      </c>
      <c r="CO133" s="180">
        <v>0</v>
      </c>
      <c r="CP133" s="180">
        <v>0</v>
      </c>
      <c r="CQ133" s="180">
        <v>0</v>
      </c>
      <c r="CR133" s="180">
        <v>892839</v>
      </c>
      <c r="CS133" s="180">
        <v>305000</v>
      </c>
      <c r="CT133" s="180"/>
      <c r="CU133" s="180"/>
    </row>
    <row r="134" spans="1:99" x14ac:dyDescent="0.3">
      <c r="A134" s="155">
        <v>535</v>
      </c>
      <c r="B134" s="180" t="s">
        <v>244</v>
      </c>
      <c r="C134" s="180"/>
      <c r="D134" s="180">
        <v>0</v>
      </c>
      <c r="E134" s="180">
        <v>0</v>
      </c>
      <c r="F134" s="180">
        <v>1</v>
      </c>
      <c r="G134" s="180">
        <v>0</v>
      </c>
      <c r="H134" s="180">
        <v>0</v>
      </c>
      <c r="I134" s="180">
        <v>0</v>
      </c>
      <c r="J134" s="180">
        <v>0</v>
      </c>
      <c r="K134" s="180"/>
      <c r="L134" s="180">
        <v>0</v>
      </c>
      <c r="M134" s="180">
        <v>4994650</v>
      </c>
      <c r="N134" s="180"/>
      <c r="O134" s="180">
        <v>0</v>
      </c>
      <c r="P134" s="180">
        <v>0</v>
      </c>
      <c r="Q134" s="180">
        <v>0</v>
      </c>
      <c r="R134" s="180">
        <v>0</v>
      </c>
      <c r="S134" s="180">
        <v>0</v>
      </c>
      <c r="T134" s="180">
        <v>0</v>
      </c>
      <c r="U134" s="180">
        <v>0</v>
      </c>
      <c r="V134" s="180">
        <v>0</v>
      </c>
      <c r="W134" s="180">
        <v>0</v>
      </c>
      <c r="X134" s="180">
        <v>0</v>
      </c>
      <c r="Y134" s="180">
        <v>0</v>
      </c>
      <c r="Z134" s="180">
        <v>0</v>
      </c>
      <c r="AA134" s="180">
        <v>0</v>
      </c>
      <c r="AB134" s="180">
        <v>0</v>
      </c>
      <c r="AC134" s="180">
        <v>0</v>
      </c>
      <c r="AD134" s="180"/>
      <c r="AE134" s="180">
        <v>0</v>
      </c>
      <c r="AF134" s="180">
        <v>0</v>
      </c>
      <c r="AG134" s="180">
        <v>4049626</v>
      </c>
      <c r="AH134" s="180">
        <v>0</v>
      </c>
      <c r="AI134" s="180">
        <v>0</v>
      </c>
      <c r="AJ134" s="180">
        <v>0</v>
      </c>
      <c r="AK134" s="180">
        <v>0</v>
      </c>
      <c r="AL134" s="180">
        <v>0</v>
      </c>
      <c r="AM134" s="180">
        <v>0</v>
      </c>
      <c r="AN134" s="180">
        <v>0</v>
      </c>
      <c r="AO134" s="180">
        <v>0</v>
      </c>
      <c r="AP134" s="180">
        <v>0</v>
      </c>
      <c r="AQ134" s="180">
        <v>0</v>
      </c>
      <c r="AR134" s="180">
        <v>0</v>
      </c>
      <c r="AS134" s="180">
        <v>0</v>
      </c>
      <c r="AT134" s="180">
        <v>0</v>
      </c>
      <c r="AU134" s="180">
        <v>0</v>
      </c>
      <c r="AV134" s="180">
        <v>0</v>
      </c>
      <c r="AW134" s="180">
        <v>0</v>
      </c>
      <c r="AX134" s="180">
        <v>0</v>
      </c>
      <c r="AY134" s="180">
        <v>83363</v>
      </c>
      <c r="AZ134" s="180">
        <v>0</v>
      </c>
      <c r="BA134" s="180">
        <v>0</v>
      </c>
      <c r="BB134" s="180">
        <v>0</v>
      </c>
      <c r="BC134" s="180">
        <v>0</v>
      </c>
      <c r="BD134" s="180">
        <v>0</v>
      </c>
      <c r="BE134" s="180">
        <v>0</v>
      </c>
      <c r="BF134" s="180">
        <v>0</v>
      </c>
      <c r="BG134" s="180">
        <v>0</v>
      </c>
      <c r="BH134" s="180">
        <v>0</v>
      </c>
      <c r="BI134" s="180">
        <v>0</v>
      </c>
      <c r="BJ134" s="180">
        <v>4839511</v>
      </c>
      <c r="BK134" s="180">
        <v>0</v>
      </c>
      <c r="BL134" s="180">
        <v>0</v>
      </c>
      <c r="BM134" s="180">
        <v>0</v>
      </c>
      <c r="BN134" s="180">
        <v>480294</v>
      </c>
      <c r="BO134" s="180">
        <v>0</v>
      </c>
      <c r="BP134" s="180">
        <v>0</v>
      </c>
      <c r="BQ134" s="180">
        <v>0</v>
      </c>
      <c r="BR134" s="180">
        <v>0</v>
      </c>
      <c r="BS134" s="180">
        <v>9366418</v>
      </c>
      <c r="BT134" s="180">
        <v>0</v>
      </c>
      <c r="BU134" s="180">
        <v>0</v>
      </c>
      <c r="BV134" s="180">
        <v>0</v>
      </c>
      <c r="BW134" s="180">
        <v>0</v>
      </c>
      <c r="BX134" s="180"/>
      <c r="BY134" s="180"/>
      <c r="BZ134" s="180">
        <v>0</v>
      </c>
      <c r="CA134" s="180">
        <v>0</v>
      </c>
      <c r="CB134" s="180"/>
      <c r="CC134" s="180">
        <v>0</v>
      </c>
      <c r="CD134" s="180">
        <v>57457691</v>
      </c>
      <c r="CE134" s="180">
        <v>194727</v>
      </c>
      <c r="CF134" s="180">
        <v>0</v>
      </c>
      <c r="CG134" s="180">
        <v>0</v>
      </c>
      <c r="CH134" s="180">
        <v>0</v>
      </c>
      <c r="CI134" s="180">
        <v>0</v>
      </c>
      <c r="CJ134" s="180">
        <v>43711378</v>
      </c>
      <c r="CK134" s="180">
        <v>105119</v>
      </c>
      <c r="CL134" s="180">
        <v>0</v>
      </c>
      <c r="CM134" s="180">
        <v>325057</v>
      </c>
      <c r="CN134" s="180">
        <v>0</v>
      </c>
      <c r="CO134" s="180">
        <v>0</v>
      </c>
      <c r="CP134" s="180">
        <v>0</v>
      </c>
      <c r="CQ134" s="180">
        <v>0</v>
      </c>
      <c r="CR134" s="180">
        <v>0</v>
      </c>
      <c r="CS134" s="180">
        <v>0</v>
      </c>
      <c r="CT134" s="180"/>
      <c r="CU134" s="180"/>
    </row>
    <row r="135" spans="1:99" x14ac:dyDescent="0.3">
      <c r="A135" s="155">
        <v>536</v>
      </c>
      <c r="B135" s="180" t="s">
        <v>190</v>
      </c>
      <c r="C135" s="180"/>
      <c r="D135" s="180">
        <v>74306</v>
      </c>
      <c r="E135" s="180">
        <v>995611</v>
      </c>
      <c r="F135" s="180">
        <v>135841</v>
      </c>
      <c r="G135" s="180">
        <v>209519</v>
      </c>
      <c r="H135" s="180">
        <v>732115</v>
      </c>
      <c r="I135" s="180">
        <v>6049</v>
      </c>
      <c r="J135" s="180">
        <v>496625</v>
      </c>
      <c r="K135" s="180"/>
      <c r="L135" s="180">
        <v>191723</v>
      </c>
      <c r="M135" s="180">
        <v>1269651</v>
      </c>
      <c r="N135" s="180"/>
      <c r="O135" s="180">
        <v>181622</v>
      </c>
      <c r="P135" s="180">
        <v>4313</v>
      </c>
      <c r="Q135" s="180">
        <v>377917</v>
      </c>
      <c r="R135" s="180">
        <v>62116</v>
      </c>
      <c r="S135" s="180">
        <v>43538</v>
      </c>
      <c r="T135" s="180">
        <v>0</v>
      </c>
      <c r="U135" s="180">
        <v>718469</v>
      </c>
      <c r="V135" s="180">
        <v>298095</v>
      </c>
      <c r="W135" s="180">
        <v>378067</v>
      </c>
      <c r="X135" s="180">
        <v>41880</v>
      </c>
      <c r="Y135" s="180">
        <v>0</v>
      </c>
      <c r="Z135" s="180">
        <v>780878</v>
      </c>
      <c r="AA135" s="180">
        <v>0</v>
      </c>
      <c r="AB135" s="180">
        <v>34623</v>
      </c>
      <c r="AC135" s="180">
        <v>871235</v>
      </c>
      <c r="AD135" s="180"/>
      <c r="AE135" s="180">
        <v>172723</v>
      </c>
      <c r="AF135" s="180">
        <v>69475</v>
      </c>
      <c r="AG135" s="180">
        <v>1786524</v>
      </c>
      <c r="AH135" s="180">
        <v>672906</v>
      </c>
      <c r="AI135" s="180">
        <v>24264</v>
      </c>
      <c r="AJ135" s="180">
        <v>886202</v>
      </c>
      <c r="AK135" s="180">
        <v>54064</v>
      </c>
      <c r="AL135" s="180">
        <v>637191</v>
      </c>
      <c r="AM135" s="180">
        <v>585466</v>
      </c>
      <c r="AN135" s="180">
        <v>612357</v>
      </c>
      <c r="AO135" s="180">
        <v>126225</v>
      </c>
      <c r="AP135" s="180">
        <v>148660</v>
      </c>
      <c r="AQ135" s="180">
        <v>0</v>
      </c>
      <c r="AR135" s="180">
        <v>213384</v>
      </c>
      <c r="AS135" s="180">
        <v>0</v>
      </c>
      <c r="AT135" s="180">
        <v>95731</v>
      </c>
      <c r="AU135" s="180">
        <v>143012</v>
      </c>
      <c r="AV135" s="180">
        <v>107108</v>
      </c>
      <c r="AW135" s="180">
        <v>107582</v>
      </c>
      <c r="AX135" s="180">
        <v>144848</v>
      </c>
      <c r="AY135" s="180">
        <v>167245</v>
      </c>
      <c r="AZ135" s="180">
        <v>118087</v>
      </c>
      <c r="BA135" s="180">
        <v>1090031</v>
      </c>
      <c r="BB135" s="180">
        <v>186835</v>
      </c>
      <c r="BC135" s="180">
        <v>17044</v>
      </c>
      <c r="BD135" s="180">
        <v>0</v>
      </c>
      <c r="BE135" s="180">
        <v>218190</v>
      </c>
      <c r="BF135" s="180">
        <v>77791</v>
      </c>
      <c r="BG135" s="180">
        <v>29476</v>
      </c>
      <c r="BH135" s="180">
        <v>14730</v>
      </c>
      <c r="BI135" s="180">
        <v>77312</v>
      </c>
      <c r="BJ135" s="180">
        <v>4233</v>
      </c>
      <c r="BK135" s="180">
        <v>86125</v>
      </c>
      <c r="BL135" s="180">
        <v>27773</v>
      </c>
      <c r="BM135" s="180">
        <v>1440379</v>
      </c>
      <c r="BN135" s="180">
        <v>907015</v>
      </c>
      <c r="BO135" s="180">
        <v>297923</v>
      </c>
      <c r="BP135" s="180">
        <v>0</v>
      </c>
      <c r="BQ135" s="180">
        <v>75002</v>
      </c>
      <c r="BR135" s="180">
        <v>120000</v>
      </c>
      <c r="BS135" s="180">
        <v>11680091</v>
      </c>
      <c r="BT135" s="180">
        <v>0</v>
      </c>
      <c r="BU135" s="180">
        <v>50817</v>
      </c>
      <c r="BV135" s="180">
        <v>688928</v>
      </c>
      <c r="BW135" s="180">
        <v>0</v>
      </c>
      <c r="BX135" s="180"/>
      <c r="BY135" s="180"/>
      <c r="BZ135" s="180">
        <v>102772</v>
      </c>
      <c r="CA135" s="180">
        <v>0</v>
      </c>
      <c r="CB135" s="180"/>
      <c r="CC135" s="180">
        <v>698917</v>
      </c>
      <c r="CD135" s="180">
        <v>0</v>
      </c>
      <c r="CE135" s="180">
        <v>1249029</v>
      </c>
      <c r="CF135" s="180">
        <v>177538</v>
      </c>
      <c r="CG135" s="180">
        <v>0</v>
      </c>
      <c r="CH135" s="180">
        <v>45079</v>
      </c>
      <c r="CI135" s="180">
        <v>392476</v>
      </c>
      <c r="CJ135" s="180">
        <v>0</v>
      </c>
      <c r="CK135" s="180">
        <v>1771443</v>
      </c>
      <c r="CL135" s="180">
        <v>98594</v>
      </c>
      <c r="CM135" s="180">
        <v>717357</v>
      </c>
      <c r="CN135" s="180">
        <v>120033</v>
      </c>
      <c r="CO135" s="180">
        <v>247304</v>
      </c>
      <c r="CP135" s="180">
        <v>65269</v>
      </c>
      <c r="CQ135" s="180">
        <v>331203</v>
      </c>
      <c r="CR135" s="180">
        <v>14947</v>
      </c>
      <c r="CS135" s="180">
        <v>3746738</v>
      </c>
      <c r="CT135" s="180"/>
      <c r="CU135" s="180"/>
    </row>
    <row r="136" spans="1:99" x14ac:dyDescent="0.3">
      <c r="A136" s="155">
        <v>537</v>
      </c>
      <c r="B136" s="180" t="s">
        <v>280</v>
      </c>
      <c r="C136" s="180"/>
      <c r="D136" s="180">
        <v>0</v>
      </c>
      <c r="E136" s="180">
        <v>2</v>
      </c>
      <c r="F136" s="180">
        <v>2</v>
      </c>
      <c r="G136" s="180">
        <v>0</v>
      </c>
      <c r="H136" s="180">
        <v>2</v>
      </c>
      <c r="I136" s="180">
        <v>1</v>
      </c>
      <c r="J136" s="180">
        <v>2</v>
      </c>
      <c r="K136" s="180"/>
      <c r="L136" s="180">
        <v>1</v>
      </c>
      <c r="M136" s="180">
        <v>2</v>
      </c>
      <c r="N136" s="180"/>
      <c r="O136" s="180">
        <v>0</v>
      </c>
      <c r="P136" s="180">
        <v>2</v>
      </c>
      <c r="Q136" s="180">
        <v>2</v>
      </c>
      <c r="R136" s="180">
        <v>0</v>
      </c>
      <c r="S136" s="180">
        <v>2</v>
      </c>
      <c r="T136" s="180">
        <v>0</v>
      </c>
      <c r="U136" s="180">
        <v>2</v>
      </c>
      <c r="V136" s="180">
        <v>0</v>
      </c>
      <c r="W136" s="180">
        <v>0</v>
      </c>
      <c r="X136" s="180">
        <v>0</v>
      </c>
      <c r="Y136" s="180">
        <v>2</v>
      </c>
      <c r="Z136" s="180">
        <v>0</v>
      </c>
      <c r="AA136" s="180">
        <v>1</v>
      </c>
      <c r="AB136" s="180">
        <v>2</v>
      </c>
      <c r="AC136" s="180">
        <v>2</v>
      </c>
      <c r="AD136" s="180"/>
      <c r="AE136" s="180">
        <v>1</v>
      </c>
      <c r="AF136" s="180">
        <v>1</v>
      </c>
      <c r="AG136" s="180">
        <v>1</v>
      </c>
      <c r="AH136" s="180">
        <v>0</v>
      </c>
      <c r="AI136" s="180">
        <v>2</v>
      </c>
      <c r="AJ136" s="180">
        <v>0</v>
      </c>
      <c r="AK136" s="180">
        <v>1</v>
      </c>
      <c r="AL136" s="180">
        <v>2</v>
      </c>
      <c r="AM136" s="180">
        <v>1</v>
      </c>
      <c r="AN136" s="180">
        <v>2</v>
      </c>
      <c r="AO136" s="180">
        <v>1</v>
      </c>
      <c r="AP136" s="180">
        <v>1</v>
      </c>
      <c r="AQ136" s="180">
        <v>0</v>
      </c>
      <c r="AR136" s="180">
        <v>1</v>
      </c>
      <c r="AS136" s="180">
        <v>1</v>
      </c>
      <c r="AT136" s="180">
        <v>0</v>
      </c>
      <c r="AU136" s="180">
        <v>2</v>
      </c>
      <c r="AV136" s="180">
        <v>0</v>
      </c>
      <c r="AW136" s="180">
        <v>0</v>
      </c>
      <c r="AX136" s="180">
        <v>2</v>
      </c>
      <c r="AY136" s="180">
        <v>2</v>
      </c>
      <c r="AZ136" s="180">
        <v>2</v>
      </c>
      <c r="BA136" s="180">
        <v>0</v>
      </c>
      <c r="BB136" s="180">
        <v>2</v>
      </c>
      <c r="BC136" s="180">
        <v>2</v>
      </c>
      <c r="BD136" s="180">
        <v>2</v>
      </c>
      <c r="BE136" s="180">
        <v>2</v>
      </c>
      <c r="BF136" s="180">
        <v>2</v>
      </c>
      <c r="BG136" s="180">
        <v>1</v>
      </c>
      <c r="BH136" s="180">
        <v>2</v>
      </c>
      <c r="BI136" s="180">
        <v>2</v>
      </c>
      <c r="BJ136" s="180">
        <v>1</v>
      </c>
      <c r="BK136" s="180">
        <v>0</v>
      </c>
      <c r="BL136" s="180">
        <v>2</v>
      </c>
      <c r="BM136" s="180">
        <v>0</v>
      </c>
      <c r="BN136" s="180">
        <v>1</v>
      </c>
      <c r="BO136" s="180">
        <v>1</v>
      </c>
      <c r="BP136" s="180">
        <v>0</v>
      </c>
      <c r="BQ136" s="180">
        <v>0</v>
      </c>
      <c r="BR136" s="180">
        <v>2</v>
      </c>
      <c r="BS136" s="180">
        <v>2</v>
      </c>
      <c r="BT136" s="180">
        <v>0</v>
      </c>
      <c r="BU136" s="180">
        <v>0</v>
      </c>
      <c r="BV136" s="180">
        <v>2</v>
      </c>
      <c r="BW136" s="180">
        <v>0</v>
      </c>
      <c r="BX136" s="180"/>
      <c r="BY136" s="180"/>
      <c r="BZ136" s="180">
        <v>1</v>
      </c>
      <c r="CA136" s="180">
        <v>2</v>
      </c>
      <c r="CB136" s="180"/>
      <c r="CC136" s="180">
        <v>2</v>
      </c>
      <c r="CD136" s="180">
        <v>0</v>
      </c>
      <c r="CE136" s="180">
        <v>1</v>
      </c>
      <c r="CF136" s="180">
        <v>2</v>
      </c>
      <c r="CG136" s="180">
        <v>1</v>
      </c>
      <c r="CH136" s="180">
        <v>2</v>
      </c>
      <c r="CI136" s="180">
        <v>1</v>
      </c>
      <c r="CJ136" s="180">
        <v>1</v>
      </c>
      <c r="CK136" s="180">
        <v>1</v>
      </c>
      <c r="CL136" s="180">
        <v>1</v>
      </c>
      <c r="CM136" s="180">
        <v>2</v>
      </c>
      <c r="CN136" s="180">
        <v>2</v>
      </c>
      <c r="CO136" s="180">
        <v>2</v>
      </c>
      <c r="CP136" s="180">
        <v>2</v>
      </c>
      <c r="CQ136" s="180">
        <v>2</v>
      </c>
      <c r="CR136" s="180">
        <v>0</v>
      </c>
      <c r="CS136" s="180">
        <v>0</v>
      </c>
      <c r="CT136" s="180"/>
      <c r="CU136" s="180"/>
    </row>
    <row r="137" spans="1:99" x14ac:dyDescent="0.3">
      <c r="A137" s="155">
        <v>538</v>
      </c>
      <c r="B137" s="180" t="s">
        <v>279</v>
      </c>
      <c r="C137" s="180"/>
      <c r="D137" s="180">
        <v>0</v>
      </c>
      <c r="E137" s="180">
        <v>2</v>
      </c>
      <c r="F137" s="180">
        <v>1</v>
      </c>
      <c r="G137" s="180">
        <v>0</v>
      </c>
      <c r="H137" s="180">
        <v>2</v>
      </c>
      <c r="I137" s="180">
        <v>2</v>
      </c>
      <c r="J137" s="180">
        <v>2</v>
      </c>
      <c r="K137" s="180"/>
      <c r="L137" s="180">
        <v>2</v>
      </c>
      <c r="M137" s="180">
        <v>2</v>
      </c>
      <c r="N137" s="180"/>
      <c r="O137" s="180">
        <v>0</v>
      </c>
      <c r="P137" s="180">
        <v>2</v>
      </c>
      <c r="Q137" s="180">
        <v>2</v>
      </c>
      <c r="R137" s="180">
        <v>0</v>
      </c>
      <c r="S137" s="180">
        <v>2</v>
      </c>
      <c r="T137" s="180">
        <v>0</v>
      </c>
      <c r="U137" s="180">
        <v>2</v>
      </c>
      <c r="V137" s="180">
        <v>0</v>
      </c>
      <c r="W137" s="180">
        <v>2</v>
      </c>
      <c r="X137" s="180">
        <v>0</v>
      </c>
      <c r="Y137" s="180">
        <v>2</v>
      </c>
      <c r="Z137" s="180">
        <v>0</v>
      </c>
      <c r="AA137" s="180">
        <v>2</v>
      </c>
      <c r="AB137" s="180">
        <v>2</v>
      </c>
      <c r="AC137" s="180">
        <v>1</v>
      </c>
      <c r="AD137" s="180"/>
      <c r="AE137" s="180">
        <v>2</v>
      </c>
      <c r="AF137" s="180">
        <v>1</v>
      </c>
      <c r="AG137" s="180">
        <v>1</v>
      </c>
      <c r="AH137" s="180">
        <v>0</v>
      </c>
      <c r="AI137" s="180">
        <v>2</v>
      </c>
      <c r="AJ137" s="180">
        <v>0</v>
      </c>
      <c r="AK137" s="180">
        <v>2</v>
      </c>
      <c r="AL137" s="180">
        <v>2</v>
      </c>
      <c r="AM137" s="180">
        <v>2</v>
      </c>
      <c r="AN137" s="180">
        <v>2</v>
      </c>
      <c r="AO137" s="180">
        <v>1</v>
      </c>
      <c r="AP137" s="180">
        <v>2</v>
      </c>
      <c r="AQ137" s="180">
        <v>0</v>
      </c>
      <c r="AR137" s="180">
        <v>2</v>
      </c>
      <c r="AS137" s="180">
        <v>2</v>
      </c>
      <c r="AT137" s="180">
        <v>0</v>
      </c>
      <c r="AU137" s="180">
        <v>2</v>
      </c>
      <c r="AV137" s="180">
        <v>0</v>
      </c>
      <c r="AW137" s="180">
        <v>0</v>
      </c>
      <c r="AX137" s="180">
        <v>2</v>
      </c>
      <c r="AY137" s="180">
        <v>2</v>
      </c>
      <c r="AZ137" s="180">
        <v>2</v>
      </c>
      <c r="BA137" s="180">
        <v>0</v>
      </c>
      <c r="BB137" s="180">
        <v>2</v>
      </c>
      <c r="BC137" s="180">
        <v>2</v>
      </c>
      <c r="BD137" s="180">
        <v>2</v>
      </c>
      <c r="BE137" s="180">
        <v>2</v>
      </c>
      <c r="BF137" s="180">
        <v>2</v>
      </c>
      <c r="BG137" s="180">
        <v>2</v>
      </c>
      <c r="BH137" s="180">
        <v>1</v>
      </c>
      <c r="BI137" s="180">
        <v>2</v>
      </c>
      <c r="BJ137" s="180">
        <v>1</v>
      </c>
      <c r="BK137" s="180">
        <v>0</v>
      </c>
      <c r="BL137" s="180">
        <v>2</v>
      </c>
      <c r="BM137" s="180">
        <v>0</v>
      </c>
      <c r="BN137" s="180">
        <v>1</v>
      </c>
      <c r="BO137" s="180">
        <v>1</v>
      </c>
      <c r="BP137" s="180">
        <v>0</v>
      </c>
      <c r="BQ137" s="180">
        <v>0</v>
      </c>
      <c r="BR137" s="180">
        <v>1</v>
      </c>
      <c r="BS137" s="180">
        <v>2</v>
      </c>
      <c r="BT137" s="180">
        <v>0</v>
      </c>
      <c r="BU137" s="180">
        <v>0</v>
      </c>
      <c r="BV137" s="180">
        <v>1</v>
      </c>
      <c r="BW137" s="180">
        <v>0</v>
      </c>
      <c r="BX137" s="180"/>
      <c r="BY137" s="180"/>
      <c r="BZ137" s="180">
        <v>2</v>
      </c>
      <c r="CA137" s="180">
        <v>2</v>
      </c>
      <c r="CB137" s="180"/>
      <c r="CC137" s="180">
        <v>1</v>
      </c>
      <c r="CD137" s="180">
        <v>0</v>
      </c>
      <c r="CE137" s="180">
        <v>1</v>
      </c>
      <c r="CF137" s="180">
        <v>2</v>
      </c>
      <c r="CG137" s="180">
        <v>1</v>
      </c>
      <c r="CH137" s="180">
        <v>2</v>
      </c>
      <c r="CI137" s="180">
        <v>1</v>
      </c>
      <c r="CJ137" s="180">
        <v>1</v>
      </c>
      <c r="CK137" s="180">
        <v>2</v>
      </c>
      <c r="CL137" s="180">
        <v>2</v>
      </c>
      <c r="CM137" s="180">
        <v>2</v>
      </c>
      <c r="CN137" s="180">
        <v>2</v>
      </c>
      <c r="CO137" s="180">
        <v>1</v>
      </c>
      <c r="CP137" s="180">
        <v>2</v>
      </c>
      <c r="CQ137" s="180">
        <v>2</v>
      </c>
      <c r="CR137" s="180">
        <v>0</v>
      </c>
      <c r="CS137" s="180">
        <v>0</v>
      </c>
      <c r="CT137" s="180"/>
      <c r="CU137" s="180"/>
    </row>
    <row r="138" spans="1:99" x14ac:dyDescent="0.3">
      <c r="A138" s="155">
        <v>540</v>
      </c>
      <c r="B138" s="180" t="s">
        <v>253</v>
      </c>
      <c r="C138" s="180"/>
      <c r="D138" s="180">
        <v>0</v>
      </c>
      <c r="E138" s="180">
        <v>0</v>
      </c>
      <c r="F138" s="180">
        <v>0</v>
      </c>
      <c r="G138" s="180">
        <v>100000</v>
      </c>
      <c r="H138" s="180">
        <v>208200</v>
      </c>
      <c r="I138" s="180">
        <v>250423</v>
      </c>
      <c r="J138" s="180">
        <v>254946</v>
      </c>
      <c r="K138" s="180"/>
      <c r="L138" s="180">
        <v>228949</v>
      </c>
      <c r="M138" s="180">
        <v>3943440</v>
      </c>
      <c r="N138" s="180"/>
      <c r="O138" s="180">
        <v>62709</v>
      </c>
      <c r="P138" s="180">
        <v>0</v>
      </c>
      <c r="Q138" s="180">
        <v>0</v>
      </c>
      <c r="R138" s="180">
        <v>1785</v>
      </c>
      <c r="S138" s="180">
        <v>0</v>
      </c>
      <c r="T138" s="180">
        <v>294334</v>
      </c>
      <c r="U138" s="180">
        <v>0</v>
      </c>
      <c r="V138" s="180">
        <v>0</v>
      </c>
      <c r="W138" s="180">
        <v>0</v>
      </c>
      <c r="X138" s="180">
        <v>0</v>
      </c>
      <c r="Y138" s="180">
        <v>0</v>
      </c>
      <c r="Z138" s="180">
        <v>10000</v>
      </c>
      <c r="AA138" s="180">
        <v>170000</v>
      </c>
      <c r="AB138" s="180">
        <v>0</v>
      </c>
      <c r="AC138" s="180">
        <v>636429</v>
      </c>
      <c r="AD138" s="180"/>
      <c r="AE138" s="180">
        <v>0</v>
      </c>
      <c r="AF138" s="180">
        <v>0</v>
      </c>
      <c r="AG138" s="180">
        <v>194256</v>
      </c>
      <c r="AH138" s="180">
        <v>213574</v>
      </c>
      <c r="AI138" s="180">
        <v>678000</v>
      </c>
      <c r="AJ138" s="180">
        <v>231606</v>
      </c>
      <c r="AK138" s="180">
        <v>95382</v>
      </c>
      <c r="AL138" s="180">
        <v>450180</v>
      </c>
      <c r="AM138" s="180">
        <v>0</v>
      </c>
      <c r="AN138" s="180">
        <v>0</v>
      </c>
      <c r="AO138" s="180">
        <v>15460</v>
      </c>
      <c r="AP138" s="180">
        <v>0</v>
      </c>
      <c r="AQ138" s="180">
        <v>0</v>
      </c>
      <c r="AR138" s="180">
        <v>150653</v>
      </c>
      <c r="AS138" s="180">
        <v>0</v>
      </c>
      <c r="AT138" s="180">
        <v>70872</v>
      </c>
      <c r="AU138" s="180">
        <v>204490</v>
      </c>
      <c r="AV138" s="180">
        <v>0</v>
      </c>
      <c r="AW138" s="180">
        <v>0</v>
      </c>
      <c r="AX138" s="180">
        <v>0</v>
      </c>
      <c r="AY138" s="180">
        <v>536376</v>
      </c>
      <c r="AZ138" s="180">
        <v>0</v>
      </c>
      <c r="BA138" s="180">
        <v>1777205</v>
      </c>
      <c r="BB138" s="180">
        <v>0</v>
      </c>
      <c r="BC138" s="180">
        <v>0</v>
      </c>
      <c r="BD138" s="180">
        <v>0</v>
      </c>
      <c r="BE138" s="180">
        <v>0</v>
      </c>
      <c r="BF138" s="180">
        <v>0</v>
      </c>
      <c r="BG138" s="180">
        <v>0</v>
      </c>
      <c r="BH138" s="180">
        <v>10291</v>
      </c>
      <c r="BI138" s="180">
        <v>0</v>
      </c>
      <c r="BJ138" s="180">
        <v>1502800</v>
      </c>
      <c r="BK138" s="180">
        <v>15013</v>
      </c>
      <c r="BL138" s="180">
        <v>0</v>
      </c>
      <c r="BM138" s="180">
        <v>0</v>
      </c>
      <c r="BN138" s="180">
        <v>955989</v>
      </c>
      <c r="BO138" s="180">
        <v>120464</v>
      </c>
      <c r="BP138" s="180">
        <v>0</v>
      </c>
      <c r="BQ138" s="180">
        <v>0</v>
      </c>
      <c r="BR138" s="180">
        <v>303235</v>
      </c>
      <c r="BS138" s="180">
        <v>0</v>
      </c>
      <c r="BT138" s="180">
        <v>0</v>
      </c>
      <c r="BU138" s="180">
        <v>0</v>
      </c>
      <c r="BV138" s="180">
        <v>125000</v>
      </c>
      <c r="BW138" s="180">
        <v>0</v>
      </c>
      <c r="BX138" s="180"/>
      <c r="BY138" s="180"/>
      <c r="BZ138" s="180">
        <v>0</v>
      </c>
      <c r="CA138" s="180">
        <v>0</v>
      </c>
      <c r="CB138" s="180"/>
      <c r="CC138" s="180">
        <v>0</v>
      </c>
      <c r="CD138" s="180">
        <v>0</v>
      </c>
      <c r="CE138" s="180">
        <v>3896420</v>
      </c>
      <c r="CF138" s="180">
        <v>0</v>
      </c>
      <c r="CG138" s="180">
        <v>0</v>
      </c>
      <c r="CH138" s="180">
        <v>0</v>
      </c>
      <c r="CI138" s="180">
        <v>0</v>
      </c>
      <c r="CJ138" s="180">
        <v>6085330</v>
      </c>
      <c r="CK138" s="180">
        <v>507102</v>
      </c>
      <c r="CL138" s="180">
        <v>0</v>
      </c>
      <c r="CM138" s="180">
        <v>0</v>
      </c>
      <c r="CN138" s="180">
        <v>0</v>
      </c>
      <c r="CO138" s="180">
        <v>410765</v>
      </c>
      <c r="CP138" s="180">
        <v>0</v>
      </c>
      <c r="CQ138" s="180">
        <v>0</v>
      </c>
      <c r="CR138" s="180">
        <v>0</v>
      </c>
      <c r="CS138" s="180">
        <v>0</v>
      </c>
      <c r="CT138" s="180"/>
      <c r="CU138" s="180"/>
    </row>
    <row r="139" spans="1:99" x14ac:dyDescent="0.3">
      <c r="A139" s="155">
        <v>541</v>
      </c>
      <c r="B139" s="180" t="s">
        <v>310</v>
      </c>
      <c r="C139" s="180"/>
      <c r="D139" s="180">
        <v>0</v>
      </c>
      <c r="E139" s="180">
        <v>0</v>
      </c>
      <c r="F139" s="180">
        <v>180985</v>
      </c>
      <c r="G139" s="180">
        <v>0</v>
      </c>
      <c r="H139" s="180">
        <v>0</v>
      </c>
      <c r="I139" s="180">
        <v>250852</v>
      </c>
      <c r="J139" s="180">
        <v>278464</v>
      </c>
      <c r="K139" s="180"/>
      <c r="L139" s="180">
        <v>58894</v>
      </c>
      <c r="M139" s="180">
        <v>4087168</v>
      </c>
      <c r="N139" s="180"/>
      <c r="O139" s="180">
        <v>0</v>
      </c>
      <c r="P139" s="180">
        <v>0</v>
      </c>
      <c r="Q139" s="180">
        <v>28226</v>
      </c>
      <c r="R139" s="180">
        <v>0</v>
      </c>
      <c r="S139" s="180">
        <v>-67039</v>
      </c>
      <c r="T139" s="180">
        <v>0</v>
      </c>
      <c r="U139" s="180">
        <v>0</v>
      </c>
      <c r="V139" s="180">
        <v>0</v>
      </c>
      <c r="W139" s="180">
        <v>1167352</v>
      </c>
      <c r="X139" s="180">
        <v>0</v>
      </c>
      <c r="Y139" s="180">
        <v>570230</v>
      </c>
      <c r="Z139" s="180">
        <v>0</v>
      </c>
      <c r="AA139" s="180">
        <v>247587</v>
      </c>
      <c r="AB139" s="180">
        <v>0</v>
      </c>
      <c r="AC139" s="180">
        <v>57900</v>
      </c>
      <c r="AD139" s="180"/>
      <c r="AE139" s="180">
        <v>46060</v>
      </c>
      <c r="AF139" s="180">
        <v>133135</v>
      </c>
      <c r="AG139" s="180">
        <v>1257901</v>
      </c>
      <c r="AH139" s="180">
        <v>0</v>
      </c>
      <c r="AI139" s="180">
        <v>-25396</v>
      </c>
      <c r="AJ139" s="180">
        <v>0</v>
      </c>
      <c r="AK139" s="180">
        <v>18099</v>
      </c>
      <c r="AL139" s="180">
        <v>-925720</v>
      </c>
      <c r="AM139" s="180">
        <v>640500</v>
      </c>
      <c r="AN139" s="180">
        <v>47608</v>
      </c>
      <c r="AO139" s="180">
        <v>102322</v>
      </c>
      <c r="AP139" s="180">
        <v>10537</v>
      </c>
      <c r="AQ139" s="180">
        <v>0</v>
      </c>
      <c r="AR139" s="180">
        <v>753452</v>
      </c>
      <c r="AS139" s="180">
        <v>83171</v>
      </c>
      <c r="AT139" s="180">
        <v>0</v>
      </c>
      <c r="AU139" s="180">
        <v>0</v>
      </c>
      <c r="AV139" s="180">
        <v>0</v>
      </c>
      <c r="AW139" s="180">
        <v>0</v>
      </c>
      <c r="AX139" s="180">
        <v>-3503</v>
      </c>
      <c r="AY139" s="180">
        <v>425068</v>
      </c>
      <c r="AZ139" s="180">
        <v>36258</v>
      </c>
      <c r="BA139" s="180">
        <v>0</v>
      </c>
      <c r="BB139" s="180">
        <v>0</v>
      </c>
      <c r="BC139" s="180">
        <v>-405370</v>
      </c>
      <c r="BD139" s="180">
        <v>0</v>
      </c>
      <c r="BE139" s="180">
        <v>-188615</v>
      </c>
      <c r="BF139" s="180">
        <v>34136</v>
      </c>
      <c r="BG139" s="180">
        <v>-86873</v>
      </c>
      <c r="BH139" s="180">
        <v>44513</v>
      </c>
      <c r="BI139" s="180">
        <v>234285</v>
      </c>
      <c r="BJ139" s="180">
        <v>1027929</v>
      </c>
      <c r="BK139" s="180">
        <v>0</v>
      </c>
      <c r="BL139" s="180">
        <v>0</v>
      </c>
      <c r="BM139" s="180">
        <v>0</v>
      </c>
      <c r="BN139" s="180">
        <v>1280001</v>
      </c>
      <c r="BO139" s="180">
        <v>836424</v>
      </c>
      <c r="BP139" s="180">
        <v>0</v>
      </c>
      <c r="BQ139" s="180">
        <v>0</v>
      </c>
      <c r="BR139" s="180">
        <v>180944</v>
      </c>
      <c r="BS139" s="180">
        <v>0</v>
      </c>
      <c r="BT139" s="180">
        <v>0</v>
      </c>
      <c r="BU139" s="180">
        <v>0</v>
      </c>
      <c r="BV139" s="180">
        <v>169280</v>
      </c>
      <c r="BW139" s="180">
        <v>0</v>
      </c>
      <c r="BX139" s="180"/>
      <c r="BY139" s="180"/>
      <c r="BZ139" s="180">
        <v>217753</v>
      </c>
      <c r="CA139" s="180">
        <v>7142</v>
      </c>
      <c r="CB139" s="180"/>
      <c r="CC139" s="180">
        <v>247647</v>
      </c>
      <c r="CD139" s="180">
        <v>0</v>
      </c>
      <c r="CE139" s="180">
        <v>6843458</v>
      </c>
      <c r="CF139" s="180">
        <v>37923</v>
      </c>
      <c r="CG139" s="180">
        <v>-4064</v>
      </c>
      <c r="CH139" s="180">
        <v>13198</v>
      </c>
      <c r="CI139" s="180">
        <v>322782</v>
      </c>
      <c r="CJ139" s="180">
        <v>25249143</v>
      </c>
      <c r="CK139" s="180">
        <v>240017</v>
      </c>
      <c r="CL139" s="180">
        <v>-107809</v>
      </c>
      <c r="CM139" s="180">
        <v>0</v>
      </c>
      <c r="CN139" s="180">
        <v>42383</v>
      </c>
      <c r="CO139" s="180">
        <v>1315485</v>
      </c>
      <c r="CP139" s="180">
        <v>74253</v>
      </c>
      <c r="CQ139" s="180">
        <v>-161939</v>
      </c>
      <c r="CR139" s="180">
        <v>0</v>
      </c>
      <c r="CS139" s="180">
        <v>0</v>
      </c>
      <c r="CT139" s="180"/>
      <c r="CU139" s="180"/>
    </row>
    <row r="140" spans="1:99" x14ac:dyDescent="0.3">
      <c r="A140" s="155">
        <v>542</v>
      </c>
      <c r="B140" s="180" t="s">
        <v>929</v>
      </c>
      <c r="C140" s="180"/>
      <c r="D140" s="180">
        <v>0</v>
      </c>
      <c r="E140" s="180">
        <v>0</v>
      </c>
      <c r="F140" s="180">
        <v>0</v>
      </c>
      <c r="G140" s="180">
        <v>0</v>
      </c>
      <c r="H140" s="180">
        <v>0</v>
      </c>
      <c r="I140" s="180">
        <v>0</v>
      </c>
      <c r="J140" s="180">
        <v>0</v>
      </c>
      <c r="K140" s="180"/>
      <c r="L140" s="180">
        <v>44705</v>
      </c>
      <c r="M140" s="180">
        <v>0</v>
      </c>
      <c r="N140" s="180"/>
      <c r="O140" s="180">
        <v>0</v>
      </c>
      <c r="P140" s="180">
        <v>0</v>
      </c>
      <c r="Q140" s="180">
        <v>0</v>
      </c>
      <c r="R140" s="180">
        <v>0</v>
      </c>
      <c r="S140" s="180">
        <v>0</v>
      </c>
      <c r="T140" s="180">
        <v>0</v>
      </c>
      <c r="U140" s="180">
        <v>0</v>
      </c>
      <c r="V140" s="180">
        <v>0</v>
      </c>
      <c r="W140" s="180">
        <v>0</v>
      </c>
      <c r="X140" s="180">
        <v>0</v>
      </c>
      <c r="Y140" s="180">
        <v>0</v>
      </c>
      <c r="Z140" s="180">
        <v>0</v>
      </c>
      <c r="AA140" s="180">
        <v>0</v>
      </c>
      <c r="AB140" s="180">
        <v>0</v>
      </c>
      <c r="AC140" s="180">
        <v>0</v>
      </c>
      <c r="AD140" s="180"/>
      <c r="AE140" s="180">
        <v>0</v>
      </c>
      <c r="AF140" s="180">
        <v>0</v>
      </c>
      <c r="AG140" s="180">
        <v>870000</v>
      </c>
      <c r="AH140" s="180">
        <v>0</v>
      </c>
      <c r="AI140" s="180">
        <v>0</v>
      </c>
      <c r="AJ140" s="180">
        <v>0</v>
      </c>
      <c r="AK140" s="180">
        <v>0</v>
      </c>
      <c r="AL140" s="180">
        <v>0</v>
      </c>
      <c r="AM140" s="180">
        <v>0</v>
      </c>
      <c r="AN140" s="180">
        <v>0</v>
      </c>
      <c r="AO140" s="180">
        <v>0</v>
      </c>
      <c r="AP140" s="180">
        <v>0</v>
      </c>
      <c r="AQ140" s="180">
        <v>0</v>
      </c>
      <c r="AR140" s="180">
        <v>0</v>
      </c>
      <c r="AS140" s="180">
        <v>0</v>
      </c>
      <c r="AT140" s="180">
        <v>0</v>
      </c>
      <c r="AU140" s="180">
        <v>0</v>
      </c>
      <c r="AV140" s="180">
        <v>0</v>
      </c>
      <c r="AW140" s="180">
        <v>0</v>
      </c>
      <c r="AX140" s="180">
        <v>0</v>
      </c>
      <c r="AY140" s="180">
        <v>0</v>
      </c>
      <c r="AZ140" s="180">
        <v>0</v>
      </c>
      <c r="BA140" s="180">
        <v>0</v>
      </c>
      <c r="BB140" s="180">
        <v>0</v>
      </c>
      <c r="BC140" s="180">
        <v>0</v>
      </c>
      <c r="BD140" s="180">
        <v>0</v>
      </c>
      <c r="BE140" s="180">
        <v>0</v>
      </c>
      <c r="BF140" s="180">
        <v>0</v>
      </c>
      <c r="BG140" s="180">
        <v>0</v>
      </c>
      <c r="BH140" s="180">
        <v>0</v>
      </c>
      <c r="BI140" s="180">
        <v>0</v>
      </c>
      <c r="BJ140" s="180">
        <v>411259</v>
      </c>
      <c r="BK140" s="180">
        <v>0</v>
      </c>
      <c r="BL140" s="180">
        <v>0</v>
      </c>
      <c r="BM140" s="180">
        <v>0</v>
      </c>
      <c r="BN140" s="180">
        <v>566918</v>
      </c>
      <c r="BO140" s="180">
        <v>0</v>
      </c>
      <c r="BP140" s="180">
        <v>0</v>
      </c>
      <c r="BQ140" s="180">
        <v>0</v>
      </c>
      <c r="BR140" s="180">
        <v>0</v>
      </c>
      <c r="BS140" s="180">
        <v>0</v>
      </c>
      <c r="BT140" s="180">
        <v>0</v>
      </c>
      <c r="BU140" s="180">
        <v>0</v>
      </c>
      <c r="BV140" s="180">
        <v>0</v>
      </c>
      <c r="BW140" s="180">
        <v>0</v>
      </c>
      <c r="BX140" s="180"/>
      <c r="BY140" s="180"/>
      <c r="BZ140" s="180">
        <v>0</v>
      </c>
      <c r="CA140" s="180">
        <v>0</v>
      </c>
      <c r="CB140" s="180"/>
      <c r="CC140" s="180">
        <v>0</v>
      </c>
      <c r="CD140" s="180">
        <v>0</v>
      </c>
      <c r="CE140" s="180">
        <v>0</v>
      </c>
      <c r="CF140" s="180">
        <v>0</v>
      </c>
      <c r="CG140" s="180">
        <v>0</v>
      </c>
      <c r="CH140" s="180">
        <v>0</v>
      </c>
      <c r="CI140" s="180">
        <v>0</v>
      </c>
      <c r="CJ140" s="180">
        <v>0</v>
      </c>
      <c r="CK140" s="180">
        <v>0</v>
      </c>
      <c r="CL140" s="180">
        <v>0</v>
      </c>
      <c r="CM140" s="180">
        <v>0</v>
      </c>
      <c r="CN140" s="180">
        <v>0</v>
      </c>
      <c r="CO140" s="180">
        <v>0</v>
      </c>
      <c r="CP140" s="180">
        <v>0</v>
      </c>
      <c r="CQ140" s="180">
        <v>0</v>
      </c>
      <c r="CR140" s="180">
        <v>0</v>
      </c>
      <c r="CS140" s="180">
        <v>0</v>
      </c>
      <c r="CT140" s="180"/>
      <c r="CU140" s="180"/>
    </row>
    <row r="141" spans="1:99" x14ac:dyDescent="0.3">
      <c r="A141" s="155">
        <v>544</v>
      </c>
      <c r="B141" s="180" t="s">
        <v>52</v>
      </c>
      <c r="C141" s="180"/>
      <c r="D141" s="180">
        <v>0</v>
      </c>
      <c r="E141" s="180">
        <v>0</v>
      </c>
      <c r="F141" s="180">
        <v>0</v>
      </c>
      <c r="G141" s="180">
        <v>0</v>
      </c>
      <c r="H141" s="180">
        <v>0</v>
      </c>
      <c r="I141" s="180">
        <v>0</v>
      </c>
      <c r="J141" s="180">
        <v>0</v>
      </c>
      <c r="K141" s="180"/>
      <c r="L141" s="180">
        <v>0</v>
      </c>
      <c r="M141" s="180">
        <v>0</v>
      </c>
      <c r="N141" s="180"/>
      <c r="O141" s="180">
        <v>0</v>
      </c>
      <c r="P141" s="180">
        <v>0</v>
      </c>
      <c r="Q141" s="180">
        <v>0</v>
      </c>
      <c r="R141" s="180">
        <v>0</v>
      </c>
      <c r="S141" s="180">
        <v>0</v>
      </c>
      <c r="T141" s="180">
        <v>0</v>
      </c>
      <c r="U141" s="180">
        <v>0</v>
      </c>
      <c r="V141" s="180">
        <v>0</v>
      </c>
      <c r="W141" s="180">
        <v>0</v>
      </c>
      <c r="X141" s="180">
        <v>0</v>
      </c>
      <c r="Y141" s="180">
        <v>0</v>
      </c>
      <c r="Z141" s="180">
        <v>1.4999999999999999E-2</v>
      </c>
      <c r="AA141" s="180">
        <v>0</v>
      </c>
      <c r="AB141" s="180">
        <v>0</v>
      </c>
      <c r="AC141" s="180">
        <v>0</v>
      </c>
      <c r="AD141" s="180"/>
      <c r="AE141" s="180">
        <v>0</v>
      </c>
      <c r="AF141" s="180">
        <v>0</v>
      </c>
      <c r="AG141" s="180">
        <v>0.02</v>
      </c>
      <c r="AH141" s="180">
        <v>0</v>
      </c>
      <c r="AI141" s="180">
        <v>0.02</v>
      </c>
      <c r="AJ141" s="180">
        <v>0</v>
      </c>
      <c r="AK141" s="180">
        <v>0</v>
      </c>
      <c r="AL141" s="180">
        <v>0</v>
      </c>
      <c r="AM141" s="180">
        <v>0</v>
      </c>
      <c r="AN141" s="180">
        <v>0</v>
      </c>
      <c r="AO141" s="180">
        <v>0</v>
      </c>
      <c r="AP141" s="180">
        <v>0</v>
      </c>
      <c r="AQ141" s="180">
        <v>0</v>
      </c>
      <c r="AR141" s="180">
        <v>0</v>
      </c>
      <c r="AS141" s="180">
        <v>0</v>
      </c>
      <c r="AT141" s="180">
        <v>0</v>
      </c>
      <c r="AU141" s="180">
        <v>0</v>
      </c>
      <c r="AV141" s="180">
        <v>0</v>
      </c>
      <c r="AW141" s="180">
        <v>0.03</v>
      </c>
      <c r="AX141" s="180">
        <v>0</v>
      </c>
      <c r="AY141" s="180">
        <v>0</v>
      </c>
      <c r="AZ141" s="180">
        <v>0</v>
      </c>
      <c r="BA141" s="180">
        <v>0</v>
      </c>
      <c r="BB141" s="180">
        <v>0</v>
      </c>
      <c r="BC141" s="180">
        <v>0</v>
      </c>
      <c r="BD141" s="180">
        <v>0</v>
      </c>
      <c r="BE141" s="180">
        <v>0</v>
      </c>
      <c r="BF141" s="180">
        <v>0</v>
      </c>
      <c r="BG141" s="180">
        <v>0</v>
      </c>
      <c r="BH141" s="180">
        <v>0</v>
      </c>
      <c r="BI141" s="180">
        <v>0</v>
      </c>
      <c r="BJ141" s="180">
        <v>0</v>
      </c>
      <c r="BK141" s="180">
        <v>0</v>
      </c>
      <c r="BL141" s="180">
        <v>0</v>
      </c>
      <c r="BM141" s="180">
        <v>0</v>
      </c>
      <c r="BN141" s="180">
        <v>0</v>
      </c>
      <c r="BO141" s="180">
        <v>-3</v>
      </c>
      <c r="BP141" s="180">
        <v>0</v>
      </c>
      <c r="BQ141" s="180">
        <v>0</v>
      </c>
      <c r="BR141" s="180">
        <v>0</v>
      </c>
      <c r="BS141" s="180">
        <v>0</v>
      </c>
      <c r="BT141" s="180">
        <v>0</v>
      </c>
      <c r="BU141" s="180">
        <v>0</v>
      </c>
      <c r="BV141" s="180">
        <v>0</v>
      </c>
      <c r="BW141" s="180">
        <v>0</v>
      </c>
      <c r="BX141" s="180"/>
      <c r="BY141" s="180"/>
      <c r="BZ141" s="180">
        <v>0</v>
      </c>
      <c r="CA141" s="180">
        <v>0</v>
      </c>
      <c r="CB141" s="180"/>
      <c r="CC141" s="180">
        <v>0</v>
      </c>
      <c r="CD141" s="180">
        <v>0</v>
      </c>
      <c r="CE141" s="180">
        <v>0</v>
      </c>
      <c r="CF141" s="180">
        <v>0</v>
      </c>
      <c r="CG141" s="180">
        <v>0</v>
      </c>
      <c r="CH141" s="180">
        <v>0</v>
      </c>
      <c r="CI141" s="180">
        <v>0</v>
      </c>
      <c r="CJ141" s="180">
        <v>0</v>
      </c>
      <c r="CK141" s="180">
        <v>0</v>
      </c>
      <c r="CL141" s="180">
        <v>0</v>
      </c>
      <c r="CM141" s="180">
        <v>0</v>
      </c>
      <c r="CN141" s="180">
        <v>0</v>
      </c>
      <c r="CO141" s="180">
        <v>0</v>
      </c>
      <c r="CP141" s="180">
        <v>0</v>
      </c>
      <c r="CQ141" s="180">
        <v>0</v>
      </c>
      <c r="CR141" s="180">
        <v>0</v>
      </c>
      <c r="CS141" s="180">
        <v>0</v>
      </c>
      <c r="CT141" s="180"/>
      <c r="CU141" s="180"/>
    </row>
    <row r="142" spans="1:99" s="568" customFormat="1" x14ac:dyDescent="0.3">
      <c r="A142" s="567">
        <v>545</v>
      </c>
      <c r="B142" s="568" t="s">
        <v>53</v>
      </c>
      <c r="D142" s="568">
        <v>0</v>
      </c>
      <c r="E142" s="568">
        <v>0</v>
      </c>
      <c r="F142" s="568">
        <v>0</v>
      </c>
      <c r="G142" s="568">
        <v>0</v>
      </c>
      <c r="H142" s="568">
        <v>0</v>
      </c>
      <c r="I142" s="568">
        <v>0</v>
      </c>
      <c r="J142" s="568">
        <v>0</v>
      </c>
      <c r="L142" s="568">
        <v>0</v>
      </c>
      <c r="M142" s="568">
        <v>0</v>
      </c>
      <c r="O142" s="568">
        <v>0</v>
      </c>
      <c r="P142" s="568">
        <v>0</v>
      </c>
      <c r="Q142" s="568">
        <v>0</v>
      </c>
      <c r="R142" s="568">
        <v>0</v>
      </c>
      <c r="S142" s="568">
        <v>0</v>
      </c>
      <c r="T142" s="568">
        <v>0</v>
      </c>
      <c r="U142" s="568">
        <v>0</v>
      </c>
      <c r="V142" s="568">
        <v>0</v>
      </c>
      <c r="W142" s="568">
        <v>0</v>
      </c>
      <c r="X142" s="568">
        <v>0</v>
      </c>
      <c r="Y142" s="568">
        <v>0</v>
      </c>
      <c r="Z142" s="568">
        <v>0</v>
      </c>
      <c r="AA142" s="568">
        <v>0</v>
      </c>
      <c r="AB142" s="568">
        <v>0</v>
      </c>
      <c r="AC142" s="568">
        <v>0</v>
      </c>
      <c r="AE142" s="568">
        <v>0</v>
      </c>
      <c r="AF142" s="568">
        <v>0</v>
      </c>
      <c r="AG142" s="568">
        <v>0</v>
      </c>
      <c r="AH142" s="568">
        <v>0</v>
      </c>
      <c r="AI142" s="568">
        <v>0.03</v>
      </c>
      <c r="AJ142" s="568">
        <v>0</v>
      </c>
      <c r="AK142" s="568">
        <v>0</v>
      </c>
      <c r="AL142" s="568">
        <v>0</v>
      </c>
      <c r="AM142" s="568">
        <v>0</v>
      </c>
      <c r="AN142" s="568">
        <v>0</v>
      </c>
      <c r="AO142" s="568">
        <v>0</v>
      </c>
      <c r="AP142" s="568">
        <v>0.32</v>
      </c>
      <c r="AQ142" s="568">
        <v>0</v>
      </c>
      <c r="AR142" s="568">
        <v>0</v>
      </c>
      <c r="AS142" s="568">
        <v>0</v>
      </c>
      <c r="AT142" s="568">
        <v>0</v>
      </c>
      <c r="AU142" s="568">
        <v>0</v>
      </c>
      <c r="AV142" s="568">
        <v>0</v>
      </c>
      <c r="AW142" s="568">
        <v>0</v>
      </c>
      <c r="AX142" s="568">
        <v>0</v>
      </c>
      <c r="AY142" s="568">
        <v>0</v>
      </c>
      <c r="AZ142" s="568">
        <v>0</v>
      </c>
      <c r="BA142" s="568">
        <v>0</v>
      </c>
      <c r="BB142" s="568">
        <v>0</v>
      </c>
      <c r="BC142" s="568">
        <v>0</v>
      </c>
      <c r="BD142" s="568">
        <v>0</v>
      </c>
      <c r="BE142" s="568">
        <v>0</v>
      </c>
      <c r="BF142" s="568">
        <v>0</v>
      </c>
      <c r="BG142" s="568">
        <v>0</v>
      </c>
      <c r="BH142" s="568">
        <v>0</v>
      </c>
      <c r="BI142" s="568">
        <v>0</v>
      </c>
      <c r="BJ142" s="568">
        <v>0.05</v>
      </c>
      <c r="BK142" s="568">
        <v>0</v>
      </c>
      <c r="BL142" s="568">
        <v>0</v>
      </c>
      <c r="BM142" s="568">
        <v>0</v>
      </c>
      <c r="BN142" s="568">
        <v>0</v>
      </c>
      <c r="BO142" s="568">
        <v>-0.03</v>
      </c>
      <c r="BP142" s="568">
        <v>0</v>
      </c>
      <c r="BQ142" s="568">
        <v>0</v>
      </c>
      <c r="BR142" s="568">
        <v>0</v>
      </c>
      <c r="BS142" s="568">
        <v>0</v>
      </c>
      <c r="BT142" s="568">
        <v>0</v>
      </c>
      <c r="BU142" s="568">
        <v>0</v>
      </c>
      <c r="BV142" s="568">
        <v>0</v>
      </c>
      <c r="BW142" s="568">
        <v>0</v>
      </c>
      <c r="BZ142" s="568">
        <v>0</v>
      </c>
      <c r="CA142" s="568">
        <v>0</v>
      </c>
      <c r="CC142" s="568">
        <v>0</v>
      </c>
      <c r="CD142" s="568">
        <v>1.4200000000000001E-2</v>
      </c>
      <c r="CE142" s="568">
        <v>0</v>
      </c>
      <c r="CF142" s="568">
        <v>0</v>
      </c>
      <c r="CG142" s="568">
        <v>0</v>
      </c>
      <c r="CH142" s="568">
        <v>0</v>
      </c>
      <c r="CI142" s="568">
        <v>0</v>
      </c>
      <c r="CJ142" s="568">
        <v>2.36</v>
      </c>
      <c r="CK142" s="568">
        <v>0</v>
      </c>
      <c r="CL142" s="568">
        <v>0</v>
      </c>
      <c r="CM142" s="568">
        <v>0</v>
      </c>
      <c r="CN142" s="568">
        <v>0</v>
      </c>
      <c r="CO142" s="568">
        <v>0</v>
      </c>
      <c r="CP142" s="568">
        <v>0</v>
      </c>
      <c r="CQ142" s="568">
        <v>0</v>
      </c>
      <c r="CR142" s="568">
        <v>0</v>
      </c>
      <c r="CS142" s="568">
        <v>0</v>
      </c>
    </row>
    <row r="143" spans="1:99" x14ac:dyDescent="0.3">
      <c r="A143" s="155">
        <v>547</v>
      </c>
      <c r="B143" s="180" t="s">
        <v>931</v>
      </c>
      <c r="C143" s="180"/>
      <c r="D143" s="180">
        <v>2</v>
      </c>
      <c r="E143" s="180">
        <v>2</v>
      </c>
      <c r="F143" s="180">
        <v>3</v>
      </c>
      <c r="G143" s="180">
        <v>2</v>
      </c>
      <c r="H143" s="180">
        <v>2</v>
      </c>
      <c r="I143" s="180">
        <v>2</v>
      </c>
      <c r="J143" s="180">
        <v>3</v>
      </c>
      <c r="K143" s="180"/>
      <c r="L143" s="180">
        <v>2</v>
      </c>
      <c r="M143" s="180">
        <v>1</v>
      </c>
      <c r="N143" s="180"/>
      <c r="O143" s="180">
        <v>2</v>
      </c>
      <c r="P143" s="180">
        <v>2</v>
      </c>
      <c r="Q143" s="180">
        <v>2</v>
      </c>
      <c r="R143" s="180">
        <v>2</v>
      </c>
      <c r="S143" s="180">
        <v>2</v>
      </c>
      <c r="T143" s="180">
        <v>2</v>
      </c>
      <c r="U143" s="180">
        <v>2</v>
      </c>
      <c r="V143" s="180">
        <v>4</v>
      </c>
      <c r="W143" s="180">
        <v>2</v>
      </c>
      <c r="X143" s="180">
        <v>3</v>
      </c>
      <c r="Y143" s="180">
        <v>2</v>
      </c>
      <c r="Z143" s="180">
        <v>3</v>
      </c>
      <c r="AA143" s="180">
        <v>2</v>
      </c>
      <c r="AB143" s="180">
        <v>2</v>
      </c>
      <c r="AC143" s="180">
        <v>3</v>
      </c>
      <c r="AD143" s="180"/>
      <c r="AE143" s="180">
        <v>2</v>
      </c>
      <c r="AF143" s="180">
        <v>2</v>
      </c>
      <c r="AG143" s="180">
        <v>3</v>
      </c>
      <c r="AH143" s="180">
        <v>2</v>
      </c>
      <c r="AI143" s="180">
        <v>3</v>
      </c>
      <c r="AJ143" s="180">
        <v>2</v>
      </c>
      <c r="AK143" s="180">
        <v>2</v>
      </c>
      <c r="AL143" s="180">
        <v>2</v>
      </c>
      <c r="AM143" s="180">
        <v>3</v>
      </c>
      <c r="AN143" s="180">
        <v>2</v>
      </c>
      <c r="AO143" s="180">
        <v>2</v>
      </c>
      <c r="AP143" s="180">
        <v>2</v>
      </c>
      <c r="AQ143" s="180">
        <v>2</v>
      </c>
      <c r="AR143" s="180">
        <v>3</v>
      </c>
      <c r="AS143" s="180">
        <v>0</v>
      </c>
      <c r="AT143" s="180">
        <v>2</v>
      </c>
      <c r="AU143" s="180">
        <v>2</v>
      </c>
      <c r="AV143" s="180">
        <v>2</v>
      </c>
      <c r="AW143" s="180">
        <v>2</v>
      </c>
      <c r="AX143" s="180">
        <v>4</v>
      </c>
      <c r="AY143" s="180">
        <v>3</v>
      </c>
      <c r="AZ143" s="180">
        <v>2</v>
      </c>
      <c r="BA143" s="180">
        <v>3</v>
      </c>
      <c r="BB143" s="180">
        <v>2</v>
      </c>
      <c r="BC143" s="180">
        <v>2</v>
      </c>
      <c r="BD143" s="180">
        <v>2</v>
      </c>
      <c r="BE143" s="180">
        <v>2</v>
      </c>
      <c r="BF143" s="180">
        <v>2</v>
      </c>
      <c r="BG143" s="180">
        <v>2</v>
      </c>
      <c r="BH143" s="180">
        <v>2</v>
      </c>
      <c r="BI143" s="180">
        <v>1</v>
      </c>
      <c r="BJ143" s="180">
        <v>3</v>
      </c>
      <c r="BK143" s="180">
        <v>2</v>
      </c>
      <c r="BL143" s="180">
        <v>0</v>
      </c>
      <c r="BM143" s="180">
        <v>2</v>
      </c>
      <c r="BN143" s="180">
        <v>3</v>
      </c>
      <c r="BO143" s="180">
        <v>3</v>
      </c>
      <c r="BP143" s="180">
        <v>2</v>
      </c>
      <c r="BQ143" s="180">
        <v>0</v>
      </c>
      <c r="BR143" s="180">
        <v>3</v>
      </c>
      <c r="BS143" s="180">
        <v>1</v>
      </c>
      <c r="BT143" s="180">
        <v>2</v>
      </c>
      <c r="BU143" s="180">
        <v>2</v>
      </c>
      <c r="BV143" s="180">
        <v>2</v>
      </c>
      <c r="BW143" s="180">
        <v>2</v>
      </c>
      <c r="BX143" s="180"/>
      <c r="BY143" s="180"/>
      <c r="BZ143" s="180">
        <v>3</v>
      </c>
      <c r="CA143" s="180">
        <v>2</v>
      </c>
      <c r="CB143" s="180"/>
      <c r="CC143" s="180">
        <v>3</v>
      </c>
      <c r="CD143" s="180">
        <v>3</v>
      </c>
      <c r="CE143" s="180">
        <v>3</v>
      </c>
      <c r="CF143" s="180">
        <v>2</v>
      </c>
      <c r="CG143" s="180">
        <v>4</v>
      </c>
      <c r="CH143" s="180">
        <v>2</v>
      </c>
      <c r="CI143" s="180">
        <v>2</v>
      </c>
      <c r="CJ143" s="180">
        <v>3</v>
      </c>
      <c r="CK143" s="180">
        <v>3</v>
      </c>
      <c r="CL143" s="180">
        <v>0</v>
      </c>
      <c r="CM143" s="180">
        <v>3</v>
      </c>
      <c r="CN143" s="180">
        <v>2</v>
      </c>
      <c r="CO143" s="180">
        <v>3</v>
      </c>
      <c r="CP143" s="180">
        <v>2</v>
      </c>
      <c r="CQ143" s="180">
        <v>2</v>
      </c>
      <c r="CR143" s="180">
        <v>2</v>
      </c>
      <c r="CS143" s="180">
        <v>3</v>
      </c>
      <c r="CT143" s="180"/>
      <c r="CU143" s="180"/>
    </row>
    <row r="144" spans="1:99" s="555" customFormat="1" x14ac:dyDescent="0.3">
      <c r="A144" s="558">
        <v>554</v>
      </c>
      <c r="B144" s="555" t="s">
        <v>320</v>
      </c>
      <c r="F144" s="555">
        <v>311138</v>
      </c>
      <c r="H144" s="555">
        <v>19436</v>
      </c>
      <c r="M144" s="555">
        <v>6749245</v>
      </c>
      <c r="V144" s="555">
        <v>108703</v>
      </c>
      <c r="W144" s="555">
        <v>0</v>
      </c>
      <c r="AA144" s="555">
        <v>2309010</v>
      </c>
      <c r="AE144" s="555">
        <v>3042170</v>
      </c>
      <c r="AG144" s="555">
        <v>6388326</v>
      </c>
      <c r="AI144" s="555">
        <v>3476704</v>
      </c>
      <c r="AK144" s="555">
        <v>26812</v>
      </c>
      <c r="AN144" s="555">
        <v>550833</v>
      </c>
      <c r="AR144" s="555">
        <v>1000960</v>
      </c>
      <c r="AY144" s="555">
        <v>1103936</v>
      </c>
      <c r="BA144" s="555">
        <v>2549854</v>
      </c>
      <c r="BC144" s="555">
        <v>2580588</v>
      </c>
      <c r="BH144" s="555">
        <v>162655</v>
      </c>
      <c r="BI144" s="555">
        <v>1739825</v>
      </c>
      <c r="BJ144" s="555">
        <v>1904319</v>
      </c>
      <c r="BM144" s="555">
        <v>1378341</v>
      </c>
      <c r="BN144" s="555">
        <v>1157973</v>
      </c>
      <c r="BS144" s="555">
        <v>1067035</v>
      </c>
      <c r="CD144" s="555">
        <v>13398563</v>
      </c>
      <c r="CE144" s="555">
        <v>2720042</v>
      </c>
      <c r="CG144" s="555">
        <v>1422899</v>
      </c>
      <c r="CJ144" s="555">
        <v>77508654</v>
      </c>
      <c r="CK144" s="555">
        <v>3005691</v>
      </c>
      <c r="CM144" s="555">
        <v>2149463</v>
      </c>
      <c r="CR144" s="555">
        <v>438209</v>
      </c>
    </row>
    <row r="145" spans="1:99" s="555" customFormat="1" x14ac:dyDescent="0.3">
      <c r="A145" s="558">
        <v>555</v>
      </c>
      <c r="B145" s="555" t="s">
        <v>321</v>
      </c>
      <c r="F145" s="555">
        <v>0</v>
      </c>
      <c r="H145" s="555">
        <v>0</v>
      </c>
      <c r="M145" s="555">
        <v>6284072</v>
      </c>
      <c r="V145" s="555">
        <v>0</v>
      </c>
      <c r="W145" s="555">
        <v>0</v>
      </c>
      <c r="AA145" s="555">
        <v>1381566</v>
      </c>
      <c r="AE145" s="555">
        <v>3020270</v>
      </c>
      <c r="AG145" s="555">
        <v>3711038</v>
      </c>
      <c r="AI145" s="555">
        <v>3476704</v>
      </c>
      <c r="AK145" s="555">
        <v>0</v>
      </c>
      <c r="AN145" s="555">
        <v>0</v>
      </c>
      <c r="AR145" s="555">
        <v>704321</v>
      </c>
      <c r="AY145" s="555">
        <v>872908</v>
      </c>
      <c r="BA145" s="555">
        <v>1156557</v>
      </c>
      <c r="BC145" s="555">
        <v>1856354</v>
      </c>
      <c r="BH145" s="555">
        <v>0</v>
      </c>
      <c r="BI145" s="555">
        <v>1219817</v>
      </c>
      <c r="BJ145" s="555">
        <v>1513335</v>
      </c>
      <c r="BM145" s="555">
        <v>1330341</v>
      </c>
      <c r="BN145" s="555">
        <v>1145923</v>
      </c>
      <c r="BS145" s="555">
        <v>996619</v>
      </c>
      <c r="CD145" s="555">
        <v>9522153</v>
      </c>
      <c r="CE145" s="555">
        <v>1069897</v>
      </c>
      <c r="CG145" s="555">
        <v>1074966</v>
      </c>
      <c r="CJ145" s="555">
        <v>67895193</v>
      </c>
      <c r="CK145" s="555">
        <v>2597525</v>
      </c>
      <c r="CM145" s="555">
        <v>2140691</v>
      </c>
      <c r="CR145" s="555">
        <v>0</v>
      </c>
    </row>
    <row r="146" spans="1:99" s="555" customFormat="1" x14ac:dyDescent="0.3">
      <c r="A146" s="558">
        <v>556</v>
      </c>
      <c r="B146" s="555" t="s">
        <v>322</v>
      </c>
      <c r="F146" s="555">
        <v>1603277</v>
      </c>
      <c r="H146" s="555">
        <v>1934147</v>
      </c>
      <c r="M146" s="555">
        <v>5267808</v>
      </c>
      <c r="V146" s="555">
        <v>1925797</v>
      </c>
      <c r="W146" s="555">
        <v>1950228</v>
      </c>
      <c r="AA146" s="555">
        <v>780339</v>
      </c>
      <c r="AE146" s="555">
        <v>52884</v>
      </c>
      <c r="AG146" s="555">
        <v>247022</v>
      </c>
      <c r="AI146" s="555">
        <v>1928735</v>
      </c>
      <c r="AK146" s="555">
        <v>647700</v>
      </c>
      <c r="AN146" s="555">
        <v>1213469</v>
      </c>
      <c r="AR146" s="555">
        <v>1487766</v>
      </c>
      <c r="AY146" s="555">
        <v>832395</v>
      </c>
      <c r="BA146" s="555">
        <v>1331452</v>
      </c>
      <c r="BC146" s="555">
        <v>652226</v>
      </c>
      <c r="BH146" s="555">
        <v>602653</v>
      </c>
      <c r="BI146" s="555">
        <v>132500</v>
      </c>
      <c r="BJ146" s="555">
        <v>2738495</v>
      </c>
      <c r="BM146" s="555">
        <v>0</v>
      </c>
      <c r="BN146" s="555">
        <v>373008</v>
      </c>
      <c r="BS146" s="555">
        <v>448210</v>
      </c>
      <c r="CD146" s="555">
        <v>3974004</v>
      </c>
      <c r="CE146" s="555">
        <v>2194036</v>
      </c>
      <c r="CG146" s="555">
        <v>931377</v>
      </c>
      <c r="CJ146" s="555">
        <v>6539179</v>
      </c>
      <c r="CK146" s="555">
        <v>34067</v>
      </c>
      <c r="CM146" s="555">
        <v>104691</v>
      </c>
      <c r="CR146" s="555">
        <v>1107424</v>
      </c>
    </row>
    <row r="147" spans="1:99" s="555" customFormat="1" x14ac:dyDescent="0.3">
      <c r="A147" s="558">
        <v>557</v>
      </c>
      <c r="B147" s="555" t="s">
        <v>323</v>
      </c>
      <c r="F147" s="555">
        <v>1279130</v>
      </c>
      <c r="H147" s="555">
        <v>1600000</v>
      </c>
      <c r="M147" s="555">
        <v>4702078</v>
      </c>
      <c r="V147" s="555">
        <v>1925797</v>
      </c>
      <c r="W147" s="555">
        <v>1925797</v>
      </c>
      <c r="AA147" s="555">
        <v>520869</v>
      </c>
      <c r="AE147" s="555">
        <v>0</v>
      </c>
      <c r="AG147" s="555">
        <v>0</v>
      </c>
      <c r="AI147" s="555">
        <v>1158901</v>
      </c>
      <c r="AK147" s="555">
        <v>603406</v>
      </c>
      <c r="AN147" s="555">
        <v>916669</v>
      </c>
      <c r="AR147" s="555">
        <v>780169</v>
      </c>
      <c r="AY147" s="555">
        <v>346197</v>
      </c>
      <c r="BA147" s="555">
        <v>1282385</v>
      </c>
      <c r="BC147" s="555">
        <v>369989</v>
      </c>
      <c r="BH147" s="555">
        <v>243918</v>
      </c>
      <c r="BI147" s="555">
        <v>0</v>
      </c>
      <c r="BJ147" s="555">
        <v>2137397</v>
      </c>
      <c r="BM147" s="555">
        <v>0</v>
      </c>
      <c r="BN147" s="555">
        <v>0</v>
      </c>
      <c r="BS147" s="555">
        <v>0</v>
      </c>
      <c r="CD147" s="555">
        <v>3209388</v>
      </c>
      <c r="CE147" s="555">
        <v>1424375</v>
      </c>
      <c r="CG147" s="555">
        <v>768938</v>
      </c>
      <c r="CJ147" s="555">
        <v>5858037</v>
      </c>
      <c r="CK147" s="555">
        <v>0</v>
      </c>
      <c r="CM147" s="555">
        <v>0</v>
      </c>
      <c r="CR147" s="555">
        <v>1000000</v>
      </c>
    </row>
    <row r="148" spans="1:99" x14ac:dyDescent="0.3">
      <c r="A148" s="155">
        <v>575</v>
      </c>
      <c r="B148" s="180" t="s">
        <v>302</v>
      </c>
      <c r="C148" s="180"/>
      <c r="D148" s="180">
        <v>0</v>
      </c>
      <c r="E148" s="180">
        <v>0</v>
      </c>
      <c r="F148" s="180">
        <v>283393</v>
      </c>
      <c r="G148" s="180">
        <v>0</v>
      </c>
      <c r="H148" s="180">
        <v>0</v>
      </c>
      <c r="I148" s="180">
        <v>0</v>
      </c>
      <c r="J148" s="180">
        <v>0</v>
      </c>
      <c r="K148" s="180"/>
      <c r="L148" s="180">
        <v>99744</v>
      </c>
      <c r="M148" s="180">
        <v>670335</v>
      </c>
      <c r="N148" s="180"/>
      <c r="O148" s="180">
        <v>0</v>
      </c>
      <c r="P148" s="180">
        <v>0</v>
      </c>
      <c r="Q148" s="180">
        <v>0</v>
      </c>
      <c r="R148" s="180">
        <v>0</v>
      </c>
      <c r="S148" s="180">
        <v>9090</v>
      </c>
      <c r="T148" s="180">
        <v>0</v>
      </c>
      <c r="U148" s="180">
        <v>0</v>
      </c>
      <c r="V148" s="180">
        <v>0</v>
      </c>
      <c r="W148" s="180">
        <v>0</v>
      </c>
      <c r="X148" s="180">
        <v>0</v>
      </c>
      <c r="Y148" s="180">
        <v>188000</v>
      </c>
      <c r="Z148" s="180">
        <v>0</v>
      </c>
      <c r="AA148" s="180">
        <v>0</v>
      </c>
      <c r="AB148" s="180">
        <v>0</v>
      </c>
      <c r="AC148" s="180">
        <v>0</v>
      </c>
      <c r="AD148" s="180"/>
      <c r="AE148" s="180">
        <v>12859</v>
      </c>
      <c r="AF148" s="180">
        <v>25286</v>
      </c>
      <c r="AG148" s="180">
        <v>0</v>
      </c>
      <c r="AH148" s="180">
        <v>0</v>
      </c>
      <c r="AI148" s="180">
        <v>0</v>
      </c>
      <c r="AJ148" s="180">
        <v>0</v>
      </c>
      <c r="AK148" s="180">
        <v>0</v>
      </c>
      <c r="AL148" s="180">
        <v>1149909</v>
      </c>
      <c r="AM148" s="180">
        <v>0</v>
      </c>
      <c r="AN148" s="180">
        <v>0</v>
      </c>
      <c r="AO148" s="180">
        <v>103380</v>
      </c>
      <c r="AP148" s="180">
        <v>0</v>
      </c>
      <c r="AQ148" s="180">
        <v>0</v>
      </c>
      <c r="AR148" s="180">
        <v>0</v>
      </c>
      <c r="AS148" s="180">
        <v>90211</v>
      </c>
      <c r="AT148" s="180">
        <v>0</v>
      </c>
      <c r="AU148" s="180">
        <v>0</v>
      </c>
      <c r="AV148" s="180">
        <v>0</v>
      </c>
      <c r="AW148" s="180">
        <v>0</v>
      </c>
      <c r="AX148" s="180">
        <v>0</v>
      </c>
      <c r="AY148" s="180">
        <v>0</v>
      </c>
      <c r="AZ148" s="180">
        <v>0</v>
      </c>
      <c r="BA148" s="180">
        <v>0</v>
      </c>
      <c r="BB148" s="180">
        <v>0</v>
      </c>
      <c r="BC148" s="180">
        <v>0</v>
      </c>
      <c r="BD148" s="180">
        <v>0</v>
      </c>
      <c r="BE148" s="180">
        <v>0</v>
      </c>
      <c r="BF148" s="180">
        <v>74929</v>
      </c>
      <c r="BG148" s="180">
        <v>0</v>
      </c>
      <c r="BH148" s="180">
        <v>0</v>
      </c>
      <c r="BI148" s="180">
        <v>63235</v>
      </c>
      <c r="BJ148" s="180">
        <v>0</v>
      </c>
      <c r="BK148" s="180">
        <v>0</v>
      </c>
      <c r="BL148" s="180">
        <v>0</v>
      </c>
      <c r="BM148" s="180">
        <v>0</v>
      </c>
      <c r="BN148" s="180">
        <v>0</v>
      </c>
      <c r="BO148" s="180">
        <v>0</v>
      </c>
      <c r="BP148" s="180">
        <v>0</v>
      </c>
      <c r="BQ148" s="180">
        <v>0</v>
      </c>
      <c r="BR148" s="180">
        <v>0</v>
      </c>
      <c r="BS148" s="180">
        <v>0</v>
      </c>
      <c r="BT148" s="180">
        <v>0</v>
      </c>
      <c r="BU148" s="180">
        <v>0</v>
      </c>
      <c r="BV148" s="180">
        <v>0</v>
      </c>
      <c r="BW148" s="180">
        <v>0</v>
      </c>
      <c r="BX148" s="180"/>
      <c r="BY148" s="180"/>
      <c r="BZ148" s="180">
        <v>157835</v>
      </c>
      <c r="CA148" s="180">
        <v>0</v>
      </c>
      <c r="CB148" s="180"/>
      <c r="CC148" s="180">
        <v>0</v>
      </c>
      <c r="CD148" s="180">
        <v>0</v>
      </c>
      <c r="CE148" s="180">
        <v>0</v>
      </c>
      <c r="CF148" s="180">
        <v>0</v>
      </c>
      <c r="CG148" s="180">
        <v>0</v>
      </c>
      <c r="CH148" s="180">
        <v>0</v>
      </c>
      <c r="CI148" s="180">
        <v>0</v>
      </c>
      <c r="CJ148" s="180">
        <v>0</v>
      </c>
      <c r="CK148" s="180">
        <v>0</v>
      </c>
      <c r="CL148" s="180">
        <v>15656</v>
      </c>
      <c r="CM148" s="180">
        <v>0</v>
      </c>
      <c r="CN148" s="180">
        <v>0</v>
      </c>
      <c r="CO148" s="180">
        <v>0</v>
      </c>
      <c r="CP148" s="180">
        <v>0</v>
      </c>
      <c r="CQ148" s="180">
        <v>0</v>
      </c>
      <c r="CR148" s="180">
        <v>0</v>
      </c>
      <c r="CS148" s="180">
        <v>0</v>
      </c>
      <c r="CT148" s="180"/>
      <c r="CU148" s="180"/>
    </row>
    <row r="149" spans="1:99" x14ac:dyDescent="0.3">
      <c r="A149" s="155">
        <v>576</v>
      </c>
      <c r="B149" s="180" t="s">
        <v>303</v>
      </c>
      <c r="C149" s="180"/>
      <c r="D149" s="180">
        <v>0</v>
      </c>
      <c r="E149" s="180">
        <v>0</v>
      </c>
      <c r="F149" s="180">
        <v>0</v>
      </c>
      <c r="G149" s="180">
        <v>0</v>
      </c>
      <c r="H149" s="180">
        <v>0</v>
      </c>
      <c r="I149" s="180">
        <v>0</v>
      </c>
      <c r="J149" s="180">
        <v>0</v>
      </c>
      <c r="K149" s="180"/>
      <c r="L149" s="180">
        <v>0</v>
      </c>
      <c r="M149" s="180">
        <v>0</v>
      </c>
      <c r="N149" s="180"/>
      <c r="O149" s="180">
        <v>0</v>
      </c>
      <c r="P149" s="180">
        <v>0</v>
      </c>
      <c r="Q149" s="180">
        <v>0</v>
      </c>
      <c r="R149" s="180">
        <v>0</v>
      </c>
      <c r="S149" s="180">
        <v>0</v>
      </c>
      <c r="T149" s="180">
        <v>0</v>
      </c>
      <c r="U149" s="180">
        <v>0</v>
      </c>
      <c r="V149" s="180">
        <v>0</v>
      </c>
      <c r="W149" s="180">
        <v>0</v>
      </c>
      <c r="X149" s="180">
        <v>0</v>
      </c>
      <c r="Y149" s="180">
        <v>0</v>
      </c>
      <c r="Z149" s="180">
        <v>0</v>
      </c>
      <c r="AA149" s="180">
        <v>0</v>
      </c>
      <c r="AB149" s="180">
        <v>0</v>
      </c>
      <c r="AC149" s="180">
        <v>0</v>
      </c>
      <c r="AD149" s="180"/>
      <c r="AE149" s="180">
        <v>0</v>
      </c>
      <c r="AF149" s="180">
        <v>0</v>
      </c>
      <c r="AG149" s="180">
        <v>0</v>
      </c>
      <c r="AH149" s="180">
        <v>0</v>
      </c>
      <c r="AI149" s="180">
        <v>0</v>
      </c>
      <c r="AJ149" s="180">
        <v>0</v>
      </c>
      <c r="AK149" s="180">
        <v>0</v>
      </c>
      <c r="AL149" s="180">
        <v>0</v>
      </c>
      <c r="AM149" s="180">
        <v>0</v>
      </c>
      <c r="AN149" s="180">
        <v>25332</v>
      </c>
      <c r="AO149" s="180">
        <v>0</v>
      </c>
      <c r="AP149" s="180">
        <v>94</v>
      </c>
      <c r="AQ149" s="180">
        <v>0</v>
      </c>
      <c r="AR149" s="180">
        <v>0</v>
      </c>
      <c r="AS149" s="180">
        <v>0</v>
      </c>
      <c r="AT149" s="180">
        <v>0</v>
      </c>
      <c r="AU149" s="180">
        <v>0</v>
      </c>
      <c r="AV149" s="180">
        <v>0</v>
      </c>
      <c r="AW149" s="180">
        <v>0</v>
      </c>
      <c r="AX149" s="180">
        <v>0</v>
      </c>
      <c r="AY149" s="180">
        <v>0</v>
      </c>
      <c r="AZ149" s="180">
        <v>0</v>
      </c>
      <c r="BA149" s="180">
        <v>0</v>
      </c>
      <c r="BB149" s="180">
        <v>5000</v>
      </c>
      <c r="BC149" s="180">
        <v>9578</v>
      </c>
      <c r="BD149" s="180">
        <v>0</v>
      </c>
      <c r="BE149" s="180">
        <v>0</v>
      </c>
      <c r="BF149" s="180">
        <v>0</v>
      </c>
      <c r="BG149" s="180">
        <v>0</v>
      </c>
      <c r="BH149" s="180">
        <v>0</v>
      </c>
      <c r="BI149" s="180">
        <v>0</v>
      </c>
      <c r="BJ149" s="180">
        <v>0</v>
      </c>
      <c r="BK149" s="180">
        <v>0</v>
      </c>
      <c r="BL149" s="180">
        <v>0</v>
      </c>
      <c r="BM149" s="180">
        <v>0</v>
      </c>
      <c r="BN149" s="180">
        <v>835139</v>
      </c>
      <c r="BO149" s="180">
        <v>0</v>
      </c>
      <c r="BP149" s="180">
        <v>0</v>
      </c>
      <c r="BQ149" s="180">
        <v>0</v>
      </c>
      <c r="BR149" s="180">
        <v>0</v>
      </c>
      <c r="BS149" s="180">
        <v>0</v>
      </c>
      <c r="BT149" s="180">
        <v>0</v>
      </c>
      <c r="BU149" s="180">
        <v>0</v>
      </c>
      <c r="BV149" s="180">
        <v>0</v>
      </c>
      <c r="BW149" s="180">
        <v>0</v>
      </c>
      <c r="BX149" s="180"/>
      <c r="BY149" s="180"/>
      <c r="BZ149" s="180">
        <v>0</v>
      </c>
      <c r="CA149" s="180">
        <v>0</v>
      </c>
      <c r="CB149" s="180"/>
      <c r="CC149" s="180">
        <v>1304878</v>
      </c>
      <c r="CD149" s="180">
        <v>0</v>
      </c>
      <c r="CE149" s="180">
        <v>1174303</v>
      </c>
      <c r="CF149" s="180">
        <v>0</v>
      </c>
      <c r="CG149" s="180">
        <v>176848</v>
      </c>
      <c r="CH149" s="180">
        <v>0</v>
      </c>
      <c r="CI149" s="180">
        <v>0</v>
      </c>
      <c r="CJ149" s="180">
        <v>0</v>
      </c>
      <c r="CK149" s="180">
        <v>0</v>
      </c>
      <c r="CL149" s="180">
        <v>0</v>
      </c>
      <c r="CM149" s="180">
        <v>0</v>
      </c>
      <c r="CN149" s="180">
        <v>0</v>
      </c>
      <c r="CO149" s="180">
        <v>0</v>
      </c>
      <c r="CP149" s="180">
        <v>0</v>
      </c>
      <c r="CQ149" s="180">
        <v>0</v>
      </c>
      <c r="CR149" s="180">
        <v>0</v>
      </c>
      <c r="CS149" s="180">
        <v>0</v>
      </c>
      <c r="CT149" s="180"/>
      <c r="CU149" s="180"/>
    </row>
    <row r="150" spans="1:99" s="568" customFormat="1" x14ac:dyDescent="0.3">
      <c r="A150" s="567">
        <v>577</v>
      </c>
      <c r="B150" s="568" t="s">
        <v>944</v>
      </c>
      <c r="D150" s="568">
        <v>2</v>
      </c>
      <c r="E150" s="568">
        <v>0</v>
      </c>
      <c r="F150" s="568">
        <v>2</v>
      </c>
      <c r="G150" s="568">
        <v>0</v>
      </c>
      <c r="H150" s="568">
        <v>2</v>
      </c>
      <c r="I150" s="568">
        <v>2</v>
      </c>
      <c r="J150" s="568">
        <v>1</v>
      </c>
      <c r="L150" s="568">
        <v>2</v>
      </c>
      <c r="M150" s="568">
        <v>2</v>
      </c>
      <c r="O150" s="568">
        <v>0</v>
      </c>
      <c r="P150" s="568">
        <v>2</v>
      </c>
      <c r="Q150" s="568">
        <v>1</v>
      </c>
      <c r="R150" s="568">
        <v>2</v>
      </c>
      <c r="S150" s="568">
        <v>2</v>
      </c>
      <c r="T150" s="568">
        <v>2</v>
      </c>
      <c r="U150" s="568">
        <v>2</v>
      </c>
      <c r="V150" s="568">
        <v>2</v>
      </c>
      <c r="W150" s="568">
        <v>2</v>
      </c>
      <c r="X150" s="568">
        <v>2</v>
      </c>
      <c r="Y150" s="568">
        <v>2</v>
      </c>
      <c r="Z150" s="568">
        <v>2</v>
      </c>
      <c r="AA150" s="568">
        <v>2</v>
      </c>
      <c r="AB150" s="568">
        <v>2</v>
      </c>
      <c r="AC150" s="568">
        <v>2</v>
      </c>
      <c r="AE150" s="568">
        <v>1</v>
      </c>
      <c r="AF150" s="568">
        <v>2</v>
      </c>
      <c r="AG150" s="568">
        <v>2</v>
      </c>
      <c r="AH150" s="568">
        <v>2</v>
      </c>
      <c r="AI150" s="568">
        <v>2</v>
      </c>
      <c r="AJ150" s="568">
        <v>0</v>
      </c>
      <c r="AK150" s="568">
        <v>2</v>
      </c>
      <c r="AL150" s="568">
        <v>2</v>
      </c>
      <c r="AM150" s="568">
        <v>2</v>
      </c>
      <c r="AN150" s="568">
        <v>2</v>
      </c>
      <c r="AO150" s="568">
        <v>2</v>
      </c>
      <c r="AP150" s="568">
        <v>2</v>
      </c>
      <c r="AQ150" s="568">
        <v>2</v>
      </c>
      <c r="AR150" s="568">
        <v>2</v>
      </c>
      <c r="AS150" s="568">
        <v>1</v>
      </c>
      <c r="AT150" s="568">
        <v>2</v>
      </c>
      <c r="AU150" s="568">
        <v>2</v>
      </c>
      <c r="AV150" s="568">
        <v>0</v>
      </c>
      <c r="AW150" s="568">
        <v>0</v>
      </c>
      <c r="AX150" s="568">
        <v>2</v>
      </c>
      <c r="AY150" s="568">
        <v>2</v>
      </c>
      <c r="AZ150" s="568">
        <v>2</v>
      </c>
      <c r="BA150" s="568">
        <v>2</v>
      </c>
      <c r="BB150" s="568">
        <v>2</v>
      </c>
      <c r="BC150" s="568">
        <v>2</v>
      </c>
      <c r="BD150" s="568">
        <v>2</v>
      </c>
      <c r="BE150" s="568">
        <v>2</v>
      </c>
      <c r="BF150" s="568">
        <v>2</v>
      </c>
      <c r="BG150" s="568">
        <v>2</v>
      </c>
      <c r="BH150" s="568">
        <v>2</v>
      </c>
      <c r="BI150" s="568">
        <v>2</v>
      </c>
      <c r="BJ150" s="568">
        <v>2</v>
      </c>
      <c r="BK150" s="568">
        <v>2</v>
      </c>
      <c r="BL150" s="568">
        <v>0</v>
      </c>
      <c r="BM150" s="568">
        <v>2</v>
      </c>
      <c r="BN150" s="568">
        <v>2</v>
      </c>
      <c r="BO150" s="568">
        <v>2</v>
      </c>
      <c r="BP150" s="568">
        <v>2</v>
      </c>
      <c r="BQ150" s="568">
        <v>2</v>
      </c>
      <c r="BR150" s="568">
        <v>2</v>
      </c>
      <c r="BS150" s="568">
        <v>2</v>
      </c>
      <c r="BT150" s="568">
        <v>2</v>
      </c>
      <c r="BU150" s="568">
        <v>0</v>
      </c>
      <c r="BV150" s="568">
        <v>2</v>
      </c>
      <c r="BW150" s="568">
        <v>2</v>
      </c>
      <c r="BZ150" s="568">
        <v>2</v>
      </c>
      <c r="CA150" s="568">
        <v>0</v>
      </c>
      <c r="CC150" s="568">
        <v>1</v>
      </c>
      <c r="CD150" s="568">
        <v>2</v>
      </c>
      <c r="CE150" s="568">
        <v>2</v>
      </c>
      <c r="CF150" s="568">
        <v>2</v>
      </c>
      <c r="CG150" s="568">
        <v>1</v>
      </c>
      <c r="CH150" s="568">
        <v>2</v>
      </c>
      <c r="CI150" s="568">
        <v>2</v>
      </c>
      <c r="CJ150" s="568">
        <v>1</v>
      </c>
      <c r="CK150" s="568">
        <v>1</v>
      </c>
      <c r="CL150" s="568">
        <v>2</v>
      </c>
      <c r="CM150" s="568">
        <v>2</v>
      </c>
      <c r="CN150" s="568">
        <v>2</v>
      </c>
      <c r="CO150" s="568">
        <v>2</v>
      </c>
      <c r="CP150" s="568">
        <v>2</v>
      </c>
      <c r="CQ150" s="568">
        <v>2</v>
      </c>
      <c r="CR150" s="568">
        <v>2</v>
      </c>
      <c r="CS150" s="568">
        <v>2</v>
      </c>
    </row>
    <row r="151" spans="1:99" x14ac:dyDescent="0.3">
      <c r="A151" s="155">
        <v>578</v>
      </c>
      <c r="B151" s="180" t="s">
        <v>945</v>
      </c>
      <c r="C151" s="180"/>
      <c r="D151" s="180">
        <v>0</v>
      </c>
      <c r="E151" s="180">
        <v>0</v>
      </c>
      <c r="F151" s="180">
        <v>0</v>
      </c>
      <c r="G151" s="180">
        <v>0</v>
      </c>
      <c r="H151" s="180">
        <v>0</v>
      </c>
      <c r="I151" s="180">
        <v>0</v>
      </c>
      <c r="J151" s="180">
        <v>0</v>
      </c>
      <c r="K151" s="180"/>
      <c r="L151" s="180">
        <v>0</v>
      </c>
      <c r="M151" s="180">
        <v>0</v>
      </c>
      <c r="N151" s="180"/>
      <c r="O151" s="180">
        <v>0</v>
      </c>
      <c r="P151" s="180">
        <v>0</v>
      </c>
      <c r="Q151" s="180">
        <v>0</v>
      </c>
      <c r="R151" s="180">
        <v>0</v>
      </c>
      <c r="S151" s="180">
        <v>9090</v>
      </c>
      <c r="T151" s="180">
        <v>0</v>
      </c>
      <c r="U151" s="180">
        <v>0</v>
      </c>
      <c r="V151" s="180">
        <v>0</v>
      </c>
      <c r="W151" s="180">
        <v>0</v>
      </c>
      <c r="X151" s="180">
        <v>0</v>
      </c>
      <c r="Y151" s="180">
        <v>0</v>
      </c>
      <c r="Z151" s="180">
        <v>0</v>
      </c>
      <c r="AA151" s="180">
        <v>0</v>
      </c>
      <c r="AB151" s="180">
        <v>0</v>
      </c>
      <c r="AC151" s="180">
        <v>0</v>
      </c>
      <c r="AD151" s="180"/>
      <c r="AE151" s="180">
        <v>0</v>
      </c>
      <c r="AF151" s="180">
        <v>0</v>
      </c>
      <c r="AG151" s="180">
        <v>0</v>
      </c>
      <c r="AH151" s="180">
        <v>0</v>
      </c>
      <c r="AI151" s="180">
        <v>0</v>
      </c>
      <c r="AJ151" s="180">
        <v>0</v>
      </c>
      <c r="AK151" s="180">
        <v>0</v>
      </c>
      <c r="AL151" s="180">
        <v>0</v>
      </c>
      <c r="AM151" s="180">
        <v>0</v>
      </c>
      <c r="AN151" s="180">
        <v>0</v>
      </c>
      <c r="AO151" s="180">
        <v>188174</v>
      </c>
      <c r="AP151" s="180">
        <v>0</v>
      </c>
      <c r="AQ151" s="180">
        <v>0</v>
      </c>
      <c r="AR151" s="180">
        <v>0</v>
      </c>
      <c r="AS151" s="180">
        <v>0</v>
      </c>
      <c r="AT151" s="180">
        <v>0</v>
      </c>
      <c r="AU151" s="180">
        <v>0</v>
      </c>
      <c r="AV151" s="180">
        <v>0</v>
      </c>
      <c r="AW151" s="180">
        <v>0</v>
      </c>
      <c r="AX151" s="180">
        <v>0</v>
      </c>
      <c r="AY151" s="180">
        <v>0</v>
      </c>
      <c r="AZ151" s="180">
        <v>0</v>
      </c>
      <c r="BA151" s="180">
        <v>0</v>
      </c>
      <c r="BB151" s="180">
        <v>0</v>
      </c>
      <c r="BC151" s="180">
        <v>0</v>
      </c>
      <c r="BD151" s="180">
        <v>0</v>
      </c>
      <c r="BE151" s="180">
        <v>0</v>
      </c>
      <c r="BF151" s="180">
        <v>0</v>
      </c>
      <c r="BG151" s="180">
        <v>99535</v>
      </c>
      <c r="BH151" s="180">
        <v>0</v>
      </c>
      <c r="BI151" s="180">
        <v>0</v>
      </c>
      <c r="BJ151" s="180">
        <v>0</v>
      </c>
      <c r="BK151" s="180">
        <v>0</v>
      </c>
      <c r="BL151" s="180">
        <v>0</v>
      </c>
      <c r="BM151" s="180">
        <v>0</v>
      </c>
      <c r="BN151" s="180">
        <v>0</v>
      </c>
      <c r="BO151" s="180">
        <v>0</v>
      </c>
      <c r="BP151" s="180">
        <v>0</v>
      </c>
      <c r="BQ151" s="180">
        <v>0</v>
      </c>
      <c r="BR151" s="180">
        <v>0</v>
      </c>
      <c r="BS151" s="180">
        <v>0</v>
      </c>
      <c r="BT151" s="180">
        <v>0</v>
      </c>
      <c r="BU151" s="180">
        <v>0</v>
      </c>
      <c r="BV151" s="180">
        <v>0</v>
      </c>
      <c r="BW151" s="180">
        <v>0</v>
      </c>
      <c r="BX151" s="180"/>
      <c r="BY151" s="180"/>
      <c r="BZ151" s="180">
        <v>0</v>
      </c>
      <c r="CA151" s="180">
        <v>0</v>
      </c>
      <c r="CB151" s="180"/>
      <c r="CC151" s="180">
        <v>0</v>
      </c>
      <c r="CD151" s="180">
        <v>0</v>
      </c>
      <c r="CE151" s="180">
        <v>0</v>
      </c>
      <c r="CF151" s="180">
        <v>0</v>
      </c>
      <c r="CG151" s="180">
        <v>0</v>
      </c>
      <c r="CH151" s="180">
        <v>0</v>
      </c>
      <c r="CI151" s="180">
        <v>0</v>
      </c>
      <c r="CJ151" s="180">
        <v>0</v>
      </c>
      <c r="CK151" s="180">
        <v>0</v>
      </c>
      <c r="CL151" s="180">
        <v>15656</v>
      </c>
      <c r="CM151" s="180">
        <v>0</v>
      </c>
      <c r="CN151" s="180">
        <v>0</v>
      </c>
      <c r="CO151" s="180">
        <v>0</v>
      </c>
      <c r="CP151" s="180">
        <v>0</v>
      </c>
      <c r="CQ151" s="180">
        <v>0</v>
      </c>
      <c r="CR151" s="180">
        <v>0</v>
      </c>
      <c r="CS151" s="180">
        <v>0</v>
      </c>
      <c r="CT151" s="180"/>
      <c r="CU151" s="180"/>
    </row>
    <row r="152" spans="1:99" x14ac:dyDescent="0.3">
      <c r="A152" s="155">
        <v>579</v>
      </c>
      <c r="B152" s="180" t="s">
        <v>946</v>
      </c>
      <c r="C152" s="180"/>
      <c r="D152" s="180">
        <v>0</v>
      </c>
      <c r="E152" s="180">
        <v>0</v>
      </c>
      <c r="F152" s="180">
        <v>0</v>
      </c>
      <c r="G152" s="180">
        <v>0</v>
      </c>
      <c r="H152" s="180">
        <v>0</v>
      </c>
      <c r="I152" s="180">
        <v>0</v>
      </c>
      <c r="J152" s="180">
        <v>0</v>
      </c>
      <c r="K152" s="180"/>
      <c r="L152" s="180">
        <v>0</v>
      </c>
      <c r="M152" s="180">
        <v>0</v>
      </c>
      <c r="N152" s="180"/>
      <c r="O152" s="180">
        <v>0</v>
      </c>
      <c r="P152" s="180">
        <v>0</v>
      </c>
      <c r="Q152" s="180">
        <v>0</v>
      </c>
      <c r="R152" s="180">
        <v>0</v>
      </c>
      <c r="S152" s="180">
        <v>0</v>
      </c>
      <c r="T152" s="180">
        <v>0</v>
      </c>
      <c r="U152" s="180">
        <v>0</v>
      </c>
      <c r="V152" s="180">
        <v>0</v>
      </c>
      <c r="W152" s="180">
        <v>0</v>
      </c>
      <c r="X152" s="180">
        <v>0</v>
      </c>
      <c r="Y152" s="180">
        <v>0</v>
      </c>
      <c r="Z152" s="180">
        <v>0</v>
      </c>
      <c r="AA152" s="180">
        <v>0</v>
      </c>
      <c r="AB152" s="180">
        <v>0</v>
      </c>
      <c r="AC152" s="180">
        <v>0</v>
      </c>
      <c r="AD152" s="180"/>
      <c r="AE152" s="180">
        <v>0</v>
      </c>
      <c r="AF152" s="180">
        <v>0</v>
      </c>
      <c r="AG152" s="180">
        <v>0</v>
      </c>
      <c r="AH152" s="180">
        <v>0</v>
      </c>
      <c r="AI152" s="180">
        <v>0</v>
      </c>
      <c r="AJ152" s="180">
        <v>0</v>
      </c>
      <c r="AK152" s="180">
        <v>0</v>
      </c>
      <c r="AL152" s="180">
        <v>0</v>
      </c>
      <c r="AM152" s="180">
        <v>0</v>
      </c>
      <c r="AN152" s="180">
        <v>0</v>
      </c>
      <c r="AO152" s="180">
        <v>144256</v>
      </c>
      <c r="AP152" s="180">
        <v>94</v>
      </c>
      <c r="AQ152" s="180">
        <v>0</v>
      </c>
      <c r="AR152" s="180">
        <v>0</v>
      </c>
      <c r="AS152" s="180">
        <v>0</v>
      </c>
      <c r="AT152" s="180">
        <v>0</v>
      </c>
      <c r="AU152" s="180">
        <v>0</v>
      </c>
      <c r="AV152" s="180">
        <v>0</v>
      </c>
      <c r="AW152" s="180">
        <v>0</v>
      </c>
      <c r="AX152" s="180">
        <v>0</v>
      </c>
      <c r="AY152" s="180">
        <v>0</v>
      </c>
      <c r="AZ152" s="180">
        <v>0</v>
      </c>
      <c r="BA152" s="180">
        <v>0</v>
      </c>
      <c r="BB152" s="180">
        <v>0</v>
      </c>
      <c r="BC152" s="180">
        <v>0</v>
      </c>
      <c r="BD152" s="180">
        <v>0</v>
      </c>
      <c r="BE152" s="180">
        <v>0</v>
      </c>
      <c r="BF152" s="180">
        <v>0</v>
      </c>
      <c r="BG152" s="180">
        <v>0</v>
      </c>
      <c r="BH152" s="180">
        <v>0</v>
      </c>
      <c r="BI152" s="180">
        <v>0</v>
      </c>
      <c r="BJ152" s="180">
        <v>0</v>
      </c>
      <c r="BK152" s="180">
        <v>0</v>
      </c>
      <c r="BL152" s="180">
        <v>0</v>
      </c>
      <c r="BM152" s="180">
        <v>0</v>
      </c>
      <c r="BN152" s="180">
        <v>0</v>
      </c>
      <c r="BO152" s="180">
        <v>0</v>
      </c>
      <c r="BP152" s="180">
        <v>0</v>
      </c>
      <c r="BQ152" s="180">
        <v>0</v>
      </c>
      <c r="BR152" s="180">
        <v>0</v>
      </c>
      <c r="BS152" s="180">
        <v>0</v>
      </c>
      <c r="BT152" s="180">
        <v>0</v>
      </c>
      <c r="BU152" s="180">
        <v>0</v>
      </c>
      <c r="BV152" s="180">
        <v>0</v>
      </c>
      <c r="BW152" s="180">
        <v>0</v>
      </c>
      <c r="BX152" s="180"/>
      <c r="BY152" s="180"/>
      <c r="BZ152" s="180">
        <v>0</v>
      </c>
      <c r="CA152" s="180">
        <v>0</v>
      </c>
      <c r="CB152" s="180"/>
      <c r="CC152" s="180">
        <v>67832</v>
      </c>
      <c r="CD152" s="180">
        <v>0</v>
      </c>
      <c r="CE152" s="180">
        <v>0</v>
      </c>
      <c r="CF152" s="180">
        <v>0</v>
      </c>
      <c r="CG152" s="180">
        <v>0</v>
      </c>
      <c r="CH152" s="180">
        <v>0</v>
      </c>
      <c r="CI152" s="180">
        <v>0</v>
      </c>
      <c r="CJ152" s="180">
        <v>0</v>
      </c>
      <c r="CK152" s="180">
        <v>0</v>
      </c>
      <c r="CL152" s="180">
        <v>0</v>
      </c>
      <c r="CM152" s="180">
        <v>0</v>
      </c>
      <c r="CN152" s="180">
        <v>0</v>
      </c>
      <c r="CO152" s="180">
        <v>0</v>
      </c>
      <c r="CP152" s="180">
        <v>0</v>
      </c>
      <c r="CQ152" s="180">
        <v>0</v>
      </c>
      <c r="CR152" s="180">
        <v>0</v>
      </c>
      <c r="CS152" s="180">
        <v>0</v>
      </c>
      <c r="CT152" s="180"/>
      <c r="CU152" s="180"/>
    </row>
    <row r="153" spans="1:99" x14ac:dyDescent="0.3">
      <c r="A153" s="155">
        <v>580</v>
      </c>
      <c r="B153" s="180" t="s">
        <v>947</v>
      </c>
      <c r="C153" s="180"/>
      <c r="D153" s="180">
        <v>0</v>
      </c>
      <c r="E153" s="180">
        <v>0</v>
      </c>
      <c r="F153" s="180">
        <v>0</v>
      </c>
      <c r="G153" s="180">
        <v>0</v>
      </c>
      <c r="H153" s="180">
        <v>0</v>
      </c>
      <c r="I153" s="180">
        <v>0</v>
      </c>
      <c r="J153" s="180">
        <v>0</v>
      </c>
      <c r="K153" s="180"/>
      <c r="L153" s="180">
        <v>0</v>
      </c>
      <c r="M153" s="180">
        <v>0</v>
      </c>
      <c r="N153" s="180"/>
      <c r="O153" s="180">
        <v>0</v>
      </c>
      <c r="P153" s="180">
        <v>0</v>
      </c>
      <c r="Q153" s="180">
        <v>0</v>
      </c>
      <c r="R153" s="180">
        <v>0</v>
      </c>
      <c r="S153" s="180">
        <v>0</v>
      </c>
      <c r="T153" s="180">
        <v>0</v>
      </c>
      <c r="U153" s="180">
        <v>0</v>
      </c>
      <c r="V153" s="180">
        <v>0</v>
      </c>
      <c r="W153" s="180">
        <v>0</v>
      </c>
      <c r="X153" s="180">
        <v>0</v>
      </c>
      <c r="Y153" s="180">
        <v>0</v>
      </c>
      <c r="Z153" s="180">
        <v>0</v>
      </c>
      <c r="AA153" s="180">
        <v>0</v>
      </c>
      <c r="AB153" s="180">
        <v>0</v>
      </c>
      <c r="AC153" s="180">
        <v>0</v>
      </c>
      <c r="AD153" s="180"/>
      <c r="AE153" s="180">
        <v>0</v>
      </c>
      <c r="AF153" s="180">
        <v>0</v>
      </c>
      <c r="AG153" s="180">
        <v>0</v>
      </c>
      <c r="AH153" s="180">
        <v>0</v>
      </c>
      <c r="AI153" s="180">
        <v>0</v>
      </c>
      <c r="AJ153" s="180">
        <v>0</v>
      </c>
      <c r="AK153" s="180">
        <v>0</v>
      </c>
      <c r="AL153" s="180">
        <v>0</v>
      </c>
      <c r="AM153" s="180">
        <v>0</v>
      </c>
      <c r="AN153" s="180">
        <v>0</v>
      </c>
      <c r="AO153" s="180">
        <v>0</v>
      </c>
      <c r="AP153" s="180">
        <v>0</v>
      </c>
      <c r="AQ153" s="180">
        <v>0</v>
      </c>
      <c r="AR153" s="180">
        <v>0</v>
      </c>
      <c r="AS153" s="180">
        <v>0</v>
      </c>
      <c r="AT153" s="180">
        <v>0</v>
      </c>
      <c r="AU153" s="180">
        <v>0</v>
      </c>
      <c r="AV153" s="180">
        <v>0</v>
      </c>
      <c r="AW153" s="180">
        <v>0</v>
      </c>
      <c r="AX153" s="180">
        <v>0</v>
      </c>
      <c r="AY153" s="180">
        <v>0</v>
      </c>
      <c r="AZ153" s="180">
        <v>0</v>
      </c>
      <c r="BA153" s="180">
        <v>0</v>
      </c>
      <c r="BB153" s="180">
        <v>0</v>
      </c>
      <c r="BC153" s="180">
        <v>0</v>
      </c>
      <c r="BD153" s="180">
        <v>0</v>
      </c>
      <c r="BE153" s="180">
        <v>0</v>
      </c>
      <c r="BF153" s="180">
        <v>0</v>
      </c>
      <c r="BG153" s="180">
        <v>0</v>
      </c>
      <c r="BH153" s="180">
        <v>0</v>
      </c>
      <c r="BI153" s="180">
        <v>0</v>
      </c>
      <c r="BJ153" s="180">
        <v>0</v>
      </c>
      <c r="BK153" s="180">
        <v>0</v>
      </c>
      <c r="BL153" s="180">
        <v>0</v>
      </c>
      <c r="BM153" s="180">
        <v>0</v>
      </c>
      <c r="BN153" s="180">
        <v>0</v>
      </c>
      <c r="BO153" s="180">
        <v>0</v>
      </c>
      <c r="BP153" s="180">
        <v>0</v>
      </c>
      <c r="BQ153" s="180">
        <v>0</v>
      </c>
      <c r="BR153" s="180">
        <v>0</v>
      </c>
      <c r="BS153" s="180">
        <v>0</v>
      </c>
      <c r="BT153" s="180">
        <v>0</v>
      </c>
      <c r="BU153" s="180">
        <v>0</v>
      </c>
      <c r="BV153" s="180">
        <v>0</v>
      </c>
      <c r="BW153" s="180">
        <v>0</v>
      </c>
      <c r="BX153" s="180"/>
      <c r="BY153" s="180"/>
      <c r="BZ153" s="180">
        <v>0</v>
      </c>
      <c r="CA153" s="180">
        <v>0</v>
      </c>
      <c r="CB153" s="180"/>
      <c r="CC153" s="180">
        <v>0</v>
      </c>
      <c r="CD153" s="180">
        <v>0</v>
      </c>
      <c r="CE153" s="180">
        <v>0</v>
      </c>
      <c r="CF153" s="180">
        <v>0</v>
      </c>
      <c r="CG153" s="180">
        <v>0</v>
      </c>
      <c r="CH153" s="180">
        <v>0</v>
      </c>
      <c r="CI153" s="180">
        <v>0</v>
      </c>
      <c r="CJ153" s="180">
        <v>0</v>
      </c>
      <c r="CK153" s="180">
        <v>0</v>
      </c>
      <c r="CL153" s="180">
        <v>0</v>
      </c>
      <c r="CM153" s="180">
        <v>0</v>
      </c>
      <c r="CN153" s="180">
        <v>0</v>
      </c>
      <c r="CO153" s="180">
        <v>0</v>
      </c>
      <c r="CP153" s="180">
        <v>0</v>
      </c>
      <c r="CQ153" s="180">
        <v>0</v>
      </c>
      <c r="CR153" s="180">
        <v>0</v>
      </c>
      <c r="CS153" s="180">
        <v>0</v>
      </c>
      <c r="CT153" s="180"/>
      <c r="CU153" s="180"/>
    </row>
    <row r="154" spans="1:99" x14ac:dyDescent="0.3">
      <c r="A154" s="155">
        <v>581</v>
      </c>
      <c r="B154" s="180" t="s">
        <v>948</v>
      </c>
      <c r="C154" s="180"/>
      <c r="D154" s="180">
        <v>0</v>
      </c>
      <c r="E154" s="180">
        <v>0</v>
      </c>
      <c r="F154" s="180">
        <v>0</v>
      </c>
      <c r="G154" s="180">
        <v>0</v>
      </c>
      <c r="H154" s="180">
        <v>0</v>
      </c>
      <c r="I154" s="180">
        <v>0</v>
      </c>
      <c r="J154" s="180">
        <v>0</v>
      </c>
      <c r="K154" s="180"/>
      <c r="L154" s="180">
        <v>0</v>
      </c>
      <c r="M154" s="180">
        <v>10089453</v>
      </c>
      <c r="N154" s="180"/>
      <c r="O154" s="180">
        <v>0</v>
      </c>
      <c r="P154" s="180">
        <v>0</v>
      </c>
      <c r="Q154" s="180">
        <v>0</v>
      </c>
      <c r="R154" s="180">
        <v>0</v>
      </c>
      <c r="S154" s="180">
        <v>0</v>
      </c>
      <c r="T154" s="180">
        <v>0</v>
      </c>
      <c r="U154" s="180">
        <v>0</v>
      </c>
      <c r="V154" s="180">
        <v>0</v>
      </c>
      <c r="W154" s="180">
        <v>0</v>
      </c>
      <c r="X154" s="180">
        <v>0</v>
      </c>
      <c r="Y154" s="180">
        <v>0</v>
      </c>
      <c r="Z154" s="180">
        <v>0</v>
      </c>
      <c r="AA154" s="180">
        <v>0</v>
      </c>
      <c r="AB154" s="180">
        <v>0</v>
      </c>
      <c r="AC154" s="180">
        <v>0</v>
      </c>
      <c r="AD154" s="180"/>
      <c r="AE154" s="180">
        <v>0</v>
      </c>
      <c r="AF154" s="180">
        <v>0</v>
      </c>
      <c r="AG154" s="180">
        <v>0</v>
      </c>
      <c r="AH154" s="180">
        <v>0</v>
      </c>
      <c r="AI154" s="180">
        <v>0</v>
      </c>
      <c r="AJ154" s="180">
        <v>0</v>
      </c>
      <c r="AK154" s="180">
        <v>0</v>
      </c>
      <c r="AL154" s="180">
        <v>0</v>
      </c>
      <c r="AM154" s="180">
        <v>0</v>
      </c>
      <c r="AN154" s="180">
        <v>0</v>
      </c>
      <c r="AO154" s="180">
        <v>0</v>
      </c>
      <c r="AP154" s="180">
        <v>0</v>
      </c>
      <c r="AQ154" s="180">
        <v>0</v>
      </c>
      <c r="AR154" s="180">
        <v>0</v>
      </c>
      <c r="AS154" s="180">
        <v>0</v>
      </c>
      <c r="AT154" s="180">
        <v>0</v>
      </c>
      <c r="AU154" s="180">
        <v>0</v>
      </c>
      <c r="AV154" s="180">
        <v>0</v>
      </c>
      <c r="AW154" s="180">
        <v>0</v>
      </c>
      <c r="AX154" s="180">
        <v>0</v>
      </c>
      <c r="AY154" s="180">
        <v>0</v>
      </c>
      <c r="AZ154" s="180">
        <v>0</v>
      </c>
      <c r="BA154" s="180">
        <v>0</v>
      </c>
      <c r="BB154" s="180">
        <v>0</v>
      </c>
      <c r="BC154" s="180">
        <v>0</v>
      </c>
      <c r="BD154" s="180">
        <v>0</v>
      </c>
      <c r="BE154" s="180">
        <v>0</v>
      </c>
      <c r="BF154" s="180">
        <v>0</v>
      </c>
      <c r="BG154" s="180">
        <v>99535</v>
      </c>
      <c r="BH154" s="180">
        <v>0</v>
      </c>
      <c r="BI154" s="180">
        <v>0</v>
      </c>
      <c r="BJ154" s="180">
        <v>0</v>
      </c>
      <c r="BK154" s="180">
        <v>0</v>
      </c>
      <c r="BL154" s="180">
        <v>0</v>
      </c>
      <c r="BM154" s="180">
        <v>0</v>
      </c>
      <c r="BN154" s="180">
        <v>726972</v>
      </c>
      <c r="BO154" s="180">
        <v>0</v>
      </c>
      <c r="BP154" s="180">
        <v>0</v>
      </c>
      <c r="BQ154" s="180">
        <v>0</v>
      </c>
      <c r="BR154" s="180">
        <v>0</v>
      </c>
      <c r="BS154" s="180">
        <v>0</v>
      </c>
      <c r="BT154" s="180">
        <v>0</v>
      </c>
      <c r="BU154" s="180">
        <v>0</v>
      </c>
      <c r="BV154" s="180">
        <v>0</v>
      </c>
      <c r="BW154" s="180">
        <v>0</v>
      </c>
      <c r="BX154" s="180"/>
      <c r="BY154" s="180"/>
      <c r="BZ154" s="180">
        <v>0</v>
      </c>
      <c r="CA154" s="180">
        <v>0</v>
      </c>
      <c r="CB154" s="180"/>
      <c r="CC154" s="180">
        <v>0</v>
      </c>
      <c r="CD154" s="180">
        <v>0</v>
      </c>
      <c r="CE154" s="180">
        <v>0</v>
      </c>
      <c r="CF154" s="180">
        <v>0</v>
      </c>
      <c r="CG154" s="180">
        <v>0</v>
      </c>
      <c r="CH154" s="180">
        <v>0</v>
      </c>
      <c r="CI154" s="180">
        <v>0</v>
      </c>
      <c r="CJ154" s="180">
        <v>0</v>
      </c>
      <c r="CK154" s="180">
        <v>0</v>
      </c>
      <c r="CL154" s="180">
        <v>0</v>
      </c>
      <c r="CM154" s="180">
        <v>0</v>
      </c>
      <c r="CN154" s="180">
        <v>0</v>
      </c>
      <c r="CO154" s="180">
        <v>0</v>
      </c>
      <c r="CP154" s="180">
        <v>0</v>
      </c>
      <c r="CQ154" s="180">
        <v>0</v>
      </c>
      <c r="CR154" s="180">
        <v>0</v>
      </c>
      <c r="CS154" s="180">
        <v>0</v>
      </c>
      <c r="CT154" s="180"/>
      <c r="CU154" s="180"/>
    </row>
    <row r="155" spans="1:99" x14ac:dyDescent="0.3">
      <c r="A155" s="155">
        <v>586</v>
      </c>
      <c r="B155" s="180" t="s">
        <v>950</v>
      </c>
      <c r="C155" s="180"/>
      <c r="D155" s="180">
        <v>0</v>
      </c>
      <c r="E155" s="180">
        <v>0</v>
      </c>
      <c r="F155" s="180">
        <v>0</v>
      </c>
      <c r="G155" s="180">
        <v>0</v>
      </c>
      <c r="H155" s="180">
        <v>0</v>
      </c>
      <c r="I155" s="180">
        <v>0</v>
      </c>
      <c r="J155" s="180">
        <v>0</v>
      </c>
      <c r="K155" s="180"/>
      <c r="L155" s="180">
        <v>0</v>
      </c>
      <c r="M155" s="180">
        <v>0</v>
      </c>
      <c r="N155" s="180"/>
      <c r="O155" s="180">
        <v>0</v>
      </c>
      <c r="P155" s="180">
        <v>0</v>
      </c>
      <c r="Q155" s="180">
        <v>0</v>
      </c>
      <c r="R155" s="180">
        <v>0</v>
      </c>
      <c r="S155" s="180">
        <v>9090</v>
      </c>
      <c r="T155" s="180">
        <v>0</v>
      </c>
      <c r="U155" s="180">
        <v>0</v>
      </c>
      <c r="V155" s="180">
        <v>0</v>
      </c>
      <c r="W155" s="180">
        <v>0</v>
      </c>
      <c r="X155" s="180">
        <v>0</v>
      </c>
      <c r="Y155" s="180">
        <v>0</v>
      </c>
      <c r="Z155" s="180">
        <v>0</v>
      </c>
      <c r="AA155" s="180">
        <v>0</v>
      </c>
      <c r="AB155" s="180">
        <v>0</v>
      </c>
      <c r="AC155" s="180">
        <v>0</v>
      </c>
      <c r="AD155" s="180"/>
      <c r="AE155" s="180">
        <v>0</v>
      </c>
      <c r="AF155" s="180">
        <v>0</v>
      </c>
      <c r="AG155" s="180">
        <v>0</v>
      </c>
      <c r="AH155" s="180">
        <v>0</v>
      </c>
      <c r="AI155" s="180">
        <v>0</v>
      </c>
      <c r="AJ155" s="180">
        <v>0</v>
      </c>
      <c r="AK155" s="180">
        <v>0</v>
      </c>
      <c r="AL155" s="180">
        <v>0</v>
      </c>
      <c r="AM155" s="180">
        <v>0</v>
      </c>
      <c r="AN155" s="180">
        <v>0</v>
      </c>
      <c r="AO155" s="180">
        <v>188174</v>
      </c>
      <c r="AP155" s="180">
        <v>0</v>
      </c>
      <c r="AQ155" s="180">
        <v>0</v>
      </c>
      <c r="AR155" s="180">
        <v>77818</v>
      </c>
      <c r="AS155" s="180">
        <v>0</v>
      </c>
      <c r="AT155" s="180">
        <v>0</v>
      </c>
      <c r="AU155" s="180">
        <v>0</v>
      </c>
      <c r="AV155" s="180">
        <v>0</v>
      </c>
      <c r="AW155" s="180">
        <v>0</v>
      </c>
      <c r="AX155" s="180">
        <v>0</v>
      </c>
      <c r="AY155" s="180">
        <v>0</v>
      </c>
      <c r="AZ155" s="180">
        <v>0</v>
      </c>
      <c r="BA155" s="180">
        <v>0</v>
      </c>
      <c r="BB155" s="180">
        <v>0</v>
      </c>
      <c r="BC155" s="180">
        <v>0</v>
      </c>
      <c r="BD155" s="180">
        <v>0</v>
      </c>
      <c r="BE155" s="180">
        <v>0</v>
      </c>
      <c r="BF155" s="180">
        <v>0</v>
      </c>
      <c r="BG155" s="180">
        <v>0</v>
      </c>
      <c r="BH155" s="180">
        <v>0</v>
      </c>
      <c r="BI155" s="180">
        <v>0</v>
      </c>
      <c r="BJ155" s="180">
        <v>0</v>
      </c>
      <c r="BK155" s="180">
        <v>0</v>
      </c>
      <c r="BL155" s="180">
        <v>0</v>
      </c>
      <c r="BM155" s="180">
        <v>0</v>
      </c>
      <c r="BN155" s="180">
        <v>0</v>
      </c>
      <c r="BO155" s="180">
        <v>0</v>
      </c>
      <c r="BP155" s="180">
        <v>0</v>
      </c>
      <c r="BQ155" s="180">
        <v>0</v>
      </c>
      <c r="BR155" s="180">
        <v>0</v>
      </c>
      <c r="BS155" s="180">
        <v>0</v>
      </c>
      <c r="BT155" s="180">
        <v>0</v>
      </c>
      <c r="BU155" s="180">
        <v>0</v>
      </c>
      <c r="BV155" s="180">
        <v>0</v>
      </c>
      <c r="BW155" s="180">
        <v>0</v>
      </c>
      <c r="BX155" s="180"/>
      <c r="BY155" s="180"/>
      <c r="BZ155" s="180">
        <v>0</v>
      </c>
      <c r="CA155" s="180">
        <v>0</v>
      </c>
      <c r="CB155" s="180"/>
      <c r="CC155" s="180">
        <v>0</v>
      </c>
      <c r="CD155" s="180">
        <v>0</v>
      </c>
      <c r="CE155" s="180">
        <v>0</v>
      </c>
      <c r="CF155" s="180">
        <v>0</v>
      </c>
      <c r="CG155" s="180">
        <v>0</v>
      </c>
      <c r="CH155" s="180">
        <v>0</v>
      </c>
      <c r="CI155" s="180">
        <v>0</v>
      </c>
      <c r="CJ155" s="180">
        <v>0</v>
      </c>
      <c r="CK155" s="180">
        <v>0</v>
      </c>
      <c r="CL155" s="180">
        <v>0</v>
      </c>
      <c r="CM155" s="180">
        <v>0</v>
      </c>
      <c r="CN155" s="180">
        <v>0</v>
      </c>
      <c r="CO155" s="180">
        <v>0</v>
      </c>
      <c r="CP155" s="180">
        <v>0</v>
      </c>
      <c r="CQ155" s="180">
        <v>0</v>
      </c>
      <c r="CR155" s="180">
        <v>0</v>
      </c>
      <c r="CS155" s="180">
        <v>0</v>
      </c>
      <c r="CT155" s="180"/>
      <c r="CU155" s="180"/>
    </row>
    <row r="156" spans="1:99" x14ac:dyDescent="0.3">
      <c r="A156" s="155">
        <v>590</v>
      </c>
      <c r="B156" s="180" t="s">
        <v>1665</v>
      </c>
      <c r="C156" s="180"/>
      <c r="D156" s="180"/>
      <c r="E156" s="180"/>
      <c r="F156" s="180"/>
      <c r="G156" s="180"/>
      <c r="H156" s="180"/>
      <c r="I156" s="180"/>
      <c r="J156" s="180"/>
      <c r="K156" s="180"/>
      <c r="L156" s="180" t="s">
        <v>2683</v>
      </c>
      <c r="M156" s="180"/>
      <c r="N156" s="180"/>
      <c r="O156" s="180"/>
      <c r="P156" s="180" t="s">
        <v>2140</v>
      </c>
      <c r="Q156" s="180"/>
      <c r="R156" s="180" t="s">
        <v>1666</v>
      </c>
      <c r="S156" s="180"/>
      <c r="T156" s="180" t="s">
        <v>1666</v>
      </c>
      <c r="U156" s="180" t="s">
        <v>1666</v>
      </c>
      <c r="V156" s="180"/>
      <c r="W156" s="180"/>
      <c r="X156" s="180"/>
      <c r="Y156" s="180"/>
      <c r="Z156" s="180"/>
      <c r="AA156" s="180"/>
      <c r="AB156" s="180"/>
      <c r="AC156" s="180"/>
      <c r="AD156" s="180"/>
      <c r="AE156" s="180"/>
      <c r="AF156" s="180"/>
      <c r="AG156" s="180"/>
      <c r="AH156" s="180"/>
      <c r="AI156" s="180"/>
      <c r="AJ156" s="180" t="s">
        <v>1666</v>
      </c>
      <c r="AK156" s="180"/>
      <c r="AL156" s="180"/>
      <c r="AM156" s="180"/>
      <c r="AN156" s="180" t="s">
        <v>2684</v>
      </c>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t="s">
        <v>2140</v>
      </c>
      <c r="CA156" s="180"/>
      <c r="CB156" s="180"/>
      <c r="CC156" s="180"/>
      <c r="CD156" s="180" t="s">
        <v>2685</v>
      </c>
      <c r="CE156" s="180"/>
      <c r="CF156" s="180"/>
      <c r="CG156" s="180"/>
      <c r="CH156" s="180"/>
      <c r="CI156" s="180"/>
      <c r="CJ156" s="180" t="s">
        <v>2686</v>
      </c>
      <c r="CK156" s="180"/>
      <c r="CL156" s="180"/>
      <c r="CM156" s="180"/>
      <c r="CN156" s="180"/>
      <c r="CO156" s="180"/>
      <c r="CP156" s="180" t="s">
        <v>2687</v>
      </c>
      <c r="CQ156" s="180"/>
      <c r="CR156" s="180"/>
      <c r="CS156" s="180"/>
      <c r="CT156" s="180"/>
      <c r="CU156" s="180"/>
    </row>
    <row r="157" spans="1:99" s="571" customFormat="1" x14ac:dyDescent="0.3">
      <c r="A157" s="570">
        <v>591</v>
      </c>
      <c r="B157" s="571" t="s">
        <v>329</v>
      </c>
      <c r="D157" s="571">
        <v>0</v>
      </c>
      <c r="E157" s="571">
        <v>0</v>
      </c>
      <c r="F157" s="571">
        <v>917593</v>
      </c>
      <c r="G157" s="571">
        <v>0</v>
      </c>
      <c r="H157" s="571">
        <v>281716</v>
      </c>
      <c r="I157" s="571">
        <v>561006</v>
      </c>
      <c r="J157" s="571">
        <v>2852128</v>
      </c>
      <c r="L157" s="571">
        <v>282736</v>
      </c>
      <c r="M157" s="571">
        <v>57314123</v>
      </c>
      <c r="O157" s="571">
        <v>0</v>
      </c>
      <c r="P157" s="571">
        <v>541588</v>
      </c>
      <c r="Q157" s="571">
        <v>933104</v>
      </c>
      <c r="R157" s="571">
        <v>0</v>
      </c>
      <c r="S157" s="571">
        <v>365872</v>
      </c>
      <c r="T157" s="571">
        <v>630120</v>
      </c>
      <c r="U157" s="571">
        <v>0</v>
      </c>
      <c r="V157" s="571">
        <v>0</v>
      </c>
      <c r="W157" s="571">
        <v>4391873</v>
      </c>
      <c r="X157" s="571">
        <v>522343</v>
      </c>
      <c r="Y157" s="571">
        <v>1086888</v>
      </c>
      <c r="Z157" s="571">
        <v>0</v>
      </c>
      <c r="AA157" s="571">
        <v>281163</v>
      </c>
      <c r="AB157" s="571">
        <v>0</v>
      </c>
      <c r="AC157" s="571">
        <v>29265556</v>
      </c>
      <c r="AE157" s="571">
        <v>284970</v>
      </c>
      <c r="AF157" s="571">
        <v>331110</v>
      </c>
      <c r="AG157" s="571">
        <v>13566376</v>
      </c>
      <c r="AH157" s="571">
        <v>0</v>
      </c>
      <c r="AI157" s="571">
        <v>738246</v>
      </c>
      <c r="AJ157" s="571">
        <v>0</v>
      </c>
      <c r="AK157" s="571">
        <v>296568</v>
      </c>
      <c r="AL157" s="571">
        <v>2538717</v>
      </c>
      <c r="AM157" s="571">
        <v>2870785</v>
      </c>
      <c r="AN157" s="571">
        <v>1991819</v>
      </c>
      <c r="AO157" s="571">
        <v>1884702</v>
      </c>
      <c r="AP157" s="571">
        <v>57777</v>
      </c>
      <c r="AQ157" s="571">
        <v>0</v>
      </c>
      <c r="AR157" s="571">
        <v>5435834</v>
      </c>
      <c r="AS157" s="571">
        <v>743186</v>
      </c>
      <c r="AT157" s="571">
        <v>0</v>
      </c>
      <c r="AU157" s="571">
        <v>0</v>
      </c>
      <c r="AV157" s="571">
        <v>0</v>
      </c>
      <c r="AW157" s="571">
        <v>0</v>
      </c>
      <c r="AX157" s="571">
        <v>163042</v>
      </c>
      <c r="AY157" s="571">
        <v>2881243</v>
      </c>
      <c r="AZ157" s="571">
        <v>324526</v>
      </c>
      <c r="BA157" s="571">
        <v>22454743</v>
      </c>
      <c r="BB157" s="571">
        <v>0</v>
      </c>
      <c r="BC157" s="571">
        <v>3453635</v>
      </c>
      <c r="BD157" s="571">
        <v>0</v>
      </c>
      <c r="BE157" s="571">
        <v>1254096</v>
      </c>
      <c r="BF157" s="571">
        <v>441764</v>
      </c>
      <c r="BG157" s="571">
        <v>488114</v>
      </c>
      <c r="BH157" s="571">
        <v>2330592</v>
      </c>
      <c r="BI157" s="571">
        <v>1835526</v>
      </c>
      <c r="BJ157" s="571">
        <v>41750565</v>
      </c>
      <c r="BK157" s="571">
        <v>0</v>
      </c>
      <c r="BL157" s="571">
        <v>0</v>
      </c>
      <c r="BM157" s="571">
        <v>0</v>
      </c>
      <c r="BN157" s="571">
        <v>14330053</v>
      </c>
      <c r="BO157" s="571">
        <v>2184888</v>
      </c>
      <c r="BP157" s="571">
        <v>0</v>
      </c>
      <c r="BQ157" s="571">
        <v>0</v>
      </c>
      <c r="BR157" s="571">
        <v>1693318</v>
      </c>
      <c r="BS157" s="571">
        <v>638414</v>
      </c>
      <c r="BT157" s="571">
        <v>0</v>
      </c>
      <c r="BU157" s="571">
        <v>0</v>
      </c>
      <c r="BV157" s="571">
        <v>1127003</v>
      </c>
      <c r="BW157" s="571">
        <v>0</v>
      </c>
      <c r="BZ157" s="571">
        <v>4566009</v>
      </c>
      <c r="CA157" s="571">
        <v>34841</v>
      </c>
      <c r="CC157" s="571">
        <v>4250041</v>
      </c>
      <c r="CD157" s="571">
        <v>26731784</v>
      </c>
      <c r="CE157" s="571">
        <v>179529942</v>
      </c>
      <c r="CF157" s="571">
        <v>259673</v>
      </c>
      <c r="CG157" s="571">
        <v>5946916</v>
      </c>
      <c r="CH157" s="571">
        <v>330799</v>
      </c>
      <c r="CI157" s="571">
        <v>2023806</v>
      </c>
      <c r="CJ157" s="571">
        <v>148603806</v>
      </c>
      <c r="CK157" s="571">
        <v>10558620</v>
      </c>
      <c r="CL157" s="571">
        <v>0</v>
      </c>
      <c r="CM157" s="571">
        <v>0</v>
      </c>
      <c r="CN157" s="571">
        <v>362298</v>
      </c>
      <c r="CO157" s="571">
        <v>2324445</v>
      </c>
      <c r="CP157" s="571">
        <v>2924215</v>
      </c>
      <c r="CQ157" s="571">
        <v>2145101</v>
      </c>
      <c r="CR157" s="571">
        <v>0</v>
      </c>
      <c r="CS157" s="571">
        <v>0</v>
      </c>
    </row>
    <row r="158" spans="1:99" s="571" customFormat="1" x14ac:dyDescent="0.3">
      <c r="A158" s="570">
        <v>592</v>
      </c>
      <c r="B158" s="571" t="s">
        <v>330</v>
      </c>
      <c r="D158" s="571">
        <v>0</v>
      </c>
      <c r="E158" s="571">
        <v>0</v>
      </c>
      <c r="F158" s="571">
        <v>512699</v>
      </c>
      <c r="G158" s="571">
        <v>0</v>
      </c>
      <c r="H158" s="571">
        <v>200129</v>
      </c>
      <c r="I158" s="571">
        <v>144949</v>
      </c>
      <c r="J158" s="571">
        <v>180402</v>
      </c>
      <c r="L158" s="571">
        <v>67311</v>
      </c>
      <c r="M158" s="571">
        <v>15273877</v>
      </c>
      <c r="O158" s="571">
        <v>0</v>
      </c>
      <c r="P158" s="571">
        <v>114200</v>
      </c>
      <c r="Q158" s="571">
        <v>-94875</v>
      </c>
      <c r="R158" s="571">
        <v>0</v>
      </c>
      <c r="S158" s="571">
        <v>1971</v>
      </c>
      <c r="T158" s="571">
        <v>138357</v>
      </c>
      <c r="U158" s="571">
        <v>0</v>
      </c>
      <c r="V158" s="571">
        <v>0</v>
      </c>
      <c r="W158" s="571">
        <v>4312445</v>
      </c>
      <c r="X158" s="571">
        <v>163761</v>
      </c>
      <c r="Y158" s="571">
        <v>1204488</v>
      </c>
      <c r="Z158" s="571">
        <v>0</v>
      </c>
      <c r="AA158" s="571">
        <v>-23280</v>
      </c>
      <c r="AB158" s="571">
        <v>0</v>
      </c>
      <c r="AC158" s="571">
        <v>-2059761</v>
      </c>
      <c r="AE158" s="571">
        <v>2035374</v>
      </c>
      <c r="AF158" s="571">
        <v>134744</v>
      </c>
      <c r="AG158" s="571">
        <v>2721741</v>
      </c>
      <c r="AH158" s="571">
        <v>0</v>
      </c>
      <c r="AI158" s="571">
        <v>113140</v>
      </c>
      <c r="AJ158" s="571">
        <v>0</v>
      </c>
      <c r="AK158" s="571">
        <v>479098</v>
      </c>
      <c r="AL158" s="571">
        <v>279040</v>
      </c>
      <c r="AM158" s="571">
        <v>748323</v>
      </c>
      <c r="AN158" s="571">
        <v>695497</v>
      </c>
      <c r="AO158" s="571">
        <v>537138</v>
      </c>
      <c r="AP158" s="571">
        <v>2034</v>
      </c>
      <c r="AQ158" s="571">
        <v>0</v>
      </c>
      <c r="AR158" s="571">
        <v>117793</v>
      </c>
      <c r="AS158" s="571">
        <v>51277</v>
      </c>
      <c r="AT158" s="571">
        <v>0</v>
      </c>
      <c r="AU158" s="571">
        <v>0</v>
      </c>
      <c r="AV158" s="571">
        <v>0</v>
      </c>
      <c r="AW158" s="571">
        <v>0</v>
      </c>
      <c r="AX158" s="571">
        <v>-17726</v>
      </c>
      <c r="AY158" s="571">
        <v>909646</v>
      </c>
      <c r="AZ158" s="571">
        <v>-77174</v>
      </c>
      <c r="BA158" s="571">
        <v>29179</v>
      </c>
      <c r="BB158" s="571">
        <v>0</v>
      </c>
      <c r="BC158" s="571">
        <v>1439138</v>
      </c>
      <c r="BD158" s="571">
        <v>0</v>
      </c>
      <c r="BE158" s="571">
        <v>-57426</v>
      </c>
      <c r="BF158" s="571">
        <v>85060</v>
      </c>
      <c r="BG158" s="571">
        <v>56374</v>
      </c>
      <c r="BH158" s="571">
        <v>-143668</v>
      </c>
      <c r="BI158" s="571">
        <v>977802</v>
      </c>
      <c r="BJ158" s="571">
        <v>5696396</v>
      </c>
      <c r="BK158" s="571">
        <v>0</v>
      </c>
      <c r="BL158" s="571">
        <v>0</v>
      </c>
      <c r="BM158" s="571">
        <v>0</v>
      </c>
      <c r="BN158" s="571">
        <v>1350633</v>
      </c>
      <c r="BO158" s="571">
        <v>675420</v>
      </c>
      <c r="BP158" s="571">
        <v>0</v>
      </c>
      <c r="BQ158" s="571">
        <v>0</v>
      </c>
      <c r="BR158" s="571">
        <v>-40728</v>
      </c>
      <c r="BS158" s="571">
        <v>0</v>
      </c>
      <c r="BT158" s="571">
        <v>0</v>
      </c>
      <c r="BU158" s="571">
        <v>0</v>
      </c>
      <c r="BV158" s="571">
        <v>185442</v>
      </c>
      <c r="BW158" s="571">
        <v>0</v>
      </c>
      <c r="BZ158" s="571">
        <v>288466</v>
      </c>
      <c r="CA158" s="571">
        <v>-10075</v>
      </c>
      <c r="CC158" s="571">
        <v>-43574</v>
      </c>
      <c r="CD158" s="571">
        <v>3192450</v>
      </c>
      <c r="CE158" s="571">
        <v>20186109</v>
      </c>
      <c r="CF158" s="571">
        <v>-85273</v>
      </c>
      <c r="CG158" s="571">
        <v>1002658</v>
      </c>
      <c r="CH158" s="571">
        <v>-63423</v>
      </c>
      <c r="CI158" s="571">
        <v>235847</v>
      </c>
      <c r="CJ158" s="571">
        <v>22833352</v>
      </c>
      <c r="CK158" s="571">
        <v>215927</v>
      </c>
      <c r="CL158" s="571">
        <v>-107809</v>
      </c>
      <c r="CM158" s="571">
        <v>0</v>
      </c>
      <c r="CN158" s="571">
        <v>505382</v>
      </c>
      <c r="CO158" s="571">
        <v>1315679</v>
      </c>
      <c r="CP158" s="571">
        <v>-326475</v>
      </c>
      <c r="CQ158" s="571">
        <v>-455974</v>
      </c>
      <c r="CR158" s="571">
        <v>0</v>
      </c>
      <c r="CS158" s="571">
        <v>0</v>
      </c>
    </row>
    <row r="159" spans="1:99" x14ac:dyDescent="0.3">
      <c r="A159" s="155">
        <v>596</v>
      </c>
      <c r="B159" s="180" t="s">
        <v>335</v>
      </c>
      <c r="C159" s="180"/>
      <c r="D159" s="180">
        <v>0</v>
      </c>
      <c r="E159" s="180">
        <v>52</v>
      </c>
      <c r="F159" s="180">
        <v>52</v>
      </c>
      <c r="G159" s="180">
        <v>0</v>
      </c>
      <c r="H159" s="180">
        <v>52</v>
      </c>
      <c r="I159" s="180">
        <v>52</v>
      </c>
      <c r="J159" s="180">
        <v>52</v>
      </c>
      <c r="K159" s="180"/>
      <c r="L159" s="180">
        <v>52</v>
      </c>
      <c r="M159" s="180">
        <v>52</v>
      </c>
      <c r="N159" s="180"/>
      <c r="O159" s="180">
        <v>52</v>
      </c>
      <c r="P159" s="180">
        <v>52</v>
      </c>
      <c r="Q159" s="180">
        <v>52</v>
      </c>
      <c r="R159" s="180">
        <v>52</v>
      </c>
      <c r="S159" s="180">
        <v>52</v>
      </c>
      <c r="T159" s="180">
        <v>0</v>
      </c>
      <c r="U159" s="180">
        <v>52</v>
      </c>
      <c r="V159" s="180">
        <v>52</v>
      </c>
      <c r="W159" s="180">
        <v>52</v>
      </c>
      <c r="X159" s="180">
        <v>52</v>
      </c>
      <c r="Y159" s="180">
        <v>52</v>
      </c>
      <c r="Z159" s="180">
        <v>52</v>
      </c>
      <c r="AA159" s="180">
        <v>52</v>
      </c>
      <c r="AB159" s="180">
        <v>52</v>
      </c>
      <c r="AC159" s="180">
        <v>52</v>
      </c>
      <c r="AD159" s="180"/>
      <c r="AE159" s="180">
        <v>52</v>
      </c>
      <c r="AF159" s="180">
        <v>0</v>
      </c>
      <c r="AG159" s="180">
        <v>52</v>
      </c>
      <c r="AH159" s="180">
        <v>52</v>
      </c>
      <c r="AI159" s="180">
        <v>52</v>
      </c>
      <c r="AJ159" s="180">
        <v>0</v>
      </c>
      <c r="AK159" s="180">
        <v>52</v>
      </c>
      <c r="AL159" s="180">
        <v>52</v>
      </c>
      <c r="AM159" s="180">
        <v>52</v>
      </c>
      <c r="AN159" s="180">
        <v>52</v>
      </c>
      <c r="AO159" s="180">
        <v>52</v>
      </c>
      <c r="AP159" s="180">
        <v>52</v>
      </c>
      <c r="AQ159" s="180">
        <v>0</v>
      </c>
      <c r="AR159" s="180">
        <v>52</v>
      </c>
      <c r="AS159" s="180">
        <v>52</v>
      </c>
      <c r="AT159" s="180">
        <v>52</v>
      </c>
      <c r="AU159" s="180">
        <v>52</v>
      </c>
      <c r="AV159" s="180">
        <v>52</v>
      </c>
      <c r="AW159" s="180">
        <v>0</v>
      </c>
      <c r="AX159" s="180">
        <v>52</v>
      </c>
      <c r="AY159" s="180">
        <v>52</v>
      </c>
      <c r="AZ159" s="180">
        <v>52</v>
      </c>
      <c r="BA159" s="180">
        <v>52</v>
      </c>
      <c r="BB159" s="180">
        <v>52</v>
      </c>
      <c r="BC159" s="180">
        <v>52</v>
      </c>
      <c r="BD159" s="180">
        <v>52</v>
      </c>
      <c r="BE159" s="180">
        <v>52</v>
      </c>
      <c r="BF159" s="180">
        <v>52</v>
      </c>
      <c r="BG159" s="180">
        <v>52</v>
      </c>
      <c r="BH159" s="180">
        <v>52</v>
      </c>
      <c r="BI159" s="180">
        <v>52</v>
      </c>
      <c r="BJ159" s="180">
        <v>52</v>
      </c>
      <c r="BK159" s="180">
        <v>0</v>
      </c>
      <c r="BL159" s="180">
        <v>52</v>
      </c>
      <c r="BM159" s="180">
        <v>52</v>
      </c>
      <c r="BN159" s="180">
        <v>52</v>
      </c>
      <c r="BO159" s="180">
        <v>52</v>
      </c>
      <c r="BP159" s="180">
        <v>52</v>
      </c>
      <c r="BQ159" s="180">
        <v>52</v>
      </c>
      <c r="BR159" s="180">
        <v>52</v>
      </c>
      <c r="BS159" s="180">
        <v>52</v>
      </c>
      <c r="BT159" s="180">
        <v>52</v>
      </c>
      <c r="BU159" s="180">
        <v>52</v>
      </c>
      <c r="BV159" s="180">
        <v>52</v>
      </c>
      <c r="BW159" s="180">
        <v>52</v>
      </c>
      <c r="BX159" s="180"/>
      <c r="BY159" s="180"/>
      <c r="BZ159" s="180">
        <v>52</v>
      </c>
      <c r="CA159" s="180">
        <v>52</v>
      </c>
      <c r="CB159" s="180"/>
      <c r="CC159" s="180">
        <v>52</v>
      </c>
      <c r="CD159" s="180">
        <v>52</v>
      </c>
      <c r="CE159" s="180">
        <v>52</v>
      </c>
      <c r="CF159" s="180">
        <v>52</v>
      </c>
      <c r="CG159" s="180">
        <v>52</v>
      </c>
      <c r="CH159" s="180">
        <v>52</v>
      </c>
      <c r="CI159" s="180">
        <v>52</v>
      </c>
      <c r="CJ159" s="180">
        <v>52</v>
      </c>
      <c r="CK159" s="180">
        <v>52</v>
      </c>
      <c r="CL159" s="180">
        <v>52</v>
      </c>
      <c r="CM159" s="180">
        <v>52</v>
      </c>
      <c r="CN159" s="180">
        <v>52</v>
      </c>
      <c r="CO159" s="180">
        <v>52</v>
      </c>
      <c r="CP159" s="180">
        <v>52</v>
      </c>
      <c r="CQ159" s="180">
        <v>52</v>
      </c>
      <c r="CR159" s="180">
        <v>52</v>
      </c>
      <c r="CS159" s="180">
        <v>52</v>
      </c>
      <c r="CT159" s="180"/>
      <c r="CU159" s="180"/>
    </row>
    <row r="160" spans="1:99" x14ac:dyDescent="0.3">
      <c r="A160" s="155">
        <v>597</v>
      </c>
      <c r="B160" s="180" t="s">
        <v>338</v>
      </c>
      <c r="C160" s="180"/>
      <c r="D160" s="180">
        <v>540</v>
      </c>
      <c r="E160" s="180">
        <v>4174</v>
      </c>
      <c r="F160" s="180">
        <v>1818</v>
      </c>
      <c r="G160" s="180">
        <v>755</v>
      </c>
      <c r="H160" s="180">
        <v>16271</v>
      </c>
      <c r="I160" s="180">
        <v>4043</v>
      </c>
      <c r="J160" s="180">
        <v>4154</v>
      </c>
      <c r="K160" s="180"/>
      <c r="L160" s="180">
        <v>2714</v>
      </c>
      <c r="M160" s="180">
        <v>105857</v>
      </c>
      <c r="N160" s="180"/>
      <c r="O160" s="180">
        <v>68</v>
      </c>
      <c r="P160" s="180">
        <v>7954</v>
      </c>
      <c r="Q160" s="180">
        <v>0</v>
      </c>
      <c r="R160" s="180">
        <v>33</v>
      </c>
      <c r="S160" s="180">
        <v>314</v>
      </c>
      <c r="T160" s="180">
        <v>1648</v>
      </c>
      <c r="U160" s="180">
        <v>67700</v>
      </c>
      <c r="V160" s="180">
        <v>12856</v>
      </c>
      <c r="W160" s="180">
        <v>50641</v>
      </c>
      <c r="X160" s="180">
        <v>1650</v>
      </c>
      <c r="Y160" s="180">
        <v>75888</v>
      </c>
      <c r="Z160" s="180">
        <v>18123</v>
      </c>
      <c r="AA160" s="180">
        <v>1073</v>
      </c>
      <c r="AB160" s="180">
        <v>8</v>
      </c>
      <c r="AC160" s="180">
        <v>89786</v>
      </c>
      <c r="AD160" s="180"/>
      <c r="AE160" s="180">
        <v>1693</v>
      </c>
      <c r="AF160" s="180">
        <v>341</v>
      </c>
      <c r="AG160" s="180">
        <v>76363</v>
      </c>
      <c r="AH160" s="180">
        <v>3695</v>
      </c>
      <c r="AI160" s="180">
        <v>25496</v>
      </c>
      <c r="AJ160" s="180">
        <v>1448</v>
      </c>
      <c r="AK160" s="180">
        <v>0</v>
      </c>
      <c r="AL160" s="180">
        <v>5008</v>
      </c>
      <c r="AM160" s="180">
        <v>2653</v>
      </c>
      <c r="AN160" s="180">
        <v>2334</v>
      </c>
      <c r="AO160" s="180">
        <v>5598</v>
      </c>
      <c r="AP160" s="180">
        <v>46</v>
      </c>
      <c r="AQ160" s="180">
        <v>5229</v>
      </c>
      <c r="AR160" s="180">
        <v>13550</v>
      </c>
      <c r="AS160" s="180">
        <v>640</v>
      </c>
      <c r="AT160" s="180">
        <v>67</v>
      </c>
      <c r="AU160" s="180">
        <v>1611</v>
      </c>
      <c r="AV160" s="180">
        <v>0</v>
      </c>
      <c r="AW160" s="180">
        <v>229</v>
      </c>
      <c r="AX160" s="180">
        <v>235</v>
      </c>
      <c r="AY160" s="180">
        <v>7908</v>
      </c>
      <c r="AZ160" s="180">
        <v>882</v>
      </c>
      <c r="BA160" s="180">
        <v>162644</v>
      </c>
      <c r="BB160" s="180">
        <v>0</v>
      </c>
      <c r="BC160" s="180">
        <v>20450</v>
      </c>
      <c r="BD160" s="180">
        <v>4964</v>
      </c>
      <c r="BE160" s="180">
        <v>634</v>
      </c>
      <c r="BF160" s="180">
        <v>869</v>
      </c>
      <c r="BG160" s="180">
        <v>431</v>
      </c>
      <c r="BH160" s="180">
        <v>10331</v>
      </c>
      <c r="BI160" s="180">
        <v>21026</v>
      </c>
      <c r="BJ160" s="180">
        <v>100224</v>
      </c>
      <c r="BK160" s="180">
        <v>760</v>
      </c>
      <c r="BL160" s="180">
        <v>0</v>
      </c>
      <c r="BM160" s="180">
        <v>43924</v>
      </c>
      <c r="BN160" s="180">
        <v>21927</v>
      </c>
      <c r="BO160" s="180">
        <v>13122</v>
      </c>
      <c r="BP160" s="180">
        <v>38</v>
      </c>
      <c r="BQ160" s="180">
        <v>7635</v>
      </c>
      <c r="BR160" s="180">
        <v>5732</v>
      </c>
      <c r="BS160" s="180">
        <v>27801</v>
      </c>
      <c r="BT160" s="180">
        <v>2831</v>
      </c>
      <c r="BU160" s="180">
        <v>0</v>
      </c>
      <c r="BV160" s="180">
        <v>18481</v>
      </c>
      <c r="BW160" s="180">
        <v>7748</v>
      </c>
      <c r="BX160" s="180"/>
      <c r="BY160" s="180"/>
      <c r="BZ160" s="180">
        <v>3478</v>
      </c>
      <c r="CA160" s="180">
        <v>6110</v>
      </c>
      <c r="CB160" s="180"/>
      <c r="CC160" s="180">
        <v>20909</v>
      </c>
      <c r="CD160" s="180">
        <v>316027</v>
      </c>
      <c r="CE160" s="180">
        <v>-605887</v>
      </c>
      <c r="CF160" s="180">
        <v>0</v>
      </c>
      <c r="CG160" s="180">
        <v>-18295</v>
      </c>
      <c r="CH160" s="180">
        <v>2394</v>
      </c>
      <c r="CI160" s="180">
        <v>1601</v>
      </c>
      <c r="CJ160" s="180">
        <v>-24062262</v>
      </c>
      <c r="CK160" s="180">
        <v>25716</v>
      </c>
      <c r="CL160" s="180">
        <v>282</v>
      </c>
      <c r="CM160" s="180">
        <v>7202</v>
      </c>
      <c r="CN160" s="180">
        <v>282</v>
      </c>
      <c r="CO160" s="180">
        <v>48523</v>
      </c>
      <c r="CP160" s="180">
        <v>0</v>
      </c>
      <c r="CQ160" s="180">
        <v>22869</v>
      </c>
      <c r="CR160" s="180">
        <v>5438</v>
      </c>
      <c r="CS160" s="180">
        <v>37777</v>
      </c>
      <c r="CT160" s="180"/>
      <c r="CU160" s="180"/>
    </row>
    <row r="161" spans="1:99" x14ac:dyDescent="0.3">
      <c r="A161" s="155">
        <v>598</v>
      </c>
      <c r="B161" s="180" t="s">
        <v>343</v>
      </c>
      <c r="C161" s="180"/>
      <c r="D161" s="180">
        <v>0</v>
      </c>
      <c r="E161" s="180">
        <v>0</v>
      </c>
      <c r="F161" s="180">
        <v>0</v>
      </c>
      <c r="G161" s="180">
        <v>0</v>
      </c>
      <c r="H161" s="180">
        <v>86723</v>
      </c>
      <c r="I161" s="180">
        <v>4907</v>
      </c>
      <c r="J161" s="180">
        <v>0</v>
      </c>
      <c r="K161" s="180"/>
      <c r="L161" s="180">
        <v>0</v>
      </c>
      <c r="M161" s="180">
        <v>171183</v>
      </c>
      <c r="N161" s="180"/>
      <c r="O161" s="180">
        <v>0</v>
      </c>
      <c r="P161" s="180">
        <v>0</v>
      </c>
      <c r="Q161" s="180">
        <v>0</v>
      </c>
      <c r="R161" s="180">
        <v>0</v>
      </c>
      <c r="S161" s="180">
        <v>0</v>
      </c>
      <c r="T161" s="180">
        <v>4052</v>
      </c>
      <c r="U161" s="180">
        <v>0</v>
      </c>
      <c r="V161" s="180">
        <v>38272</v>
      </c>
      <c r="W161" s="180">
        <v>25064</v>
      </c>
      <c r="X161" s="180">
        <v>6974</v>
      </c>
      <c r="Y161" s="180">
        <v>0</v>
      </c>
      <c r="Z161" s="180">
        <v>49450</v>
      </c>
      <c r="AA161" s="180">
        <v>0</v>
      </c>
      <c r="AB161" s="180">
        <v>0</v>
      </c>
      <c r="AC161" s="180">
        <v>144983</v>
      </c>
      <c r="AD161" s="180"/>
      <c r="AE161" s="180">
        <v>0</v>
      </c>
      <c r="AF161" s="180">
        <v>0</v>
      </c>
      <c r="AG161" s="180">
        <v>94136</v>
      </c>
      <c r="AH161" s="180">
        <v>0</v>
      </c>
      <c r="AI161" s="180">
        <v>0</v>
      </c>
      <c r="AJ161" s="180">
        <v>18039</v>
      </c>
      <c r="AK161" s="180">
        <v>0</v>
      </c>
      <c r="AL161" s="180">
        <v>0</v>
      </c>
      <c r="AM161" s="180">
        <v>0</v>
      </c>
      <c r="AN161" s="180">
        <v>18123</v>
      </c>
      <c r="AO161" s="180">
        <v>9679</v>
      </c>
      <c r="AP161" s="180">
        <v>0</v>
      </c>
      <c r="AQ161" s="180">
        <v>0</v>
      </c>
      <c r="AR161" s="180">
        <v>0</v>
      </c>
      <c r="AS161" s="180">
        <v>0</v>
      </c>
      <c r="AT161" s="180">
        <v>0</v>
      </c>
      <c r="AU161" s="180">
        <v>0</v>
      </c>
      <c r="AV161" s="180">
        <v>0</v>
      </c>
      <c r="AW161" s="180">
        <v>0</v>
      </c>
      <c r="AX161" s="180">
        <v>0</v>
      </c>
      <c r="AY161" s="180">
        <v>18204</v>
      </c>
      <c r="AZ161" s="180">
        <v>0</v>
      </c>
      <c r="BA161" s="180">
        <v>141865</v>
      </c>
      <c r="BB161" s="180">
        <v>0</v>
      </c>
      <c r="BC161" s="180">
        <v>12627</v>
      </c>
      <c r="BD161" s="180">
        <v>0</v>
      </c>
      <c r="BE161" s="180">
        <v>0</v>
      </c>
      <c r="BF161" s="180">
        <v>9172</v>
      </c>
      <c r="BG161" s="180">
        <v>0</v>
      </c>
      <c r="BH161" s="180">
        <v>2472</v>
      </c>
      <c r="BI161" s="180">
        <v>0</v>
      </c>
      <c r="BJ161" s="180">
        <v>154837</v>
      </c>
      <c r="BK161" s="180">
        <v>0</v>
      </c>
      <c r="BL161" s="180">
        <v>0</v>
      </c>
      <c r="BM161" s="180">
        <v>157109</v>
      </c>
      <c r="BN161" s="180">
        <v>117550</v>
      </c>
      <c r="BO161" s="180">
        <v>59809</v>
      </c>
      <c r="BP161" s="180">
        <v>0</v>
      </c>
      <c r="BQ161" s="180">
        <v>0</v>
      </c>
      <c r="BR161" s="180">
        <v>0</v>
      </c>
      <c r="BS161" s="180">
        <v>35576</v>
      </c>
      <c r="BT161" s="180">
        <v>0</v>
      </c>
      <c r="BU161" s="180">
        <v>0</v>
      </c>
      <c r="BV161" s="180">
        <v>3520</v>
      </c>
      <c r="BW161" s="180">
        <v>29040</v>
      </c>
      <c r="BX161" s="180"/>
      <c r="BY161" s="180"/>
      <c r="BZ161" s="180">
        <v>16405</v>
      </c>
      <c r="CA161" s="180">
        <v>0</v>
      </c>
      <c r="CB161" s="180"/>
      <c r="CC161" s="180">
        <v>0</v>
      </c>
      <c r="CD161" s="180">
        <v>856612</v>
      </c>
      <c r="CE161" s="180">
        <v>404911</v>
      </c>
      <c r="CF161" s="180">
        <v>0</v>
      </c>
      <c r="CG161" s="180">
        <v>0</v>
      </c>
      <c r="CH161" s="180">
        <v>0</v>
      </c>
      <c r="CI161" s="180">
        <v>0</v>
      </c>
      <c r="CJ161" s="180">
        <v>2561669</v>
      </c>
      <c r="CK161" s="180">
        <v>14731</v>
      </c>
      <c r="CL161" s="180">
        <v>0</v>
      </c>
      <c r="CM161" s="180">
        <v>15350</v>
      </c>
      <c r="CN161" s="180">
        <v>0</v>
      </c>
      <c r="CO161" s="180">
        <v>41238</v>
      </c>
      <c r="CP161" s="180">
        <v>52091</v>
      </c>
      <c r="CQ161" s="180">
        <v>0</v>
      </c>
      <c r="CR161" s="180">
        <v>0</v>
      </c>
      <c r="CS161" s="180">
        <v>94022</v>
      </c>
      <c r="CT161" s="180"/>
      <c r="CU161" s="180"/>
    </row>
    <row r="162" spans="1:99" x14ac:dyDescent="0.3">
      <c r="A162" s="155">
        <v>599</v>
      </c>
      <c r="B162" s="180" t="s">
        <v>342</v>
      </c>
      <c r="C162" s="180"/>
      <c r="D162" s="180">
        <v>0</v>
      </c>
      <c r="E162" s="180">
        <v>0</v>
      </c>
      <c r="F162" s="180">
        <v>366267</v>
      </c>
      <c r="G162" s="180">
        <v>0</v>
      </c>
      <c r="H162" s="180">
        <v>675992</v>
      </c>
      <c r="I162" s="180">
        <v>148587</v>
      </c>
      <c r="J162" s="180">
        <v>661176</v>
      </c>
      <c r="K162" s="180"/>
      <c r="L162" s="180">
        <v>45365</v>
      </c>
      <c r="M162" s="180">
        <v>3667521</v>
      </c>
      <c r="N162" s="180"/>
      <c r="O162" s="180">
        <v>0</v>
      </c>
      <c r="P162" s="180">
        <v>0</v>
      </c>
      <c r="Q162" s="180">
        <v>132091</v>
      </c>
      <c r="R162" s="180">
        <v>0</v>
      </c>
      <c r="S162" s="180">
        <v>0</v>
      </c>
      <c r="T162" s="180">
        <v>203164</v>
      </c>
      <c r="U162" s="180">
        <v>0</v>
      </c>
      <c r="V162" s="180">
        <v>576263</v>
      </c>
      <c r="W162" s="180">
        <v>804250</v>
      </c>
      <c r="X162" s="180">
        <v>83581</v>
      </c>
      <c r="Y162" s="180">
        <v>0</v>
      </c>
      <c r="Z162" s="180">
        <v>701656</v>
      </c>
      <c r="AA162" s="180">
        <v>106114</v>
      </c>
      <c r="AB162" s="180">
        <v>0</v>
      </c>
      <c r="AC162" s="180">
        <v>1857307</v>
      </c>
      <c r="AD162" s="180"/>
      <c r="AE162" s="180">
        <v>25969</v>
      </c>
      <c r="AF162" s="180">
        <v>0</v>
      </c>
      <c r="AG162" s="180">
        <v>4022672</v>
      </c>
      <c r="AH162" s="180">
        <v>0</v>
      </c>
      <c r="AI162" s="180">
        <v>204078</v>
      </c>
      <c r="AJ162" s="180">
        <v>264227</v>
      </c>
      <c r="AK162" s="180">
        <v>0</v>
      </c>
      <c r="AL162" s="180">
        <v>0</v>
      </c>
      <c r="AM162" s="180">
        <v>712361</v>
      </c>
      <c r="AN162" s="180">
        <v>474329</v>
      </c>
      <c r="AO162" s="180">
        <v>352099</v>
      </c>
      <c r="AP162" s="180">
        <v>0</v>
      </c>
      <c r="AQ162" s="180">
        <v>0</v>
      </c>
      <c r="AR162" s="180">
        <v>357781</v>
      </c>
      <c r="AS162" s="180">
        <v>48620</v>
      </c>
      <c r="AT162" s="180">
        <v>0</v>
      </c>
      <c r="AU162" s="180">
        <v>0</v>
      </c>
      <c r="AV162" s="180">
        <v>19697</v>
      </c>
      <c r="AW162" s="180">
        <v>0</v>
      </c>
      <c r="AX162" s="180">
        <v>0</v>
      </c>
      <c r="AY162" s="180">
        <v>645418</v>
      </c>
      <c r="AZ162" s="180">
        <v>71759</v>
      </c>
      <c r="BA162" s="180">
        <v>6246457</v>
      </c>
      <c r="BB162" s="180">
        <v>0</v>
      </c>
      <c r="BC162" s="180">
        <v>275021</v>
      </c>
      <c r="BD162" s="180">
        <v>0</v>
      </c>
      <c r="BE162" s="180">
        <v>0</v>
      </c>
      <c r="BF162" s="180">
        <v>71982</v>
      </c>
      <c r="BG162" s="180">
        <v>0</v>
      </c>
      <c r="BH162" s="180">
        <v>64380</v>
      </c>
      <c r="BI162" s="180">
        <v>360403</v>
      </c>
      <c r="BJ162" s="180">
        <v>2117929</v>
      </c>
      <c r="BK162" s="180">
        <v>0</v>
      </c>
      <c r="BL162" s="180">
        <v>0</v>
      </c>
      <c r="BM162" s="180">
        <v>1036305</v>
      </c>
      <c r="BN162" s="180">
        <v>1960969</v>
      </c>
      <c r="BO162" s="180">
        <v>900688</v>
      </c>
      <c r="BP162" s="180">
        <v>0</v>
      </c>
      <c r="BQ162" s="180">
        <v>0</v>
      </c>
      <c r="BR162" s="180">
        <v>189154</v>
      </c>
      <c r="BS162" s="180">
        <v>1100793</v>
      </c>
      <c r="BT162" s="180">
        <v>0</v>
      </c>
      <c r="BU162" s="180">
        <v>0</v>
      </c>
      <c r="BV162" s="180">
        <v>156174</v>
      </c>
      <c r="BW162" s="180">
        <v>409692</v>
      </c>
      <c r="BX162" s="180"/>
      <c r="BY162" s="180"/>
      <c r="BZ162" s="180">
        <v>554798</v>
      </c>
      <c r="CA162" s="180">
        <v>0</v>
      </c>
      <c r="CB162" s="180"/>
      <c r="CC162" s="180">
        <v>573515</v>
      </c>
      <c r="CD162" s="180">
        <v>17159226</v>
      </c>
      <c r="CE162" s="180">
        <v>8455279</v>
      </c>
      <c r="CF162" s="180">
        <v>75807</v>
      </c>
      <c r="CG162" s="180">
        <v>340376</v>
      </c>
      <c r="CH162" s="180">
        <v>0</v>
      </c>
      <c r="CI162" s="180">
        <v>164964</v>
      </c>
      <c r="CJ162" s="180">
        <v>26212885</v>
      </c>
      <c r="CK162" s="180">
        <v>534730</v>
      </c>
      <c r="CL162" s="180">
        <v>0</v>
      </c>
      <c r="CM162" s="180">
        <v>521003</v>
      </c>
      <c r="CN162" s="180">
        <v>21770</v>
      </c>
      <c r="CO162" s="180">
        <v>855074</v>
      </c>
      <c r="CP162" s="180">
        <v>756902</v>
      </c>
      <c r="CQ162" s="180">
        <v>0</v>
      </c>
      <c r="CR162" s="180">
        <v>334353</v>
      </c>
      <c r="CS162" s="180">
        <v>1169257</v>
      </c>
      <c r="CT162" s="180"/>
      <c r="CU162" s="180"/>
    </row>
    <row r="163" spans="1:99" x14ac:dyDescent="0.3">
      <c r="A163" s="155">
        <v>602</v>
      </c>
      <c r="B163" s="180" t="s">
        <v>344</v>
      </c>
      <c r="C163" s="180"/>
      <c r="D163" s="180">
        <v>0</v>
      </c>
      <c r="E163" s="180">
        <v>0</v>
      </c>
      <c r="F163" s="180">
        <v>0</v>
      </c>
      <c r="G163" s="180">
        <v>0</v>
      </c>
      <c r="H163" s="180">
        <v>0</v>
      </c>
      <c r="I163" s="180">
        <v>0</v>
      </c>
      <c r="J163" s="180">
        <v>0</v>
      </c>
      <c r="K163" s="180"/>
      <c r="L163" s="180">
        <v>0</v>
      </c>
      <c r="M163" s="180">
        <v>0</v>
      </c>
      <c r="N163" s="180"/>
      <c r="O163" s="180">
        <v>0</v>
      </c>
      <c r="P163" s="180">
        <v>0</v>
      </c>
      <c r="Q163" s="180">
        <v>0</v>
      </c>
      <c r="R163" s="180">
        <v>0</v>
      </c>
      <c r="S163" s="180">
        <v>0</v>
      </c>
      <c r="T163" s="180">
        <v>0</v>
      </c>
      <c r="U163" s="180">
        <v>0</v>
      </c>
      <c r="V163" s="180">
        <v>0</v>
      </c>
      <c r="W163" s="180">
        <v>0</v>
      </c>
      <c r="X163" s="180">
        <v>0</v>
      </c>
      <c r="Y163" s="180">
        <v>0</v>
      </c>
      <c r="Z163" s="180">
        <v>0</v>
      </c>
      <c r="AA163" s="180">
        <v>0</v>
      </c>
      <c r="AB163" s="180">
        <v>0</v>
      </c>
      <c r="AC163" s="180">
        <v>0</v>
      </c>
      <c r="AD163" s="180"/>
      <c r="AE163" s="180">
        <v>0</v>
      </c>
      <c r="AF163" s="180">
        <v>0</v>
      </c>
      <c r="AG163" s="180">
        <v>0</v>
      </c>
      <c r="AH163" s="180">
        <v>0</v>
      </c>
      <c r="AI163" s="180">
        <v>0</v>
      </c>
      <c r="AJ163" s="180">
        <v>0</v>
      </c>
      <c r="AK163" s="180">
        <v>0</v>
      </c>
      <c r="AL163" s="180">
        <v>0</v>
      </c>
      <c r="AM163" s="180">
        <v>0</v>
      </c>
      <c r="AN163" s="180">
        <v>0</v>
      </c>
      <c r="AO163" s="180">
        <v>0</v>
      </c>
      <c r="AP163" s="180">
        <v>0</v>
      </c>
      <c r="AQ163" s="180">
        <v>0</v>
      </c>
      <c r="AR163" s="180">
        <v>0</v>
      </c>
      <c r="AS163" s="180">
        <v>0</v>
      </c>
      <c r="AT163" s="180">
        <v>0</v>
      </c>
      <c r="AU163" s="180">
        <v>0</v>
      </c>
      <c r="AV163" s="180">
        <v>0</v>
      </c>
      <c r="AW163" s="180">
        <v>0</v>
      </c>
      <c r="AX163" s="180">
        <v>0</v>
      </c>
      <c r="AY163" s="180">
        <v>0</v>
      </c>
      <c r="AZ163" s="180">
        <v>0</v>
      </c>
      <c r="BA163" s="180">
        <v>0</v>
      </c>
      <c r="BB163" s="180">
        <v>0</v>
      </c>
      <c r="BC163" s="180">
        <v>0</v>
      </c>
      <c r="BD163" s="180">
        <v>0</v>
      </c>
      <c r="BE163" s="180">
        <v>0</v>
      </c>
      <c r="BF163" s="180">
        <v>0</v>
      </c>
      <c r="BG163" s="180">
        <v>0</v>
      </c>
      <c r="BH163" s="180">
        <v>0</v>
      </c>
      <c r="BI163" s="180">
        <v>0</v>
      </c>
      <c r="BJ163" s="180">
        <v>0</v>
      </c>
      <c r="BK163" s="180">
        <v>0</v>
      </c>
      <c r="BL163" s="180">
        <v>0</v>
      </c>
      <c r="BM163" s="180">
        <v>0</v>
      </c>
      <c r="BN163" s="180">
        <v>0</v>
      </c>
      <c r="BO163" s="180">
        <v>0</v>
      </c>
      <c r="BP163" s="180">
        <v>0</v>
      </c>
      <c r="BQ163" s="180">
        <v>0</v>
      </c>
      <c r="BR163" s="180">
        <v>0</v>
      </c>
      <c r="BS163" s="180">
        <v>0</v>
      </c>
      <c r="BT163" s="180">
        <v>0</v>
      </c>
      <c r="BU163" s="180">
        <v>0</v>
      </c>
      <c r="BV163" s="180">
        <v>0</v>
      </c>
      <c r="BW163" s="180">
        <v>0</v>
      </c>
      <c r="BX163" s="180"/>
      <c r="BY163" s="180"/>
      <c r="BZ163" s="180">
        <v>0</v>
      </c>
      <c r="CA163" s="180">
        <v>0</v>
      </c>
      <c r="CB163" s="180"/>
      <c r="CC163" s="180">
        <v>0</v>
      </c>
      <c r="CD163" s="180">
        <v>0</v>
      </c>
      <c r="CE163" s="180">
        <v>0</v>
      </c>
      <c r="CF163" s="180">
        <v>0</v>
      </c>
      <c r="CG163" s="180">
        <v>0</v>
      </c>
      <c r="CH163" s="180">
        <v>0</v>
      </c>
      <c r="CI163" s="180">
        <v>0</v>
      </c>
      <c r="CJ163" s="180">
        <v>11890027</v>
      </c>
      <c r="CK163" s="180">
        <v>0</v>
      </c>
      <c r="CL163" s="180">
        <v>0</v>
      </c>
      <c r="CM163" s="180">
        <v>0</v>
      </c>
      <c r="CN163" s="180">
        <v>0</v>
      </c>
      <c r="CO163" s="180">
        <v>0</v>
      </c>
      <c r="CP163" s="180">
        <v>0</v>
      </c>
      <c r="CQ163" s="180">
        <v>0</v>
      </c>
      <c r="CR163" s="180">
        <v>0</v>
      </c>
      <c r="CS163" s="180">
        <v>0</v>
      </c>
      <c r="CT163" s="180"/>
      <c r="CU163" s="180"/>
    </row>
    <row r="164" spans="1:99" s="555" customFormat="1" x14ac:dyDescent="0.3">
      <c r="A164" s="558">
        <v>606</v>
      </c>
      <c r="B164" s="555" t="s">
        <v>956</v>
      </c>
      <c r="F164" s="555">
        <v>1</v>
      </c>
      <c r="H164" s="555">
        <v>1</v>
      </c>
      <c r="M164" s="555">
        <v>1</v>
      </c>
      <c r="V164" s="555">
        <v>1</v>
      </c>
      <c r="W164" s="555">
        <v>1</v>
      </c>
      <c r="AA164" s="555">
        <v>1</v>
      </c>
      <c r="AE164" s="555">
        <v>1</v>
      </c>
      <c r="AG164" s="555">
        <v>1</v>
      </c>
      <c r="AI164" s="555">
        <v>1</v>
      </c>
      <c r="AK164" s="555">
        <v>1</v>
      </c>
      <c r="AN164" s="555">
        <v>1</v>
      </c>
      <c r="AR164" s="555">
        <v>1</v>
      </c>
      <c r="AY164" s="555">
        <v>1</v>
      </c>
      <c r="BA164" s="555">
        <v>1</v>
      </c>
      <c r="BC164" s="555">
        <v>1</v>
      </c>
      <c r="BH164" s="555">
        <v>1</v>
      </c>
      <c r="BI164" s="555">
        <v>1</v>
      </c>
      <c r="BJ164" s="555">
        <v>1</v>
      </c>
      <c r="BM164" s="555">
        <v>1</v>
      </c>
      <c r="BN164" s="555">
        <v>1</v>
      </c>
      <c r="BS164" s="555">
        <v>1</v>
      </c>
      <c r="CD164" s="555">
        <v>1</v>
      </c>
      <c r="CE164" s="555">
        <v>1</v>
      </c>
      <c r="CG164" s="555">
        <v>1</v>
      </c>
      <c r="CJ164" s="555">
        <v>1</v>
      </c>
      <c r="CK164" s="555">
        <v>1</v>
      </c>
      <c r="CM164" s="555">
        <v>1</v>
      </c>
      <c r="CR164" s="555">
        <v>1</v>
      </c>
    </row>
    <row r="165" spans="1:99" x14ac:dyDescent="0.3">
      <c r="A165" s="155">
        <v>619</v>
      </c>
      <c r="B165" s="180" t="s">
        <v>957</v>
      </c>
      <c r="C165" s="180"/>
      <c r="D165" s="180">
        <v>0</v>
      </c>
      <c r="E165" s="180">
        <v>0</v>
      </c>
      <c r="F165" s="180">
        <v>0</v>
      </c>
      <c r="G165" s="180">
        <v>0</v>
      </c>
      <c r="H165" s="180">
        <v>0</v>
      </c>
      <c r="I165" s="180">
        <v>0</v>
      </c>
      <c r="J165" s="180">
        <v>0</v>
      </c>
      <c r="K165" s="180"/>
      <c r="L165" s="180">
        <v>0</v>
      </c>
      <c r="M165" s="180">
        <v>0</v>
      </c>
      <c r="N165" s="180"/>
      <c r="O165" s="180">
        <v>0</v>
      </c>
      <c r="P165" s="180">
        <v>0</v>
      </c>
      <c r="Q165" s="180">
        <v>0</v>
      </c>
      <c r="R165" s="180">
        <v>0</v>
      </c>
      <c r="S165" s="180">
        <v>0</v>
      </c>
      <c r="T165" s="180">
        <v>0</v>
      </c>
      <c r="U165" s="180">
        <v>0</v>
      </c>
      <c r="V165" s="180">
        <v>0</v>
      </c>
      <c r="W165" s="180">
        <v>0</v>
      </c>
      <c r="X165" s="180">
        <v>0</v>
      </c>
      <c r="Y165" s="180">
        <v>0</v>
      </c>
      <c r="Z165" s="180">
        <v>0</v>
      </c>
      <c r="AA165" s="180">
        <v>0</v>
      </c>
      <c r="AB165" s="180">
        <v>0</v>
      </c>
      <c r="AC165" s="180">
        <v>0</v>
      </c>
      <c r="AD165" s="180"/>
      <c r="AE165" s="180">
        <v>0</v>
      </c>
      <c r="AF165" s="180">
        <v>0</v>
      </c>
      <c r="AG165" s="180">
        <v>0</v>
      </c>
      <c r="AH165" s="180">
        <v>0</v>
      </c>
      <c r="AI165" s="180">
        <v>0</v>
      </c>
      <c r="AJ165" s="180">
        <v>0</v>
      </c>
      <c r="AK165" s="180">
        <v>0</v>
      </c>
      <c r="AL165" s="180">
        <v>0</v>
      </c>
      <c r="AM165" s="180">
        <v>0</v>
      </c>
      <c r="AN165" s="180">
        <v>0</v>
      </c>
      <c r="AO165" s="180">
        <v>0</v>
      </c>
      <c r="AP165" s="180">
        <v>0</v>
      </c>
      <c r="AQ165" s="180">
        <v>0</v>
      </c>
      <c r="AR165" s="180">
        <v>0</v>
      </c>
      <c r="AS165" s="180">
        <v>0</v>
      </c>
      <c r="AT165" s="180">
        <v>0</v>
      </c>
      <c r="AU165" s="180">
        <v>0</v>
      </c>
      <c r="AV165" s="180">
        <v>0</v>
      </c>
      <c r="AW165" s="180">
        <v>0</v>
      </c>
      <c r="AX165" s="180">
        <v>0</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v>0</v>
      </c>
      <c r="BO165" s="180">
        <v>0</v>
      </c>
      <c r="BP165" s="180">
        <v>0</v>
      </c>
      <c r="BQ165" s="180">
        <v>0</v>
      </c>
      <c r="BR165" s="180">
        <v>0</v>
      </c>
      <c r="BS165" s="180">
        <v>0</v>
      </c>
      <c r="BT165" s="180">
        <v>0</v>
      </c>
      <c r="BU165" s="180">
        <v>0</v>
      </c>
      <c r="BV165" s="180">
        <v>0</v>
      </c>
      <c r="BW165" s="180">
        <v>0</v>
      </c>
      <c r="BX165" s="180"/>
      <c r="BY165" s="180"/>
      <c r="BZ165" s="180">
        <v>0</v>
      </c>
      <c r="CA165" s="180">
        <v>0</v>
      </c>
      <c r="CB165" s="180"/>
      <c r="CC165" s="180">
        <v>0</v>
      </c>
      <c r="CD165" s="180">
        <v>0</v>
      </c>
      <c r="CE165" s="180">
        <v>0</v>
      </c>
      <c r="CF165" s="180">
        <v>0</v>
      </c>
      <c r="CG165" s="180">
        <v>0</v>
      </c>
      <c r="CH165" s="180">
        <v>0</v>
      </c>
      <c r="CI165" s="180">
        <v>0</v>
      </c>
      <c r="CJ165" s="180">
        <v>0.5</v>
      </c>
      <c r="CK165" s="180">
        <v>0</v>
      </c>
      <c r="CL165" s="180">
        <v>0</v>
      </c>
      <c r="CM165" s="180">
        <v>0</v>
      </c>
      <c r="CN165" s="180">
        <v>0</v>
      </c>
      <c r="CO165" s="180">
        <v>0</v>
      </c>
      <c r="CP165" s="180">
        <v>0</v>
      </c>
      <c r="CQ165" s="180">
        <v>0</v>
      </c>
      <c r="CR165" s="180">
        <v>0</v>
      </c>
      <c r="CS165" s="180">
        <v>0</v>
      </c>
      <c r="CT165" s="180"/>
      <c r="CU165" s="180"/>
    </row>
    <row r="166" spans="1:99" s="568" customFormat="1" x14ac:dyDescent="0.3">
      <c r="A166" s="567">
        <v>620</v>
      </c>
      <c r="B166" s="568" t="s">
        <v>958</v>
      </c>
      <c r="D166" s="568">
        <v>2</v>
      </c>
      <c r="E166" s="568">
        <v>2</v>
      </c>
      <c r="F166" s="568">
        <v>2</v>
      </c>
      <c r="G166" s="568">
        <v>2</v>
      </c>
      <c r="H166" s="568">
        <v>2</v>
      </c>
      <c r="I166" s="568">
        <v>2</v>
      </c>
      <c r="J166" s="568">
        <v>2</v>
      </c>
      <c r="L166" s="568">
        <v>1</v>
      </c>
      <c r="M166" s="568">
        <v>2</v>
      </c>
      <c r="O166" s="568">
        <v>2</v>
      </c>
      <c r="P166" s="568">
        <v>2</v>
      </c>
      <c r="Q166" s="568">
        <v>2</v>
      </c>
      <c r="R166" s="568">
        <v>2</v>
      </c>
      <c r="S166" s="568">
        <v>2</v>
      </c>
      <c r="T166" s="568">
        <v>2</v>
      </c>
      <c r="U166" s="568">
        <v>2</v>
      </c>
      <c r="V166" s="568">
        <v>2</v>
      </c>
      <c r="W166" s="568">
        <v>2</v>
      </c>
      <c r="X166" s="568">
        <v>2</v>
      </c>
      <c r="Y166" s="568">
        <v>2</v>
      </c>
      <c r="Z166" s="568">
        <v>2</v>
      </c>
      <c r="AA166" s="568">
        <v>2</v>
      </c>
      <c r="AB166" s="568">
        <v>2</v>
      </c>
      <c r="AC166" s="568">
        <v>2</v>
      </c>
      <c r="AE166" s="568">
        <v>2</v>
      </c>
      <c r="AF166" s="568">
        <v>2</v>
      </c>
      <c r="AG166" s="568">
        <v>2</v>
      </c>
      <c r="AH166" s="568">
        <v>2</v>
      </c>
      <c r="AI166" s="568">
        <v>2</v>
      </c>
      <c r="AJ166" s="568">
        <v>2</v>
      </c>
      <c r="AK166" s="568">
        <v>2</v>
      </c>
      <c r="AL166" s="568">
        <v>2</v>
      </c>
      <c r="AM166" s="568">
        <v>1</v>
      </c>
      <c r="AN166" s="568">
        <v>2</v>
      </c>
      <c r="AO166" s="568">
        <v>2</v>
      </c>
      <c r="AP166" s="568">
        <v>2</v>
      </c>
      <c r="AQ166" s="568">
        <v>2</v>
      </c>
      <c r="AR166" s="568">
        <v>1</v>
      </c>
      <c r="AS166" s="568">
        <v>2</v>
      </c>
      <c r="AT166" s="568">
        <v>2</v>
      </c>
      <c r="AU166" s="568">
        <v>2</v>
      </c>
      <c r="AV166" s="568">
        <v>2</v>
      </c>
      <c r="AW166" s="568">
        <v>2</v>
      </c>
      <c r="AX166" s="568">
        <v>2</v>
      </c>
      <c r="AY166" s="568">
        <v>1</v>
      </c>
      <c r="AZ166" s="568">
        <v>2</v>
      </c>
      <c r="BA166" s="568">
        <v>1</v>
      </c>
      <c r="BB166" s="568">
        <v>2</v>
      </c>
      <c r="BC166" s="568">
        <v>1</v>
      </c>
      <c r="BD166" s="568">
        <v>2</v>
      </c>
      <c r="BE166" s="568">
        <v>2</v>
      </c>
      <c r="BF166" s="568">
        <v>1</v>
      </c>
      <c r="BG166" s="568">
        <v>2</v>
      </c>
      <c r="BH166" s="568">
        <v>2</v>
      </c>
      <c r="BI166" s="568">
        <v>2</v>
      </c>
      <c r="BJ166" s="568">
        <v>2</v>
      </c>
      <c r="BK166" s="568">
        <v>2</v>
      </c>
      <c r="BL166" s="568">
        <v>2</v>
      </c>
      <c r="BM166" s="568">
        <v>2</v>
      </c>
      <c r="BN166" s="568">
        <v>1</v>
      </c>
      <c r="BO166" s="568">
        <v>2</v>
      </c>
      <c r="BP166" s="568">
        <v>2</v>
      </c>
      <c r="BQ166" s="568">
        <v>2</v>
      </c>
      <c r="BR166" s="568">
        <v>2</v>
      </c>
      <c r="BS166" s="568">
        <v>1</v>
      </c>
      <c r="BT166" s="568">
        <v>2</v>
      </c>
      <c r="BU166" s="568">
        <v>2</v>
      </c>
      <c r="BV166" s="568">
        <v>2</v>
      </c>
      <c r="BW166" s="568">
        <v>2</v>
      </c>
      <c r="BZ166" s="568">
        <v>1</v>
      </c>
      <c r="CA166" s="568">
        <v>2</v>
      </c>
      <c r="CC166" s="568">
        <v>2</v>
      </c>
      <c r="CD166" s="568">
        <v>1</v>
      </c>
      <c r="CE166" s="568">
        <v>1</v>
      </c>
      <c r="CF166" s="568">
        <v>1</v>
      </c>
      <c r="CG166" s="568">
        <v>2</v>
      </c>
      <c r="CH166" s="568">
        <v>2</v>
      </c>
      <c r="CI166" s="568">
        <v>1</v>
      </c>
      <c r="CJ166" s="568">
        <v>1</v>
      </c>
      <c r="CK166" s="568">
        <v>2</v>
      </c>
      <c r="CL166" s="568">
        <v>2</v>
      </c>
      <c r="CM166" s="568">
        <v>1</v>
      </c>
      <c r="CN166" s="568">
        <v>2</v>
      </c>
      <c r="CO166" s="568">
        <v>2</v>
      </c>
      <c r="CP166" s="568">
        <v>2</v>
      </c>
      <c r="CQ166" s="568">
        <v>2</v>
      </c>
      <c r="CR166" s="568">
        <v>2</v>
      </c>
      <c r="CS166" s="568">
        <v>1</v>
      </c>
    </row>
    <row r="167" spans="1:99" x14ac:dyDescent="0.3">
      <c r="A167" s="155">
        <v>621</v>
      </c>
      <c r="B167" s="180" t="s">
        <v>959</v>
      </c>
      <c r="C167" s="180"/>
      <c r="D167" s="180">
        <v>0</v>
      </c>
      <c r="E167" s="180">
        <v>0</v>
      </c>
      <c r="F167" s="180">
        <v>0</v>
      </c>
      <c r="G167" s="180">
        <v>0</v>
      </c>
      <c r="H167" s="180">
        <v>0</v>
      </c>
      <c r="I167" s="180">
        <v>0</v>
      </c>
      <c r="J167" s="180">
        <v>0</v>
      </c>
      <c r="K167" s="180"/>
      <c r="L167" s="180">
        <v>0</v>
      </c>
      <c r="M167" s="180">
        <v>0</v>
      </c>
      <c r="N167" s="180"/>
      <c r="O167" s="180">
        <v>0</v>
      </c>
      <c r="P167" s="180">
        <v>0</v>
      </c>
      <c r="Q167" s="180">
        <v>0</v>
      </c>
      <c r="R167" s="180">
        <v>0</v>
      </c>
      <c r="S167" s="180">
        <v>0</v>
      </c>
      <c r="T167" s="180">
        <v>0</v>
      </c>
      <c r="U167" s="180">
        <v>0</v>
      </c>
      <c r="V167" s="180">
        <v>5012027</v>
      </c>
      <c r="W167" s="180">
        <v>0</v>
      </c>
      <c r="X167" s="180">
        <v>0</v>
      </c>
      <c r="Y167" s="180">
        <v>0</v>
      </c>
      <c r="Z167" s="180">
        <v>0</v>
      </c>
      <c r="AA167" s="180">
        <v>0</v>
      </c>
      <c r="AB167" s="180">
        <v>0</v>
      </c>
      <c r="AC167" s="180">
        <v>0</v>
      </c>
      <c r="AD167" s="180"/>
      <c r="AE167" s="180">
        <v>0</v>
      </c>
      <c r="AF167" s="180">
        <v>0</v>
      </c>
      <c r="AG167" s="180">
        <v>0</v>
      </c>
      <c r="AH167" s="180">
        <v>0</v>
      </c>
      <c r="AI167" s="180">
        <v>0</v>
      </c>
      <c r="AJ167" s="180">
        <v>0</v>
      </c>
      <c r="AK167" s="180">
        <v>0</v>
      </c>
      <c r="AL167" s="180">
        <v>0</v>
      </c>
      <c r="AM167" s="180">
        <v>0</v>
      </c>
      <c r="AN167" s="180">
        <v>0</v>
      </c>
      <c r="AO167" s="180">
        <v>0</v>
      </c>
      <c r="AP167" s="180">
        <v>0</v>
      </c>
      <c r="AQ167" s="180">
        <v>0</v>
      </c>
      <c r="AR167" s="180">
        <v>0</v>
      </c>
      <c r="AS167" s="180">
        <v>0</v>
      </c>
      <c r="AT167" s="180">
        <v>0</v>
      </c>
      <c r="AU167" s="180">
        <v>0</v>
      </c>
      <c r="AV167" s="180">
        <v>0</v>
      </c>
      <c r="AW167" s="180">
        <v>0</v>
      </c>
      <c r="AX167" s="180">
        <v>218989</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v>0</v>
      </c>
      <c r="BO167" s="180">
        <v>0</v>
      </c>
      <c r="BP167" s="180">
        <v>0</v>
      </c>
      <c r="BQ167" s="180">
        <v>0</v>
      </c>
      <c r="BR167" s="180">
        <v>0</v>
      </c>
      <c r="BS167" s="180">
        <v>0</v>
      </c>
      <c r="BT167" s="180">
        <v>0</v>
      </c>
      <c r="BU167" s="180">
        <v>0</v>
      </c>
      <c r="BV167" s="180">
        <v>0</v>
      </c>
      <c r="BW167" s="180">
        <v>0</v>
      </c>
      <c r="BX167" s="180"/>
      <c r="BY167" s="180"/>
      <c r="BZ167" s="180">
        <v>0</v>
      </c>
      <c r="CA167" s="180">
        <v>0</v>
      </c>
      <c r="CB167" s="180"/>
      <c r="CC167" s="180">
        <v>0</v>
      </c>
      <c r="CD167" s="180">
        <v>0</v>
      </c>
      <c r="CE167" s="180">
        <v>0</v>
      </c>
      <c r="CF167" s="180">
        <v>0</v>
      </c>
      <c r="CG167" s="180">
        <v>0</v>
      </c>
      <c r="CH167" s="180">
        <v>0</v>
      </c>
      <c r="CI167" s="180">
        <v>0</v>
      </c>
      <c r="CJ167" s="180">
        <v>0</v>
      </c>
      <c r="CK167" s="180">
        <v>0</v>
      </c>
      <c r="CL167" s="180">
        <v>0</v>
      </c>
      <c r="CM167" s="180">
        <v>0</v>
      </c>
      <c r="CN167" s="180">
        <v>0</v>
      </c>
      <c r="CO167" s="180">
        <v>0</v>
      </c>
      <c r="CP167" s="180">
        <v>0</v>
      </c>
      <c r="CQ167" s="180">
        <v>0</v>
      </c>
      <c r="CR167" s="180">
        <v>0</v>
      </c>
      <c r="CS167" s="180">
        <v>0</v>
      </c>
      <c r="CT167" s="180"/>
      <c r="CU167" s="180"/>
    </row>
    <row r="168" spans="1:99" x14ac:dyDescent="0.3">
      <c r="A168" s="155">
        <v>622</v>
      </c>
      <c r="B168" s="180" t="s">
        <v>960</v>
      </c>
      <c r="C168" s="180"/>
      <c r="D168" s="180">
        <v>0</v>
      </c>
      <c r="E168" s="180">
        <v>51682</v>
      </c>
      <c r="F168" s="180">
        <v>298591</v>
      </c>
      <c r="G168" s="180">
        <v>0</v>
      </c>
      <c r="H168" s="180">
        <v>523111</v>
      </c>
      <c r="I168" s="180">
        <v>107658</v>
      </c>
      <c r="J168" s="180">
        <v>260711</v>
      </c>
      <c r="K168" s="180"/>
      <c r="L168" s="180">
        <v>31132</v>
      </c>
      <c r="M168" s="180">
        <v>4562756</v>
      </c>
      <c r="N168" s="180"/>
      <c r="O168" s="180">
        <v>0</v>
      </c>
      <c r="P168" s="180">
        <v>0</v>
      </c>
      <c r="Q168" s="180">
        <v>106585</v>
      </c>
      <c r="R168" s="180">
        <v>0</v>
      </c>
      <c r="S168" s="180">
        <v>7821</v>
      </c>
      <c r="T168" s="180">
        <v>136950</v>
      </c>
      <c r="U168" s="180">
        <v>117320</v>
      </c>
      <c r="V168" s="180">
        <v>633989</v>
      </c>
      <c r="W168" s="180">
        <v>1093301</v>
      </c>
      <c r="X168" s="180">
        <v>385239</v>
      </c>
      <c r="Y168" s="180">
        <v>0</v>
      </c>
      <c r="Z168" s="180">
        <v>277274</v>
      </c>
      <c r="AA168" s="180">
        <v>160107</v>
      </c>
      <c r="AB168" s="180">
        <v>0</v>
      </c>
      <c r="AC168" s="180">
        <v>1822679</v>
      </c>
      <c r="AD168" s="180"/>
      <c r="AE168" s="180">
        <v>60475</v>
      </c>
      <c r="AF168" s="180">
        <v>16256</v>
      </c>
      <c r="AG168" s="180">
        <v>2866751</v>
      </c>
      <c r="AH168" s="180">
        <v>18557</v>
      </c>
      <c r="AI168" s="180">
        <v>232493</v>
      </c>
      <c r="AJ168" s="180">
        <v>0</v>
      </c>
      <c r="AK168" s="180">
        <v>0</v>
      </c>
      <c r="AL168" s="180">
        <v>72692</v>
      </c>
      <c r="AM168" s="180">
        <v>332177</v>
      </c>
      <c r="AN168" s="180">
        <v>282794</v>
      </c>
      <c r="AO168" s="180">
        <v>366223</v>
      </c>
      <c r="AP168" s="180">
        <v>3987</v>
      </c>
      <c r="AQ168" s="180">
        <v>8281</v>
      </c>
      <c r="AR168" s="180">
        <v>647944</v>
      </c>
      <c r="AS168" s="180">
        <v>95390</v>
      </c>
      <c r="AT168" s="180">
        <v>0</v>
      </c>
      <c r="AU168" s="180">
        <v>0</v>
      </c>
      <c r="AV168" s="180">
        <v>64871</v>
      </c>
      <c r="AW168" s="180">
        <v>0</v>
      </c>
      <c r="AX168" s="180">
        <v>0</v>
      </c>
      <c r="AY168" s="180">
        <v>518662</v>
      </c>
      <c r="AZ168" s="180">
        <v>19323</v>
      </c>
      <c r="BA168" s="180">
        <v>5240605</v>
      </c>
      <c r="BB168" s="180">
        <v>24077</v>
      </c>
      <c r="BC168" s="180">
        <v>552401</v>
      </c>
      <c r="BD168" s="180">
        <v>0</v>
      </c>
      <c r="BE168" s="180">
        <v>76066</v>
      </c>
      <c r="BF168" s="180">
        <v>0</v>
      </c>
      <c r="BG168" s="180">
        <v>7515</v>
      </c>
      <c r="BH168" s="180">
        <v>156886</v>
      </c>
      <c r="BI168" s="180">
        <v>261631</v>
      </c>
      <c r="BJ168" s="180">
        <v>2354990</v>
      </c>
      <c r="BK168" s="180">
        <v>20243</v>
      </c>
      <c r="BL168" s="180">
        <v>0</v>
      </c>
      <c r="BM168" s="180">
        <v>992850</v>
      </c>
      <c r="BN168" s="180">
        <v>1686342</v>
      </c>
      <c r="BO168" s="180">
        <v>924298</v>
      </c>
      <c r="BP168" s="180">
        <v>0</v>
      </c>
      <c r="BQ168" s="180">
        <v>38033</v>
      </c>
      <c r="BR168" s="180">
        <v>220531</v>
      </c>
      <c r="BS168" s="180">
        <v>693032</v>
      </c>
      <c r="BT168" s="180">
        <v>0</v>
      </c>
      <c r="BU168" s="180">
        <v>0</v>
      </c>
      <c r="BV168" s="180">
        <v>222525</v>
      </c>
      <c r="BW168" s="180">
        <v>212250</v>
      </c>
      <c r="BX168" s="180"/>
      <c r="BY168" s="180"/>
      <c r="BZ168" s="180">
        <v>695332</v>
      </c>
      <c r="CA168" s="180">
        <v>0</v>
      </c>
      <c r="CB168" s="180"/>
      <c r="CC168" s="180">
        <v>811886</v>
      </c>
      <c r="CD168" s="180">
        <v>12200983</v>
      </c>
      <c r="CE168" s="180">
        <v>9469566</v>
      </c>
      <c r="CF168" s="180">
        <v>0</v>
      </c>
      <c r="CG168" s="180">
        <v>340458</v>
      </c>
      <c r="CH168" s="180">
        <v>19323</v>
      </c>
      <c r="CI168" s="180">
        <v>144771</v>
      </c>
      <c r="CJ168" s="180">
        <v>27170720</v>
      </c>
      <c r="CK168" s="180">
        <v>1016774</v>
      </c>
      <c r="CL168" s="180">
        <v>61651</v>
      </c>
      <c r="CM168" s="180">
        <v>400882</v>
      </c>
      <c r="CN168" s="180">
        <v>38033</v>
      </c>
      <c r="CO168" s="180">
        <v>864335</v>
      </c>
      <c r="CP168" s="180">
        <v>375731</v>
      </c>
      <c r="CQ168" s="180">
        <v>76526</v>
      </c>
      <c r="CR168" s="180">
        <v>287703</v>
      </c>
      <c r="CS168" s="180">
        <v>840411</v>
      </c>
      <c r="CT168" s="180"/>
      <c r="CU168" s="180"/>
    </row>
    <row r="169" spans="1:99" s="568" customFormat="1" x14ac:dyDescent="0.3">
      <c r="A169" s="567">
        <v>624</v>
      </c>
      <c r="B169" s="568" t="s">
        <v>357</v>
      </c>
      <c r="D169" s="568">
        <v>2</v>
      </c>
      <c r="E169" s="568">
        <v>2</v>
      </c>
      <c r="F169" s="568">
        <v>2</v>
      </c>
      <c r="G169" s="568">
        <v>1</v>
      </c>
      <c r="H169" s="568">
        <v>1</v>
      </c>
      <c r="I169" s="568">
        <v>1</v>
      </c>
      <c r="J169" s="568">
        <v>2</v>
      </c>
      <c r="L169" s="568">
        <v>1</v>
      </c>
      <c r="M169" s="568">
        <v>1</v>
      </c>
      <c r="O169" s="568">
        <v>1</v>
      </c>
      <c r="P169" s="568">
        <v>2</v>
      </c>
      <c r="Q169" s="568">
        <v>1</v>
      </c>
      <c r="R169" s="568">
        <v>1</v>
      </c>
      <c r="S169" s="568">
        <v>1</v>
      </c>
      <c r="T169" s="568">
        <v>0</v>
      </c>
      <c r="U169" s="568">
        <v>1</v>
      </c>
      <c r="V169" s="568">
        <v>1</v>
      </c>
      <c r="W169" s="568">
        <v>1</v>
      </c>
      <c r="X169" s="568">
        <v>1</v>
      </c>
      <c r="Y169" s="568">
        <v>2</v>
      </c>
      <c r="Z169" s="568">
        <v>2</v>
      </c>
      <c r="AA169" s="568">
        <v>1</v>
      </c>
      <c r="AB169" s="568">
        <v>2</v>
      </c>
      <c r="AC169" s="568">
        <v>2</v>
      </c>
      <c r="AE169" s="568">
        <v>1</v>
      </c>
      <c r="AF169" s="568">
        <v>1</v>
      </c>
      <c r="AG169" s="568">
        <v>2</v>
      </c>
      <c r="AH169" s="568">
        <v>1</v>
      </c>
      <c r="AI169" s="568">
        <v>2</v>
      </c>
      <c r="AJ169" s="568">
        <v>1</v>
      </c>
      <c r="AK169" s="568">
        <v>1</v>
      </c>
      <c r="AL169" s="568">
        <v>1</v>
      </c>
      <c r="AM169" s="568">
        <v>0</v>
      </c>
      <c r="AN169" s="568">
        <v>2</v>
      </c>
      <c r="AO169" s="568">
        <v>1</v>
      </c>
      <c r="AP169" s="568">
        <v>1</v>
      </c>
      <c r="AQ169" s="568">
        <v>2</v>
      </c>
      <c r="AR169" s="568">
        <v>2</v>
      </c>
      <c r="AS169" s="568">
        <v>1</v>
      </c>
      <c r="AT169" s="568">
        <v>1</v>
      </c>
      <c r="AU169" s="568">
        <v>1</v>
      </c>
      <c r="AV169" s="568">
        <v>1</v>
      </c>
      <c r="AW169" s="568">
        <v>0</v>
      </c>
      <c r="AX169" s="568">
        <v>1</v>
      </c>
      <c r="AY169" s="568">
        <v>1</v>
      </c>
      <c r="AZ169" s="568">
        <v>1</v>
      </c>
      <c r="BA169" s="568">
        <v>1</v>
      </c>
      <c r="BB169" s="568">
        <v>1</v>
      </c>
      <c r="BC169" s="568">
        <v>2</v>
      </c>
      <c r="BD169" s="568">
        <v>1</v>
      </c>
      <c r="BE169" s="568">
        <v>1</v>
      </c>
      <c r="BF169" s="568">
        <v>1</v>
      </c>
      <c r="BG169" s="568">
        <v>1</v>
      </c>
      <c r="BH169" s="568">
        <v>1</v>
      </c>
      <c r="BI169" s="568">
        <v>1</v>
      </c>
      <c r="BJ169" s="568">
        <v>1</v>
      </c>
      <c r="BK169" s="568">
        <v>1</v>
      </c>
      <c r="BL169" s="568">
        <v>2</v>
      </c>
      <c r="BM169" s="568">
        <v>2</v>
      </c>
      <c r="BN169" s="568">
        <v>1</v>
      </c>
      <c r="BO169" s="568">
        <v>1</v>
      </c>
      <c r="BP169" s="568">
        <v>1</v>
      </c>
      <c r="BQ169" s="568">
        <v>2</v>
      </c>
      <c r="BR169" s="568">
        <v>1</v>
      </c>
      <c r="BS169" s="568">
        <v>1</v>
      </c>
      <c r="BT169" s="568">
        <v>2</v>
      </c>
      <c r="BU169" s="568">
        <v>1</v>
      </c>
      <c r="BV169" s="568">
        <v>2</v>
      </c>
      <c r="BW169" s="568">
        <v>2</v>
      </c>
      <c r="BZ169" s="568">
        <v>1</v>
      </c>
      <c r="CA169" s="568">
        <v>1</v>
      </c>
      <c r="CC169" s="568">
        <v>2</v>
      </c>
      <c r="CD169" s="568">
        <v>1</v>
      </c>
      <c r="CE169" s="568">
        <v>1</v>
      </c>
      <c r="CF169" s="568">
        <v>1</v>
      </c>
      <c r="CG169" s="568">
        <v>0</v>
      </c>
      <c r="CH169" s="568">
        <v>2</v>
      </c>
      <c r="CI169" s="568">
        <v>1</v>
      </c>
      <c r="CJ169" s="568">
        <v>1</v>
      </c>
      <c r="CK169" s="568">
        <v>2</v>
      </c>
      <c r="CL169" s="568">
        <v>1</v>
      </c>
      <c r="CM169" s="568">
        <v>1</v>
      </c>
      <c r="CN169" s="568">
        <v>1</v>
      </c>
      <c r="CO169" s="568">
        <v>1</v>
      </c>
      <c r="CP169" s="568">
        <v>1</v>
      </c>
      <c r="CQ169" s="568">
        <v>2</v>
      </c>
      <c r="CR169" s="568">
        <v>2</v>
      </c>
      <c r="CS169" s="568">
        <v>1</v>
      </c>
    </row>
    <row r="170" spans="1:99" s="564" customFormat="1" x14ac:dyDescent="0.3">
      <c r="A170" s="563">
        <v>626</v>
      </c>
      <c r="B170" s="564" t="s">
        <v>961</v>
      </c>
      <c r="D170" s="564">
        <v>73462</v>
      </c>
      <c r="E170" s="564">
        <v>1577502</v>
      </c>
      <c r="F170" s="564">
        <v>189789</v>
      </c>
      <c r="G170" s="564">
        <v>3867</v>
      </c>
      <c r="H170" s="564">
        <v>869384</v>
      </c>
      <c r="I170" s="564">
        <v>20313</v>
      </c>
      <c r="J170" s="564">
        <v>958638</v>
      </c>
      <c r="L170" s="564">
        <v>62034</v>
      </c>
      <c r="M170" s="564">
        <v>9804512</v>
      </c>
      <c r="O170" s="564">
        <v>151822</v>
      </c>
      <c r="P170" s="564">
        <v>373557</v>
      </c>
      <c r="Q170" s="564">
        <v>388613</v>
      </c>
      <c r="R170" s="564">
        <v>0</v>
      </c>
      <c r="S170" s="564">
        <v>11451</v>
      </c>
      <c r="T170" s="564">
        <v>316343</v>
      </c>
      <c r="U170" s="564">
        <v>216129</v>
      </c>
      <c r="V170" s="564">
        <v>427985</v>
      </c>
      <c r="W170" s="564">
        <v>1273176</v>
      </c>
      <c r="X170" s="564">
        <v>7593321</v>
      </c>
      <c r="Y170" s="564">
        <v>16662</v>
      </c>
      <c r="Z170" s="564">
        <v>306786</v>
      </c>
      <c r="AA170" s="564">
        <v>443221</v>
      </c>
      <c r="AB170" s="564">
        <v>8691</v>
      </c>
      <c r="AC170" s="564">
        <v>537006</v>
      </c>
      <c r="AE170" s="564">
        <v>162689</v>
      </c>
      <c r="AF170" s="564">
        <v>2016</v>
      </c>
      <c r="AG170" s="564">
        <v>6433919</v>
      </c>
      <c r="AH170" s="564">
        <v>156681</v>
      </c>
      <c r="AI170" s="564">
        <v>249481</v>
      </c>
      <c r="AJ170" s="564">
        <v>895968</v>
      </c>
      <c r="AK170" s="564">
        <v>1901</v>
      </c>
      <c r="AL170" s="564">
        <v>1138574</v>
      </c>
      <c r="AM170" s="564">
        <v>1265750</v>
      </c>
      <c r="AN170" s="564">
        <v>857041</v>
      </c>
      <c r="AO170" s="564">
        <v>139773</v>
      </c>
      <c r="AP170" s="564">
        <v>47931</v>
      </c>
      <c r="AQ170" s="564">
        <v>36006</v>
      </c>
      <c r="AR170" s="564">
        <v>78166</v>
      </c>
      <c r="AS170" s="564">
        <v>186089</v>
      </c>
      <c r="AT170" s="564">
        <v>47295</v>
      </c>
      <c r="AU170" s="564">
        <v>0</v>
      </c>
      <c r="AV170" s="564">
        <v>219702</v>
      </c>
      <c r="AW170" s="564">
        <v>37079</v>
      </c>
      <c r="AX170" s="564">
        <v>17150</v>
      </c>
      <c r="AY170" s="564">
        <v>1101644</v>
      </c>
      <c r="AZ170" s="564">
        <v>12946</v>
      </c>
      <c r="BA170" s="564">
        <v>19347100</v>
      </c>
      <c r="BB170" s="564">
        <v>978762</v>
      </c>
      <c r="BC170" s="564">
        <v>433350</v>
      </c>
      <c r="BD170" s="564">
        <v>0</v>
      </c>
      <c r="BE170" s="564">
        <v>232564</v>
      </c>
      <c r="BF170" s="564">
        <v>188051</v>
      </c>
      <c r="BG170" s="564">
        <v>33007</v>
      </c>
      <c r="BH170" s="564">
        <v>266099</v>
      </c>
      <c r="BI170" s="564">
        <v>656344</v>
      </c>
      <c r="BJ170" s="564">
        <v>2619395</v>
      </c>
      <c r="BK170" s="564">
        <v>79075</v>
      </c>
      <c r="BL170" s="564">
        <v>0</v>
      </c>
      <c r="BM170" s="564">
        <v>3366986</v>
      </c>
      <c r="BN170" s="564">
        <v>3017521</v>
      </c>
      <c r="BO170" s="564">
        <v>1348383</v>
      </c>
      <c r="BP170" s="564">
        <v>40810</v>
      </c>
      <c r="BQ170" s="564">
        <v>760794</v>
      </c>
      <c r="BR170" s="564">
        <v>119723</v>
      </c>
      <c r="BS170" s="564">
        <v>3714112</v>
      </c>
      <c r="BT170" s="564">
        <v>363565</v>
      </c>
      <c r="BU170" s="564">
        <v>339423</v>
      </c>
      <c r="BV170" s="564">
        <v>223442</v>
      </c>
      <c r="BW170" s="564">
        <v>433945</v>
      </c>
      <c r="BZ170" s="564">
        <v>3247241</v>
      </c>
      <c r="CA170" s="564">
        <v>8446</v>
      </c>
      <c r="CC170" s="564">
        <v>2660277</v>
      </c>
      <c r="CD170" s="564">
        <v>57514079</v>
      </c>
      <c r="CE170" s="564">
        <v>19653339</v>
      </c>
      <c r="CF170" s="564">
        <v>52581</v>
      </c>
      <c r="CG170" s="564">
        <v>283880</v>
      </c>
      <c r="CH170" s="564">
        <v>58280</v>
      </c>
      <c r="CI170" s="564">
        <v>228011</v>
      </c>
      <c r="CJ170" s="564">
        <v>84443913</v>
      </c>
      <c r="CK170" s="564">
        <v>3829543</v>
      </c>
      <c r="CL170" s="564">
        <v>204056</v>
      </c>
      <c r="CM170" s="564">
        <v>604657</v>
      </c>
      <c r="CN170" s="564">
        <v>132059</v>
      </c>
      <c r="CO170" s="564">
        <v>1480656</v>
      </c>
      <c r="CP170" s="564">
        <v>676895</v>
      </c>
      <c r="CQ170" s="564">
        <v>503182</v>
      </c>
      <c r="CR170" s="564">
        <v>386903</v>
      </c>
      <c r="CS170" s="564">
        <v>2236679</v>
      </c>
    </row>
    <row r="171" spans="1:99" s="562" customFormat="1" x14ac:dyDescent="0.3">
      <c r="A171" s="561">
        <v>627</v>
      </c>
      <c r="B171" s="562" t="s">
        <v>962</v>
      </c>
      <c r="D171" s="562">
        <v>0</v>
      </c>
      <c r="E171" s="562">
        <v>0</v>
      </c>
      <c r="F171" s="562">
        <v>0</v>
      </c>
      <c r="G171" s="562">
        <v>0</v>
      </c>
      <c r="H171" s="562">
        <v>0</v>
      </c>
      <c r="I171" s="562">
        <v>0</v>
      </c>
      <c r="J171" s="562">
        <v>0</v>
      </c>
      <c r="L171" s="562">
        <v>0</v>
      </c>
      <c r="M171" s="562">
        <v>0</v>
      </c>
      <c r="O171" s="562">
        <v>0</v>
      </c>
      <c r="P171" s="562">
        <v>0</v>
      </c>
      <c r="Q171" s="562">
        <v>0</v>
      </c>
      <c r="R171" s="562">
        <v>0</v>
      </c>
      <c r="S171" s="562">
        <v>0</v>
      </c>
      <c r="T171" s="562">
        <v>0</v>
      </c>
      <c r="U171" s="562">
        <v>0</v>
      </c>
      <c r="V171" s="562">
        <v>0</v>
      </c>
      <c r="W171" s="562">
        <v>0</v>
      </c>
      <c r="X171" s="562">
        <v>0</v>
      </c>
      <c r="Y171" s="562">
        <v>0</v>
      </c>
      <c r="Z171" s="562">
        <v>0</v>
      </c>
      <c r="AA171" s="562">
        <v>0</v>
      </c>
      <c r="AB171" s="562">
        <v>0</v>
      </c>
      <c r="AC171" s="562">
        <v>0</v>
      </c>
      <c r="AE171" s="562">
        <v>0</v>
      </c>
      <c r="AF171" s="562">
        <v>0</v>
      </c>
      <c r="AG171" s="562">
        <v>0</v>
      </c>
      <c r="AH171" s="562">
        <v>0</v>
      </c>
      <c r="AI171" s="562">
        <v>0</v>
      </c>
      <c r="AJ171" s="562">
        <v>0</v>
      </c>
      <c r="AK171" s="562">
        <v>0</v>
      </c>
      <c r="AL171" s="562">
        <v>0</v>
      </c>
      <c r="AM171" s="562">
        <v>0</v>
      </c>
      <c r="AN171" s="562">
        <v>0</v>
      </c>
      <c r="AO171" s="562">
        <v>0</v>
      </c>
      <c r="AP171" s="562">
        <v>0</v>
      </c>
      <c r="AQ171" s="562">
        <v>0</v>
      </c>
      <c r="AR171" s="562">
        <v>0</v>
      </c>
      <c r="AS171" s="562">
        <v>0</v>
      </c>
      <c r="AT171" s="562">
        <v>0</v>
      </c>
      <c r="AU171" s="562">
        <v>0</v>
      </c>
      <c r="AV171" s="562">
        <v>0</v>
      </c>
      <c r="AW171" s="562">
        <v>0</v>
      </c>
      <c r="AX171" s="562">
        <v>0</v>
      </c>
      <c r="AY171" s="562">
        <v>0</v>
      </c>
      <c r="AZ171" s="562">
        <v>0</v>
      </c>
      <c r="BA171" s="562">
        <v>0</v>
      </c>
      <c r="BB171" s="562">
        <v>0</v>
      </c>
      <c r="BC171" s="562">
        <v>0</v>
      </c>
      <c r="BD171" s="562">
        <v>0</v>
      </c>
      <c r="BE171" s="562">
        <v>0</v>
      </c>
      <c r="BF171" s="562">
        <v>0</v>
      </c>
      <c r="BG171" s="562">
        <v>0</v>
      </c>
      <c r="BH171" s="562">
        <v>0</v>
      </c>
      <c r="BI171" s="562">
        <v>0</v>
      </c>
      <c r="BJ171" s="562">
        <v>0</v>
      </c>
      <c r="BK171" s="562">
        <v>0</v>
      </c>
      <c r="BL171" s="562">
        <v>0</v>
      </c>
      <c r="BM171" s="562">
        <v>0</v>
      </c>
      <c r="BN171" s="562">
        <v>0</v>
      </c>
      <c r="BO171" s="562">
        <v>0</v>
      </c>
      <c r="BP171" s="562">
        <v>0</v>
      </c>
      <c r="BQ171" s="562">
        <v>0</v>
      </c>
      <c r="BR171" s="562">
        <v>0</v>
      </c>
      <c r="BS171" s="562">
        <v>0</v>
      </c>
      <c r="BT171" s="562">
        <v>0</v>
      </c>
      <c r="BU171" s="562">
        <v>0</v>
      </c>
      <c r="BV171" s="562">
        <v>0</v>
      </c>
      <c r="BW171" s="562">
        <v>818</v>
      </c>
      <c r="BZ171" s="562">
        <v>0</v>
      </c>
      <c r="CA171" s="562">
        <v>0</v>
      </c>
      <c r="CC171" s="562">
        <v>0</v>
      </c>
      <c r="CD171" s="562">
        <v>0</v>
      </c>
      <c r="CE171" s="562">
        <v>0</v>
      </c>
      <c r="CF171" s="562">
        <v>0</v>
      </c>
      <c r="CG171" s="562">
        <v>0</v>
      </c>
      <c r="CH171" s="562">
        <v>0</v>
      </c>
      <c r="CI171" s="562">
        <v>0</v>
      </c>
      <c r="CJ171" s="562">
        <v>0</v>
      </c>
      <c r="CK171" s="562">
        <v>0</v>
      </c>
      <c r="CL171" s="562">
        <v>0</v>
      </c>
      <c r="CM171" s="562">
        <v>342150</v>
      </c>
      <c r="CN171" s="562">
        <v>0</v>
      </c>
      <c r="CO171" s="562">
        <v>0</v>
      </c>
      <c r="CP171" s="562">
        <v>0</v>
      </c>
      <c r="CQ171" s="562">
        <v>0</v>
      </c>
      <c r="CR171" s="562">
        <v>0</v>
      </c>
      <c r="CS171" s="562">
        <v>0</v>
      </c>
    </row>
    <row r="172" spans="1:99" s="562" customFormat="1" x14ac:dyDescent="0.3">
      <c r="A172" s="561">
        <v>628</v>
      </c>
      <c r="B172" s="562" t="s">
        <v>963</v>
      </c>
      <c r="D172" s="562">
        <v>0</v>
      </c>
      <c r="E172" s="562">
        <v>15096</v>
      </c>
      <c r="F172" s="562">
        <v>0</v>
      </c>
      <c r="G172" s="562">
        <v>0</v>
      </c>
      <c r="H172" s="562">
        <v>155269</v>
      </c>
      <c r="I172" s="562">
        <v>0</v>
      </c>
      <c r="J172" s="562">
        <v>15971</v>
      </c>
      <c r="L172" s="562">
        <v>11265</v>
      </c>
      <c r="M172" s="562">
        <v>1060614</v>
      </c>
      <c r="O172" s="562">
        <v>0</v>
      </c>
      <c r="P172" s="562">
        <v>0</v>
      </c>
      <c r="Q172" s="562">
        <v>0</v>
      </c>
      <c r="R172" s="562">
        <v>0</v>
      </c>
      <c r="S172" s="562">
        <v>0</v>
      </c>
      <c r="T172" s="562">
        <v>43179</v>
      </c>
      <c r="U172" s="562">
        <v>0</v>
      </c>
      <c r="V172" s="562">
        <v>115000</v>
      </c>
      <c r="W172" s="562">
        <v>100000</v>
      </c>
      <c r="X172" s="562">
        <v>116748</v>
      </c>
      <c r="Y172" s="562">
        <v>0</v>
      </c>
      <c r="Z172" s="562">
        <v>0</v>
      </c>
      <c r="AA172" s="562">
        <v>0</v>
      </c>
      <c r="AB172" s="562">
        <v>0</v>
      </c>
      <c r="AC172" s="562">
        <v>86830</v>
      </c>
      <c r="AE172" s="562">
        <v>5603</v>
      </c>
      <c r="AF172" s="562">
        <v>0</v>
      </c>
      <c r="AG172" s="562">
        <v>546780</v>
      </c>
      <c r="AH172" s="562">
        <v>14837</v>
      </c>
      <c r="AI172" s="562">
        <v>0</v>
      </c>
      <c r="AJ172" s="562">
        <v>36627</v>
      </c>
      <c r="AK172" s="562">
        <v>0</v>
      </c>
      <c r="AL172" s="562">
        <v>20939</v>
      </c>
      <c r="AM172" s="562">
        <v>0</v>
      </c>
      <c r="AN172" s="562">
        <v>57486</v>
      </c>
      <c r="AO172" s="562">
        <v>18217</v>
      </c>
      <c r="AP172" s="562">
        <v>0</v>
      </c>
      <c r="AQ172" s="562">
        <v>0</v>
      </c>
      <c r="AR172" s="562">
        <v>0</v>
      </c>
      <c r="AS172" s="562">
        <v>10641</v>
      </c>
      <c r="AT172" s="562">
        <v>0</v>
      </c>
      <c r="AU172" s="562">
        <v>0</v>
      </c>
      <c r="AV172" s="562">
        <v>0</v>
      </c>
      <c r="AW172" s="562">
        <v>0</v>
      </c>
      <c r="AX172" s="562">
        <v>2967</v>
      </c>
      <c r="AY172" s="562">
        <v>0</v>
      </c>
      <c r="AZ172" s="562">
        <v>0</v>
      </c>
      <c r="BA172" s="562">
        <v>710232</v>
      </c>
      <c r="BB172" s="562">
        <v>0</v>
      </c>
      <c r="BC172" s="562">
        <v>78501</v>
      </c>
      <c r="BD172" s="562">
        <v>0</v>
      </c>
      <c r="BE172" s="562">
        <v>17762</v>
      </c>
      <c r="BF172" s="562">
        <v>0</v>
      </c>
      <c r="BG172" s="562">
        <v>0</v>
      </c>
      <c r="BH172" s="562">
        <v>0</v>
      </c>
      <c r="BI172" s="562">
        <v>27425</v>
      </c>
      <c r="BJ172" s="562">
        <v>308341</v>
      </c>
      <c r="BK172" s="562">
        <v>1668</v>
      </c>
      <c r="BL172" s="562">
        <v>0</v>
      </c>
      <c r="BM172" s="562">
        <v>95368</v>
      </c>
      <c r="BN172" s="562">
        <v>382901</v>
      </c>
      <c r="BO172" s="562">
        <v>122000</v>
      </c>
      <c r="BP172" s="562">
        <v>0</v>
      </c>
      <c r="BQ172" s="562">
        <v>6644</v>
      </c>
      <c r="BR172" s="562">
        <v>10606</v>
      </c>
      <c r="BS172" s="562">
        <v>0</v>
      </c>
      <c r="BT172" s="562">
        <v>2802</v>
      </c>
      <c r="BU172" s="562">
        <v>0</v>
      </c>
      <c r="BV172" s="562">
        <v>74429</v>
      </c>
      <c r="BW172" s="562">
        <v>234052</v>
      </c>
      <c r="BZ172" s="562">
        <v>0</v>
      </c>
      <c r="CA172" s="562">
        <v>0</v>
      </c>
      <c r="CC172" s="562">
        <v>78266</v>
      </c>
      <c r="CD172" s="562">
        <v>6777021</v>
      </c>
      <c r="CE172" s="562">
        <v>1730074</v>
      </c>
      <c r="CF172" s="562">
        <v>42909</v>
      </c>
      <c r="CG172" s="562">
        <v>80332</v>
      </c>
      <c r="CH172" s="562">
        <v>0</v>
      </c>
      <c r="CI172" s="562">
        <v>0</v>
      </c>
      <c r="CJ172" s="562">
        <v>6812974</v>
      </c>
      <c r="CK172" s="562">
        <v>103578</v>
      </c>
      <c r="CL172" s="562">
        <v>8537</v>
      </c>
      <c r="CM172" s="562">
        <v>73000</v>
      </c>
      <c r="CN172" s="562">
        <v>0</v>
      </c>
      <c r="CO172" s="562">
        <v>321606</v>
      </c>
      <c r="CP172" s="562">
        <v>54342</v>
      </c>
      <c r="CQ172" s="562">
        <v>0</v>
      </c>
      <c r="CR172" s="562">
        <v>24628</v>
      </c>
      <c r="CS172" s="562">
        <v>206873</v>
      </c>
    </row>
    <row r="173" spans="1:99" x14ac:dyDescent="0.3">
      <c r="A173" s="155">
        <v>629</v>
      </c>
      <c r="B173" s="180" t="s">
        <v>964</v>
      </c>
      <c r="C173" s="180"/>
      <c r="D173" s="180">
        <v>0</v>
      </c>
      <c r="E173" s="180">
        <v>0</v>
      </c>
      <c r="F173" s="180">
        <v>0</v>
      </c>
      <c r="G173" s="180">
        <v>0</v>
      </c>
      <c r="H173" s="180">
        <v>0</v>
      </c>
      <c r="I173" s="180">
        <v>0</v>
      </c>
      <c r="J173" s="180">
        <v>0</v>
      </c>
      <c r="K173" s="180"/>
      <c r="L173" s="180">
        <v>0</v>
      </c>
      <c r="M173" s="180">
        <v>0</v>
      </c>
      <c r="N173" s="180"/>
      <c r="O173" s="180">
        <v>0</v>
      </c>
      <c r="P173" s="180">
        <v>0</v>
      </c>
      <c r="Q173" s="180">
        <v>0</v>
      </c>
      <c r="R173" s="180">
        <v>0</v>
      </c>
      <c r="S173" s="180">
        <v>0</v>
      </c>
      <c r="T173" s="180">
        <v>0</v>
      </c>
      <c r="U173" s="180">
        <v>0</v>
      </c>
      <c r="V173" s="180">
        <v>0</v>
      </c>
      <c r="W173" s="180">
        <v>0</v>
      </c>
      <c r="X173" s="180">
        <v>0</v>
      </c>
      <c r="Y173" s="180">
        <v>0</v>
      </c>
      <c r="Z173" s="180">
        <v>0</v>
      </c>
      <c r="AA173" s="180">
        <v>0</v>
      </c>
      <c r="AB173" s="180">
        <v>0</v>
      </c>
      <c r="AC173" s="180">
        <v>0</v>
      </c>
      <c r="AD173" s="180"/>
      <c r="AE173" s="180">
        <v>0</v>
      </c>
      <c r="AF173" s="180">
        <v>0</v>
      </c>
      <c r="AG173" s="180">
        <v>0</v>
      </c>
      <c r="AH173" s="180">
        <v>0</v>
      </c>
      <c r="AI173" s="180">
        <v>0</v>
      </c>
      <c r="AJ173" s="180">
        <v>0</v>
      </c>
      <c r="AK173" s="180">
        <v>0</v>
      </c>
      <c r="AL173" s="180">
        <v>0</v>
      </c>
      <c r="AM173" s="180">
        <v>0</v>
      </c>
      <c r="AN173" s="180">
        <v>0</v>
      </c>
      <c r="AO173" s="180">
        <v>0</v>
      </c>
      <c r="AP173" s="180">
        <v>0</v>
      </c>
      <c r="AQ173" s="180">
        <v>0</v>
      </c>
      <c r="AR173" s="180">
        <v>0</v>
      </c>
      <c r="AS173" s="180">
        <v>0</v>
      </c>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v>0</v>
      </c>
      <c r="BM173" s="180">
        <v>0</v>
      </c>
      <c r="BN173" s="180">
        <v>0</v>
      </c>
      <c r="BO173" s="180">
        <v>0</v>
      </c>
      <c r="BP173" s="180">
        <v>0</v>
      </c>
      <c r="BQ173" s="180">
        <v>0</v>
      </c>
      <c r="BR173" s="180">
        <v>0</v>
      </c>
      <c r="BS173" s="180">
        <v>0</v>
      </c>
      <c r="BT173" s="180">
        <v>2335</v>
      </c>
      <c r="BU173" s="180">
        <v>0</v>
      </c>
      <c r="BV173" s="180">
        <v>0</v>
      </c>
      <c r="BW173" s="180">
        <v>0</v>
      </c>
      <c r="BX173" s="180"/>
      <c r="BY173" s="180"/>
      <c r="BZ173" s="180">
        <v>0</v>
      </c>
      <c r="CA173" s="180">
        <v>0</v>
      </c>
      <c r="CB173" s="180"/>
      <c r="CC173" s="180">
        <v>0</v>
      </c>
      <c r="CD173" s="180">
        <v>935140</v>
      </c>
      <c r="CE173" s="180">
        <v>0</v>
      </c>
      <c r="CF173" s="180">
        <v>0</v>
      </c>
      <c r="CG173" s="180">
        <v>0</v>
      </c>
      <c r="CH173" s="180">
        <v>0</v>
      </c>
      <c r="CI173" s="180">
        <v>0</v>
      </c>
      <c r="CJ173" s="180">
        <v>0</v>
      </c>
      <c r="CK173" s="180">
        <v>0</v>
      </c>
      <c r="CL173" s="180">
        <v>0</v>
      </c>
      <c r="CM173" s="180">
        <v>0</v>
      </c>
      <c r="CN173" s="180">
        <v>0</v>
      </c>
      <c r="CO173" s="180">
        <v>0</v>
      </c>
      <c r="CP173" s="180">
        <v>0</v>
      </c>
      <c r="CQ173" s="180">
        <v>0</v>
      </c>
      <c r="CR173" s="180">
        <v>0</v>
      </c>
      <c r="CS173" s="180">
        <v>0</v>
      </c>
      <c r="CT173" s="180"/>
      <c r="CU173" s="180"/>
    </row>
    <row r="174" spans="1:99" x14ac:dyDescent="0.3">
      <c r="A174" s="155">
        <v>630</v>
      </c>
      <c r="B174" s="180" t="s">
        <v>965</v>
      </c>
      <c r="C174" s="180"/>
      <c r="D174" s="180">
        <v>67564</v>
      </c>
      <c r="E174" s="180">
        <v>0</v>
      </c>
      <c r="F174" s="180">
        <v>0</v>
      </c>
      <c r="G174" s="180">
        <v>0</v>
      </c>
      <c r="H174" s="180">
        <v>0</v>
      </c>
      <c r="I174" s="180">
        <v>0</v>
      </c>
      <c r="J174" s="180">
        <v>0</v>
      </c>
      <c r="K174" s="180"/>
      <c r="L174" s="180">
        <v>5340</v>
      </c>
      <c r="M174" s="180">
        <v>6577587</v>
      </c>
      <c r="N174" s="180"/>
      <c r="O174" s="180">
        <v>90333</v>
      </c>
      <c r="P174" s="180">
        <v>4313</v>
      </c>
      <c r="Q174" s="180">
        <v>0</v>
      </c>
      <c r="R174" s="180">
        <v>0</v>
      </c>
      <c r="S174" s="180">
        <v>0</v>
      </c>
      <c r="T174" s="180">
        <v>0</v>
      </c>
      <c r="U174" s="180">
        <v>0</v>
      </c>
      <c r="V174" s="180">
        <v>0</v>
      </c>
      <c r="W174" s="180">
        <v>0</v>
      </c>
      <c r="X174" s="180">
        <v>6500775</v>
      </c>
      <c r="Y174" s="180">
        <v>0</v>
      </c>
      <c r="Z174" s="180">
        <v>0</v>
      </c>
      <c r="AA174" s="180">
        <v>0</v>
      </c>
      <c r="AB174" s="180">
        <v>0</v>
      </c>
      <c r="AC174" s="180">
        <v>4966</v>
      </c>
      <c r="AD174" s="180"/>
      <c r="AE174" s="180">
        <v>0</v>
      </c>
      <c r="AF174" s="180">
        <v>0</v>
      </c>
      <c r="AG174" s="180">
        <v>38957</v>
      </c>
      <c r="AH174" s="180">
        <v>0</v>
      </c>
      <c r="AI174" s="180">
        <v>0</v>
      </c>
      <c r="AJ174" s="180">
        <v>840741</v>
      </c>
      <c r="AK174" s="180">
        <v>0</v>
      </c>
      <c r="AL174" s="180">
        <v>0</v>
      </c>
      <c r="AM174" s="180">
        <v>28168</v>
      </c>
      <c r="AN174" s="180">
        <v>236113</v>
      </c>
      <c r="AO174" s="180">
        <v>0</v>
      </c>
      <c r="AP174" s="180">
        <v>43216</v>
      </c>
      <c r="AQ174" s="180">
        <v>0</v>
      </c>
      <c r="AR174" s="180">
        <v>0</v>
      </c>
      <c r="AS174" s="180">
        <v>0</v>
      </c>
      <c r="AT174" s="180">
        <v>38881</v>
      </c>
      <c r="AU174" s="180">
        <v>0</v>
      </c>
      <c r="AV174" s="180">
        <v>0</v>
      </c>
      <c r="AW174" s="180">
        <v>33861</v>
      </c>
      <c r="AX174" s="180">
        <v>0</v>
      </c>
      <c r="AY174" s="180">
        <v>666905</v>
      </c>
      <c r="AZ174" s="180">
        <v>0</v>
      </c>
      <c r="BA174" s="180">
        <v>6114366</v>
      </c>
      <c r="BB174" s="180">
        <v>0</v>
      </c>
      <c r="BC174" s="180">
        <v>0</v>
      </c>
      <c r="BD174" s="180">
        <v>0</v>
      </c>
      <c r="BE174" s="180">
        <v>0</v>
      </c>
      <c r="BF174" s="180">
        <v>0</v>
      </c>
      <c r="BG174" s="180">
        <v>0</v>
      </c>
      <c r="BH174" s="180">
        <v>0</v>
      </c>
      <c r="BI174" s="180">
        <v>0</v>
      </c>
      <c r="BJ174" s="180">
        <v>4233</v>
      </c>
      <c r="BK174" s="180">
        <v>0</v>
      </c>
      <c r="BL174" s="180">
        <v>0</v>
      </c>
      <c r="BM174" s="180">
        <v>928557</v>
      </c>
      <c r="BN174" s="180">
        <v>172372</v>
      </c>
      <c r="BO174" s="180">
        <v>707302</v>
      </c>
      <c r="BP174" s="180">
        <v>0</v>
      </c>
      <c r="BQ174" s="180">
        <v>0</v>
      </c>
      <c r="BR174" s="180">
        <v>0</v>
      </c>
      <c r="BS174" s="180">
        <v>0</v>
      </c>
      <c r="BT174" s="180">
        <v>0</v>
      </c>
      <c r="BU174" s="180">
        <v>0</v>
      </c>
      <c r="BV174" s="180">
        <v>0</v>
      </c>
      <c r="BW174" s="180">
        <v>0</v>
      </c>
      <c r="BX174" s="180"/>
      <c r="BY174" s="180"/>
      <c r="BZ174" s="180">
        <v>9900</v>
      </c>
      <c r="CA174" s="180">
        <v>0</v>
      </c>
      <c r="CB174" s="180"/>
      <c r="CC174" s="180">
        <v>828932</v>
      </c>
      <c r="CD174" s="180">
        <v>1059511</v>
      </c>
      <c r="CE174" s="180">
        <v>876321</v>
      </c>
      <c r="CF174" s="180">
        <v>0</v>
      </c>
      <c r="CG174" s="180">
        <v>0</v>
      </c>
      <c r="CH174" s="180">
        <v>0</v>
      </c>
      <c r="CI174" s="180">
        <v>1875</v>
      </c>
      <c r="CJ174" s="180">
        <v>0</v>
      </c>
      <c r="CK174" s="180">
        <v>2513820</v>
      </c>
      <c r="CL174" s="180">
        <v>0</v>
      </c>
      <c r="CM174" s="180">
        <v>0</v>
      </c>
      <c r="CN174" s="180">
        <v>0</v>
      </c>
      <c r="CO174" s="180">
        <v>0</v>
      </c>
      <c r="CP174" s="180">
        <v>0</v>
      </c>
      <c r="CQ174" s="180">
        <v>0</v>
      </c>
      <c r="CR174" s="180">
        <v>0</v>
      </c>
      <c r="CS174" s="180">
        <v>0</v>
      </c>
      <c r="CT174" s="180"/>
      <c r="CU174" s="180"/>
    </row>
    <row r="175" spans="1:99" x14ac:dyDescent="0.3">
      <c r="A175" s="155">
        <v>631</v>
      </c>
      <c r="B175" s="180" t="s">
        <v>966</v>
      </c>
      <c r="C175" s="180"/>
      <c r="D175" s="180">
        <v>0</v>
      </c>
      <c r="E175" s="180">
        <v>0</v>
      </c>
      <c r="F175" s="180">
        <v>0</v>
      </c>
      <c r="G175" s="180">
        <v>0</v>
      </c>
      <c r="H175" s="180">
        <v>0</v>
      </c>
      <c r="I175" s="180">
        <v>0</v>
      </c>
      <c r="J175" s="180">
        <v>0</v>
      </c>
      <c r="K175" s="180"/>
      <c r="L175" s="180">
        <v>0</v>
      </c>
      <c r="M175" s="180">
        <v>0</v>
      </c>
      <c r="N175" s="180"/>
      <c r="O175" s="180">
        <v>0</v>
      </c>
      <c r="P175" s="180">
        <v>0</v>
      </c>
      <c r="Q175" s="180">
        <v>0</v>
      </c>
      <c r="R175" s="180">
        <v>0</v>
      </c>
      <c r="S175" s="180">
        <v>0</v>
      </c>
      <c r="T175" s="180">
        <v>0</v>
      </c>
      <c r="U175" s="180">
        <v>0</v>
      </c>
      <c r="V175" s="180">
        <v>0</v>
      </c>
      <c r="W175" s="180">
        <v>0</v>
      </c>
      <c r="X175" s="180">
        <v>0</v>
      </c>
      <c r="Y175" s="180">
        <v>0</v>
      </c>
      <c r="Z175" s="180">
        <v>0</v>
      </c>
      <c r="AA175" s="180">
        <v>0</v>
      </c>
      <c r="AB175" s="180">
        <v>0</v>
      </c>
      <c r="AC175" s="180">
        <v>0</v>
      </c>
      <c r="AD175" s="180"/>
      <c r="AE175" s="180">
        <v>0</v>
      </c>
      <c r="AF175" s="180">
        <v>0</v>
      </c>
      <c r="AG175" s="180">
        <v>0</v>
      </c>
      <c r="AH175" s="180">
        <v>0</v>
      </c>
      <c r="AI175" s="180">
        <v>0</v>
      </c>
      <c r="AJ175" s="180">
        <v>0</v>
      </c>
      <c r="AK175" s="180">
        <v>0</v>
      </c>
      <c r="AL175" s="180">
        <v>0</v>
      </c>
      <c r="AM175" s="180">
        <v>0</v>
      </c>
      <c r="AN175" s="180">
        <v>0</v>
      </c>
      <c r="AO175" s="180">
        <v>0</v>
      </c>
      <c r="AP175" s="180">
        <v>0</v>
      </c>
      <c r="AQ175" s="180">
        <v>0</v>
      </c>
      <c r="AR175" s="180">
        <v>0</v>
      </c>
      <c r="AS175" s="180">
        <v>0</v>
      </c>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X175" s="180"/>
      <c r="BY175" s="180"/>
      <c r="BZ175" s="180">
        <v>0</v>
      </c>
      <c r="CA175" s="180">
        <v>0</v>
      </c>
      <c r="CB175" s="180"/>
      <c r="CC175" s="180">
        <v>0</v>
      </c>
      <c r="CD175" s="180">
        <v>0</v>
      </c>
      <c r="CE175" s="180">
        <v>0</v>
      </c>
      <c r="CF175" s="180">
        <v>0</v>
      </c>
      <c r="CG175" s="180">
        <v>0</v>
      </c>
      <c r="CH175" s="180">
        <v>0</v>
      </c>
      <c r="CI175" s="180">
        <v>0</v>
      </c>
      <c r="CJ175" s="180">
        <v>0</v>
      </c>
      <c r="CK175" s="180">
        <v>0</v>
      </c>
      <c r="CL175" s="180">
        <v>0</v>
      </c>
      <c r="CM175" s="180">
        <v>0</v>
      </c>
      <c r="CN175" s="180">
        <v>0</v>
      </c>
      <c r="CO175" s="180">
        <v>0</v>
      </c>
      <c r="CP175" s="180">
        <v>0</v>
      </c>
      <c r="CQ175" s="180">
        <v>0</v>
      </c>
      <c r="CR175" s="180">
        <v>0</v>
      </c>
      <c r="CS175" s="180">
        <v>0</v>
      </c>
      <c r="CT175" s="180"/>
      <c r="CU175" s="180"/>
    </row>
    <row r="176" spans="1:99" x14ac:dyDescent="0.3">
      <c r="A176" s="155">
        <v>632</v>
      </c>
      <c r="B176" s="180" t="s">
        <v>967</v>
      </c>
      <c r="C176" s="180"/>
      <c r="D176" s="180">
        <v>0</v>
      </c>
      <c r="E176" s="180">
        <v>0</v>
      </c>
      <c r="F176" s="180">
        <v>0</v>
      </c>
      <c r="G176" s="180">
        <v>0</v>
      </c>
      <c r="H176" s="180">
        <v>0</v>
      </c>
      <c r="I176" s="180">
        <v>0</v>
      </c>
      <c r="J176" s="180">
        <v>0</v>
      </c>
      <c r="K176" s="180"/>
      <c r="L176" s="180">
        <v>0</v>
      </c>
      <c r="M176" s="180">
        <v>0</v>
      </c>
      <c r="N176" s="180"/>
      <c r="O176" s="180">
        <v>0</v>
      </c>
      <c r="P176" s="180">
        <v>0</v>
      </c>
      <c r="Q176" s="180">
        <v>0</v>
      </c>
      <c r="R176" s="180">
        <v>0</v>
      </c>
      <c r="S176" s="180">
        <v>0</v>
      </c>
      <c r="T176" s="180">
        <v>0</v>
      </c>
      <c r="U176" s="180">
        <v>0</v>
      </c>
      <c r="V176" s="180">
        <v>0</v>
      </c>
      <c r="W176" s="180">
        <v>0</v>
      </c>
      <c r="X176" s="180">
        <v>0</v>
      </c>
      <c r="Y176" s="180">
        <v>0</v>
      </c>
      <c r="Z176" s="180">
        <v>0</v>
      </c>
      <c r="AA176" s="180">
        <v>0</v>
      </c>
      <c r="AB176" s="180">
        <v>0</v>
      </c>
      <c r="AC176" s="180">
        <v>0</v>
      </c>
      <c r="AD176" s="180"/>
      <c r="AE176" s="180">
        <v>0</v>
      </c>
      <c r="AF176" s="180">
        <v>0</v>
      </c>
      <c r="AG176" s="180">
        <v>0</v>
      </c>
      <c r="AH176" s="180">
        <v>0</v>
      </c>
      <c r="AI176" s="180">
        <v>0</v>
      </c>
      <c r="AJ176" s="180">
        <v>0</v>
      </c>
      <c r="AK176" s="180">
        <v>0</v>
      </c>
      <c r="AL176" s="180">
        <v>0</v>
      </c>
      <c r="AM176" s="180">
        <v>0</v>
      </c>
      <c r="AN176" s="180">
        <v>0</v>
      </c>
      <c r="AO176" s="180">
        <v>0</v>
      </c>
      <c r="AP176" s="180">
        <v>0</v>
      </c>
      <c r="AQ176" s="180">
        <v>0</v>
      </c>
      <c r="AR176" s="180">
        <v>0</v>
      </c>
      <c r="AS176" s="180">
        <v>0</v>
      </c>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v>0</v>
      </c>
      <c r="BO176" s="180">
        <v>0</v>
      </c>
      <c r="BP176" s="180">
        <v>0</v>
      </c>
      <c r="BQ176" s="180">
        <v>0</v>
      </c>
      <c r="BR176" s="180">
        <v>0</v>
      </c>
      <c r="BS176" s="180">
        <v>0</v>
      </c>
      <c r="BT176" s="180">
        <v>0</v>
      </c>
      <c r="BU176" s="180">
        <v>0</v>
      </c>
      <c r="BV176" s="180">
        <v>0</v>
      </c>
      <c r="BW176" s="180">
        <v>0</v>
      </c>
      <c r="BX176" s="180"/>
      <c r="BY176" s="180"/>
      <c r="BZ176" s="180">
        <v>0</v>
      </c>
      <c r="CA176" s="180">
        <v>0</v>
      </c>
      <c r="CB176" s="180"/>
      <c r="CC176" s="180">
        <v>0</v>
      </c>
      <c r="CD176" s="180">
        <v>0</v>
      </c>
      <c r="CE176" s="180">
        <v>0</v>
      </c>
      <c r="CF176" s="180">
        <v>0</v>
      </c>
      <c r="CG176" s="180">
        <v>0</v>
      </c>
      <c r="CH176" s="180">
        <v>0</v>
      </c>
      <c r="CI176" s="180">
        <v>0</v>
      </c>
      <c r="CJ176" s="180">
        <v>0</v>
      </c>
      <c r="CK176" s="180">
        <v>0</v>
      </c>
      <c r="CL176" s="180">
        <v>0</v>
      </c>
      <c r="CM176" s="180">
        <v>0</v>
      </c>
      <c r="CN176" s="180">
        <v>0</v>
      </c>
      <c r="CO176" s="180">
        <v>0</v>
      </c>
      <c r="CP176" s="180">
        <v>0</v>
      </c>
      <c r="CQ176" s="180">
        <v>0</v>
      </c>
      <c r="CR176" s="180">
        <v>0</v>
      </c>
      <c r="CS176" s="180">
        <v>0</v>
      </c>
      <c r="CT176" s="180"/>
      <c r="CU176" s="180"/>
    </row>
    <row r="177" spans="1:99" x14ac:dyDescent="0.3">
      <c r="A177" s="155">
        <v>633</v>
      </c>
      <c r="B177" s="180" t="s">
        <v>373</v>
      </c>
      <c r="C177" s="180"/>
      <c r="D177" s="180">
        <v>0</v>
      </c>
      <c r="E177" s="180">
        <v>0</v>
      </c>
      <c r="F177" s="180">
        <v>510459</v>
      </c>
      <c r="G177" s="180">
        <v>0</v>
      </c>
      <c r="H177" s="180">
        <v>0</v>
      </c>
      <c r="I177" s="180">
        <v>47473</v>
      </c>
      <c r="J177" s="180">
        <v>1018787</v>
      </c>
      <c r="K177" s="180"/>
      <c r="L177" s="180">
        <v>113252</v>
      </c>
      <c r="M177" s="180">
        <v>3594243</v>
      </c>
      <c r="N177" s="180"/>
      <c r="O177" s="180">
        <v>0</v>
      </c>
      <c r="P177" s="180">
        <v>70346</v>
      </c>
      <c r="Q177" s="180">
        <v>139448</v>
      </c>
      <c r="R177" s="180">
        <v>0</v>
      </c>
      <c r="S177" s="180">
        <v>59794</v>
      </c>
      <c r="T177" s="180">
        <v>0</v>
      </c>
      <c r="U177" s="180">
        <v>0</v>
      </c>
      <c r="V177" s="180">
        <v>0</v>
      </c>
      <c r="W177" s="180">
        <v>2618962</v>
      </c>
      <c r="X177" s="180">
        <v>0</v>
      </c>
      <c r="Y177" s="180">
        <v>146894</v>
      </c>
      <c r="Z177" s="180">
        <v>0</v>
      </c>
      <c r="AA177" s="180">
        <v>359573</v>
      </c>
      <c r="AB177" s="180">
        <v>0</v>
      </c>
      <c r="AC177" s="180">
        <v>202105</v>
      </c>
      <c r="AD177" s="180"/>
      <c r="AE177" s="180">
        <v>405544</v>
      </c>
      <c r="AF177" s="180">
        <v>80785</v>
      </c>
      <c r="AG177" s="180">
        <v>4528760</v>
      </c>
      <c r="AH177" s="180">
        <v>0</v>
      </c>
      <c r="AI177" s="180">
        <v>374648</v>
      </c>
      <c r="AJ177" s="180">
        <v>0</v>
      </c>
      <c r="AK177" s="180">
        <v>131397</v>
      </c>
      <c r="AL177" s="180">
        <v>2203843</v>
      </c>
      <c r="AM177" s="180">
        <v>876314</v>
      </c>
      <c r="AN177" s="180">
        <v>364128</v>
      </c>
      <c r="AO177" s="180">
        <v>636405</v>
      </c>
      <c r="AP177" s="180">
        <v>1815</v>
      </c>
      <c r="AQ177" s="180">
        <v>0</v>
      </c>
      <c r="AR177" s="180">
        <v>407459</v>
      </c>
      <c r="AS177" s="180">
        <v>255068</v>
      </c>
      <c r="AT177" s="180">
        <v>0</v>
      </c>
      <c r="AU177" s="180">
        <v>0</v>
      </c>
      <c r="AV177" s="180">
        <v>0</v>
      </c>
      <c r="AW177" s="180">
        <v>0</v>
      </c>
      <c r="AX177" s="180">
        <v>30704</v>
      </c>
      <c r="AY177" s="180">
        <v>1664012</v>
      </c>
      <c r="AZ177" s="180">
        <v>27603</v>
      </c>
      <c r="BA177" s="180">
        <v>0</v>
      </c>
      <c r="BB177" s="180">
        <v>0</v>
      </c>
      <c r="BC177" s="180">
        <v>468971</v>
      </c>
      <c r="BD177" s="180">
        <v>0</v>
      </c>
      <c r="BE177" s="180">
        <v>210871</v>
      </c>
      <c r="BF177" s="180">
        <v>164958</v>
      </c>
      <c r="BG177" s="180">
        <v>15543</v>
      </c>
      <c r="BH177" s="180">
        <v>256746</v>
      </c>
      <c r="BI177" s="180">
        <v>563517</v>
      </c>
      <c r="BJ177" s="180">
        <v>692672</v>
      </c>
      <c r="BK177" s="180">
        <v>0</v>
      </c>
      <c r="BL177" s="180">
        <v>0</v>
      </c>
      <c r="BM177" s="180">
        <v>0</v>
      </c>
      <c r="BN177" s="180">
        <v>625552</v>
      </c>
      <c r="BO177" s="180">
        <v>361130</v>
      </c>
      <c r="BP177" s="180">
        <v>0</v>
      </c>
      <c r="BQ177" s="180">
        <v>0</v>
      </c>
      <c r="BR177" s="180">
        <v>129695</v>
      </c>
      <c r="BS177" s="180">
        <v>381886</v>
      </c>
      <c r="BT177" s="180">
        <v>0</v>
      </c>
      <c r="BU177" s="180">
        <v>0</v>
      </c>
      <c r="BV177" s="180">
        <v>101140</v>
      </c>
      <c r="BW177" s="180">
        <v>0</v>
      </c>
      <c r="BX177" s="180"/>
      <c r="BY177" s="180"/>
      <c r="BZ177" s="180">
        <v>802764</v>
      </c>
      <c r="CA177" s="180">
        <v>2185</v>
      </c>
      <c r="CB177" s="180"/>
      <c r="CC177" s="180">
        <v>610159</v>
      </c>
      <c r="CD177" s="180">
        <v>0</v>
      </c>
      <c r="CE177" s="180">
        <v>4274534</v>
      </c>
      <c r="CF177" s="180">
        <v>43411</v>
      </c>
      <c r="CG177" s="180">
        <v>739748</v>
      </c>
      <c r="CH177" s="180">
        <v>95828</v>
      </c>
      <c r="CI177" s="180">
        <v>453335</v>
      </c>
      <c r="CJ177" s="180">
        <v>34130906</v>
      </c>
      <c r="CK177" s="180">
        <v>2677157</v>
      </c>
      <c r="CL177" s="180">
        <v>86753</v>
      </c>
      <c r="CM177" s="180">
        <v>0</v>
      </c>
      <c r="CN177" s="180">
        <v>443987</v>
      </c>
      <c r="CO177" s="180">
        <v>292620</v>
      </c>
      <c r="CP177" s="180">
        <v>148746</v>
      </c>
      <c r="CQ177" s="180">
        <v>386776</v>
      </c>
      <c r="CR177" s="180">
        <v>0</v>
      </c>
      <c r="CS177" s="180">
        <v>0</v>
      </c>
      <c r="CT177" s="180"/>
      <c r="CU177" s="180"/>
    </row>
    <row r="178" spans="1:99" x14ac:dyDescent="0.3">
      <c r="A178" s="155">
        <v>634</v>
      </c>
      <c r="B178" s="180" t="s">
        <v>374</v>
      </c>
      <c r="C178" s="180"/>
      <c r="D178" s="180">
        <v>0</v>
      </c>
      <c r="E178" s="180">
        <v>0</v>
      </c>
      <c r="F178" s="180">
        <v>0</v>
      </c>
      <c r="G178" s="180">
        <v>0</v>
      </c>
      <c r="H178" s="180">
        <v>0</v>
      </c>
      <c r="I178" s="180">
        <v>0</v>
      </c>
      <c r="J178" s="180">
        <v>0</v>
      </c>
      <c r="K178" s="180"/>
      <c r="L178" s="180">
        <v>0</v>
      </c>
      <c r="M178" s="180">
        <v>0</v>
      </c>
      <c r="N178" s="180"/>
      <c r="O178" s="180">
        <v>0</v>
      </c>
      <c r="P178" s="180">
        <v>0</v>
      </c>
      <c r="Q178" s="180">
        <v>0</v>
      </c>
      <c r="R178" s="180">
        <v>0</v>
      </c>
      <c r="S178" s="180">
        <v>0</v>
      </c>
      <c r="T178" s="180">
        <v>0</v>
      </c>
      <c r="U178" s="180">
        <v>0</v>
      </c>
      <c r="V178" s="180">
        <v>0</v>
      </c>
      <c r="W178" s="180">
        <v>0</v>
      </c>
      <c r="X178" s="180">
        <v>0</v>
      </c>
      <c r="Y178" s="180">
        <v>0</v>
      </c>
      <c r="Z178" s="180">
        <v>0</v>
      </c>
      <c r="AA178" s="180">
        <v>0</v>
      </c>
      <c r="AB178" s="180">
        <v>0</v>
      </c>
      <c r="AC178" s="180">
        <v>0</v>
      </c>
      <c r="AD178" s="180"/>
      <c r="AE178" s="180">
        <v>0</v>
      </c>
      <c r="AF178" s="180">
        <v>42403</v>
      </c>
      <c r="AG178" s="180">
        <v>0</v>
      </c>
      <c r="AH178" s="180">
        <v>0</v>
      </c>
      <c r="AI178" s="180">
        <v>0</v>
      </c>
      <c r="AJ178" s="180">
        <v>0</v>
      </c>
      <c r="AK178" s="180">
        <v>0</v>
      </c>
      <c r="AL178" s="180">
        <v>0</v>
      </c>
      <c r="AM178" s="180">
        <v>0</v>
      </c>
      <c r="AN178" s="180">
        <v>0</v>
      </c>
      <c r="AO178" s="180">
        <v>0</v>
      </c>
      <c r="AP178" s="180">
        <v>0</v>
      </c>
      <c r="AQ178" s="180">
        <v>0</v>
      </c>
      <c r="AR178" s="180">
        <v>0</v>
      </c>
      <c r="AS178" s="180">
        <v>0</v>
      </c>
      <c r="AT178" s="180">
        <v>0</v>
      </c>
      <c r="AU178" s="180">
        <v>0</v>
      </c>
      <c r="AV178" s="180">
        <v>0</v>
      </c>
      <c r="AW178" s="180">
        <v>0</v>
      </c>
      <c r="AX178" s="180">
        <v>0</v>
      </c>
      <c r="AY178" s="180">
        <v>706000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X178" s="180"/>
      <c r="BY178" s="180"/>
      <c r="BZ178" s="180">
        <v>0</v>
      </c>
      <c r="CA178" s="180">
        <v>0</v>
      </c>
      <c r="CB178" s="180"/>
      <c r="CC178" s="180">
        <v>0</v>
      </c>
      <c r="CD178" s="180">
        <v>0</v>
      </c>
      <c r="CE178" s="180">
        <v>976750</v>
      </c>
      <c r="CF178" s="180">
        <v>43000</v>
      </c>
      <c r="CG178" s="180">
        <v>0</v>
      </c>
      <c r="CH178" s="180">
        <v>0</v>
      </c>
      <c r="CI178" s="180">
        <v>0</v>
      </c>
      <c r="CJ178" s="180">
        <v>0</v>
      </c>
      <c r="CK178" s="180">
        <v>0</v>
      </c>
      <c r="CL178" s="180">
        <v>0</v>
      </c>
      <c r="CM178" s="180">
        <v>0</v>
      </c>
      <c r="CN178" s="180">
        <v>0</v>
      </c>
      <c r="CO178" s="180">
        <v>0</v>
      </c>
      <c r="CP178" s="180">
        <v>0</v>
      </c>
      <c r="CQ178" s="180">
        <v>0</v>
      </c>
      <c r="CR178" s="180">
        <v>0</v>
      </c>
      <c r="CS178" s="180">
        <v>0</v>
      </c>
      <c r="CT178" s="180"/>
      <c r="CU178" s="180"/>
    </row>
    <row r="179" spans="1:99" x14ac:dyDescent="0.3">
      <c r="A179" s="155">
        <v>635</v>
      </c>
      <c r="B179" s="180" t="s">
        <v>375</v>
      </c>
      <c r="C179" s="180"/>
      <c r="D179" s="180">
        <v>0</v>
      </c>
      <c r="E179" s="180">
        <v>0</v>
      </c>
      <c r="F179" s="180">
        <v>0</v>
      </c>
      <c r="G179" s="180">
        <v>0</v>
      </c>
      <c r="H179" s="180">
        <v>0</v>
      </c>
      <c r="I179" s="180">
        <v>0</v>
      </c>
      <c r="J179" s="180">
        <v>6526</v>
      </c>
      <c r="K179" s="180"/>
      <c r="L179" s="180">
        <v>3211</v>
      </c>
      <c r="M179" s="180">
        <v>110914</v>
      </c>
      <c r="N179" s="180"/>
      <c r="O179" s="180">
        <v>0</v>
      </c>
      <c r="P179" s="180">
        <v>0</v>
      </c>
      <c r="Q179" s="180">
        <v>0</v>
      </c>
      <c r="R179" s="180">
        <v>0</v>
      </c>
      <c r="S179" s="180">
        <v>0</v>
      </c>
      <c r="T179" s="180">
        <v>0</v>
      </c>
      <c r="U179" s="180">
        <v>0</v>
      </c>
      <c r="V179" s="180">
        <v>0</v>
      </c>
      <c r="W179" s="180">
        <v>0</v>
      </c>
      <c r="X179" s="180">
        <v>0</v>
      </c>
      <c r="Y179" s="180">
        <v>0</v>
      </c>
      <c r="Z179" s="180">
        <v>0</v>
      </c>
      <c r="AA179" s="180">
        <v>0</v>
      </c>
      <c r="AB179" s="180">
        <v>0</v>
      </c>
      <c r="AC179" s="180">
        <v>12474</v>
      </c>
      <c r="AD179" s="180"/>
      <c r="AE179" s="180">
        <v>278</v>
      </c>
      <c r="AF179" s="180">
        <v>0</v>
      </c>
      <c r="AG179" s="180">
        <v>98721</v>
      </c>
      <c r="AH179" s="180">
        <v>0</v>
      </c>
      <c r="AI179" s="180">
        <v>0</v>
      </c>
      <c r="AJ179" s="180">
        <v>0</v>
      </c>
      <c r="AK179" s="180">
        <v>0</v>
      </c>
      <c r="AL179" s="180">
        <v>0</v>
      </c>
      <c r="AM179" s="180">
        <v>0</v>
      </c>
      <c r="AN179" s="180">
        <v>16421</v>
      </c>
      <c r="AO179" s="180">
        <v>6735</v>
      </c>
      <c r="AP179" s="180">
        <v>0</v>
      </c>
      <c r="AQ179" s="180">
        <v>0</v>
      </c>
      <c r="AR179" s="180">
        <v>0</v>
      </c>
      <c r="AS179" s="180">
        <v>3876</v>
      </c>
      <c r="AT179" s="180">
        <v>0</v>
      </c>
      <c r="AU179" s="180">
        <v>0</v>
      </c>
      <c r="AV179" s="180">
        <v>0</v>
      </c>
      <c r="AW179" s="180">
        <v>0</v>
      </c>
      <c r="AX179" s="180">
        <v>938</v>
      </c>
      <c r="AY179" s="180">
        <v>0</v>
      </c>
      <c r="AZ179" s="180">
        <v>0</v>
      </c>
      <c r="BA179" s="180">
        <v>0</v>
      </c>
      <c r="BB179" s="180">
        <v>0</v>
      </c>
      <c r="BC179" s="180">
        <v>3976</v>
      </c>
      <c r="BD179" s="180">
        <v>0</v>
      </c>
      <c r="BE179" s="180">
        <v>18028</v>
      </c>
      <c r="BF179" s="180">
        <v>0</v>
      </c>
      <c r="BG179" s="180">
        <v>0</v>
      </c>
      <c r="BH179" s="180">
        <v>7003</v>
      </c>
      <c r="BI179" s="180">
        <v>19163</v>
      </c>
      <c r="BJ179" s="180">
        <v>55018</v>
      </c>
      <c r="BK179" s="180">
        <v>0</v>
      </c>
      <c r="BL179" s="180">
        <v>0</v>
      </c>
      <c r="BM179" s="180">
        <v>0</v>
      </c>
      <c r="BN179" s="180">
        <v>77648</v>
      </c>
      <c r="BO179" s="180">
        <v>60000</v>
      </c>
      <c r="BP179" s="180">
        <v>0</v>
      </c>
      <c r="BQ179" s="180">
        <v>0</v>
      </c>
      <c r="BR179" s="180">
        <v>4961</v>
      </c>
      <c r="BS179" s="180">
        <v>0</v>
      </c>
      <c r="BT179" s="180">
        <v>0</v>
      </c>
      <c r="BU179" s="180">
        <v>0</v>
      </c>
      <c r="BV179" s="180">
        <v>20078</v>
      </c>
      <c r="BW179" s="180">
        <v>0</v>
      </c>
      <c r="BX179" s="180"/>
      <c r="BY179" s="180"/>
      <c r="BZ179" s="180">
        <v>0</v>
      </c>
      <c r="CA179" s="180">
        <v>0</v>
      </c>
      <c r="CB179" s="180"/>
      <c r="CC179" s="180">
        <v>16146</v>
      </c>
      <c r="CD179" s="180">
        <v>0</v>
      </c>
      <c r="CE179" s="180">
        <v>275803</v>
      </c>
      <c r="CF179" s="180">
        <v>0</v>
      </c>
      <c r="CG179" s="180">
        <v>14019</v>
      </c>
      <c r="CH179" s="180">
        <v>0</v>
      </c>
      <c r="CI179" s="180">
        <v>13622</v>
      </c>
      <c r="CJ179" s="180">
        <v>486233</v>
      </c>
      <c r="CK179" s="180">
        <v>3561</v>
      </c>
      <c r="CL179" s="180">
        <v>11412</v>
      </c>
      <c r="CM179" s="180">
        <v>0</v>
      </c>
      <c r="CN179" s="180">
        <v>0</v>
      </c>
      <c r="CO179" s="180">
        <v>12534</v>
      </c>
      <c r="CP179" s="180">
        <v>64647</v>
      </c>
      <c r="CQ179" s="180">
        <v>10417</v>
      </c>
      <c r="CR179" s="180">
        <v>0</v>
      </c>
      <c r="CS179" s="180">
        <v>0</v>
      </c>
      <c r="CT179" s="180"/>
      <c r="CU179" s="180"/>
    </row>
    <row r="180" spans="1:99" x14ac:dyDescent="0.3">
      <c r="A180" s="155">
        <v>636</v>
      </c>
      <c r="B180" s="180" t="s">
        <v>1667</v>
      </c>
      <c r="C180" s="180"/>
      <c r="D180" s="180">
        <v>0</v>
      </c>
      <c r="E180" s="180">
        <v>0</v>
      </c>
      <c r="F180" s="180">
        <v>0</v>
      </c>
      <c r="G180" s="180">
        <v>0</v>
      </c>
      <c r="H180" s="180">
        <v>0</v>
      </c>
      <c r="I180" s="180">
        <v>0</v>
      </c>
      <c r="J180" s="180">
        <v>0</v>
      </c>
      <c r="K180" s="180"/>
      <c r="L180" s="180">
        <v>0</v>
      </c>
      <c r="M180" s="180">
        <v>0</v>
      </c>
      <c r="N180" s="180"/>
      <c r="O180" s="180">
        <v>0</v>
      </c>
      <c r="P180" s="180">
        <v>0</v>
      </c>
      <c r="Q180" s="180">
        <v>0</v>
      </c>
      <c r="R180" s="180">
        <v>0</v>
      </c>
      <c r="S180" s="180">
        <v>0</v>
      </c>
      <c r="T180" s="180">
        <v>0</v>
      </c>
      <c r="U180" s="180">
        <v>0</v>
      </c>
      <c r="V180" s="180">
        <v>0</v>
      </c>
      <c r="W180" s="180">
        <v>0</v>
      </c>
      <c r="X180" s="180">
        <v>0</v>
      </c>
      <c r="Y180" s="180">
        <v>0</v>
      </c>
      <c r="Z180" s="180">
        <v>0</v>
      </c>
      <c r="AA180" s="180">
        <v>0</v>
      </c>
      <c r="AB180" s="180">
        <v>0</v>
      </c>
      <c r="AC180" s="180">
        <v>0</v>
      </c>
      <c r="AD180" s="180"/>
      <c r="AE180" s="180">
        <v>0</v>
      </c>
      <c r="AF180" s="180">
        <v>0</v>
      </c>
      <c r="AG180" s="180">
        <v>0</v>
      </c>
      <c r="AH180" s="180">
        <v>0</v>
      </c>
      <c r="AI180" s="180">
        <v>0</v>
      </c>
      <c r="AJ180" s="180">
        <v>0</v>
      </c>
      <c r="AK180" s="180">
        <v>0</v>
      </c>
      <c r="AL180" s="180">
        <v>0</v>
      </c>
      <c r="AM180" s="180">
        <v>0</v>
      </c>
      <c r="AN180" s="180">
        <v>0</v>
      </c>
      <c r="AO180" s="180">
        <v>0</v>
      </c>
      <c r="AP180" s="180">
        <v>0</v>
      </c>
      <c r="AQ180" s="180">
        <v>0</v>
      </c>
      <c r="AR180" s="180">
        <v>0</v>
      </c>
      <c r="AS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X180" s="180"/>
      <c r="BY180" s="180"/>
      <c r="BZ180" s="180">
        <v>0</v>
      </c>
      <c r="CA180" s="180">
        <v>0</v>
      </c>
      <c r="CB180" s="180"/>
      <c r="CC180" s="180">
        <v>0</v>
      </c>
      <c r="CD180" s="180">
        <v>0</v>
      </c>
      <c r="CE180" s="180">
        <v>0</v>
      </c>
      <c r="CF180" s="180">
        <v>0</v>
      </c>
      <c r="CG180" s="180">
        <v>0</v>
      </c>
      <c r="CH180" s="180">
        <v>0</v>
      </c>
      <c r="CI180" s="180">
        <v>0</v>
      </c>
      <c r="CJ180" s="180">
        <v>0</v>
      </c>
      <c r="CK180" s="180">
        <v>0</v>
      </c>
      <c r="CL180" s="180">
        <v>0</v>
      </c>
      <c r="CM180" s="180">
        <v>0</v>
      </c>
      <c r="CN180" s="180">
        <v>0</v>
      </c>
      <c r="CO180" s="180">
        <v>0</v>
      </c>
      <c r="CP180" s="180">
        <v>0</v>
      </c>
      <c r="CQ180" s="180">
        <v>0</v>
      </c>
      <c r="CR180" s="180">
        <v>0</v>
      </c>
      <c r="CS180" s="180">
        <v>0</v>
      </c>
      <c r="CT180" s="180"/>
      <c r="CU180" s="180"/>
    </row>
    <row r="181" spans="1:99" x14ac:dyDescent="0.3">
      <c r="A181" s="155">
        <v>637</v>
      </c>
      <c r="B181" s="180" t="s">
        <v>1668</v>
      </c>
      <c r="C181" s="180"/>
      <c r="D181" s="180">
        <v>0</v>
      </c>
      <c r="E181" s="180">
        <v>0</v>
      </c>
      <c r="F181" s="180">
        <v>0</v>
      </c>
      <c r="G181" s="180">
        <v>0</v>
      </c>
      <c r="H181" s="180">
        <v>0</v>
      </c>
      <c r="I181" s="180">
        <v>0</v>
      </c>
      <c r="J181" s="180">
        <v>439450</v>
      </c>
      <c r="K181" s="180"/>
      <c r="L181" s="180">
        <v>0</v>
      </c>
      <c r="M181" s="180">
        <v>0</v>
      </c>
      <c r="N181" s="180"/>
      <c r="O181" s="180">
        <v>0</v>
      </c>
      <c r="P181" s="180">
        <v>0</v>
      </c>
      <c r="Q181" s="180">
        <v>0</v>
      </c>
      <c r="R181" s="180">
        <v>0</v>
      </c>
      <c r="S181" s="180">
        <v>0</v>
      </c>
      <c r="T181" s="180">
        <v>0</v>
      </c>
      <c r="U181" s="180">
        <v>0</v>
      </c>
      <c r="V181" s="180">
        <v>0</v>
      </c>
      <c r="W181" s="180">
        <v>606720</v>
      </c>
      <c r="X181" s="180">
        <v>0</v>
      </c>
      <c r="Y181" s="180">
        <v>0</v>
      </c>
      <c r="Z181" s="180">
        <v>0</v>
      </c>
      <c r="AA181" s="180">
        <v>0</v>
      </c>
      <c r="AB181" s="180">
        <v>0</v>
      </c>
      <c r="AC181" s="180">
        <v>53550</v>
      </c>
      <c r="AD181" s="180"/>
      <c r="AE181" s="180">
        <v>12800</v>
      </c>
      <c r="AF181" s="180">
        <v>0</v>
      </c>
      <c r="AG181" s="180">
        <v>398815</v>
      </c>
      <c r="AH181" s="180">
        <v>0</v>
      </c>
      <c r="AI181" s="180">
        <v>0</v>
      </c>
      <c r="AJ181" s="180">
        <v>0</v>
      </c>
      <c r="AK181" s="180">
        <v>3586</v>
      </c>
      <c r="AL181" s="180">
        <v>0</v>
      </c>
      <c r="AM181" s="180">
        <v>237590</v>
      </c>
      <c r="AN181" s="180">
        <v>32505</v>
      </c>
      <c r="AO181" s="180">
        <v>142992</v>
      </c>
      <c r="AP181" s="180">
        <v>0</v>
      </c>
      <c r="AQ181" s="180">
        <v>0</v>
      </c>
      <c r="AR181" s="180">
        <v>81570</v>
      </c>
      <c r="AS181" s="180">
        <v>51901</v>
      </c>
      <c r="AT181" s="180">
        <v>0</v>
      </c>
      <c r="AU181" s="180">
        <v>0</v>
      </c>
      <c r="AV181" s="180">
        <v>0</v>
      </c>
      <c r="AW181" s="180">
        <v>0</v>
      </c>
      <c r="AX181" s="180">
        <v>0</v>
      </c>
      <c r="AY181" s="180">
        <v>853151</v>
      </c>
      <c r="AZ181" s="180">
        <v>0</v>
      </c>
      <c r="BA181" s="180">
        <v>0</v>
      </c>
      <c r="BB181" s="180">
        <v>0</v>
      </c>
      <c r="BC181" s="180">
        <v>0</v>
      </c>
      <c r="BD181" s="180">
        <v>0</v>
      </c>
      <c r="BE181" s="180">
        <v>25359</v>
      </c>
      <c r="BF181" s="180">
        <v>31150</v>
      </c>
      <c r="BG181" s="180">
        <v>6861</v>
      </c>
      <c r="BH181" s="180">
        <v>0</v>
      </c>
      <c r="BI181" s="180">
        <v>0</v>
      </c>
      <c r="BJ181" s="180">
        <v>76711</v>
      </c>
      <c r="BK181" s="180">
        <v>0</v>
      </c>
      <c r="BL181" s="180">
        <v>0</v>
      </c>
      <c r="BM181" s="180">
        <v>0</v>
      </c>
      <c r="BN181" s="180">
        <v>65545</v>
      </c>
      <c r="BO181" s="180">
        <v>26245</v>
      </c>
      <c r="BP181" s="180">
        <v>0</v>
      </c>
      <c r="BQ181" s="180">
        <v>0</v>
      </c>
      <c r="BR181" s="180">
        <v>52126</v>
      </c>
      <c r="BS181" s="180">
        <v>0</v>
      </c>
      <c r="BT181" s="180">
        <v>0</v>
      </c>
      <c r="BU181" s="180">
        <v>0</v>
      </c>
      <c r="BV181" s="180">
        <v>44020</v>
      </c>
      <c r="BW181" s="180">
        <v>0</v>
      </c>
      <c r="BX181" s="180"/>
      <c r="BY181" s="180"/>
      <c r="BZ181" s="180">
        <v>148508</v>
      </c>
      <c r="CA181" s="180">
        <v>0</v>
      </c>
      <c r="CB181" s="180"/>
      <c r="CC181" s="180">
        <v>164621</v>
      </c>
      <c r="CD181" s="180">
        <v>0</v>
      </c>
      <c r="CE181" s="180">
        <v>342002</v>
      </c>
      <c r="CF181" s="180">
        <v>0</v>
      </c>
      <c r="CG181" s="180">
        <v>0</v>
      </c>
      <c r="CH181" s="180">
        <v>0</v>
      </c>
      <c r="CI181" s="180">
        <v>55425</v>
      </c>
      <c r="CJ181" s="180">
        <v>0</v>
      </c>
      <c r="CK181" s="180">
        <v>26750</v>
      </c>
      <c r="CL181" s="180">
        <v>52463</v>
      </c>
      <c r="CM181" s="180">
        <v>0</v>
      </c>
      <c r="CN181" s="180">
        <v>0</v>
      </c>
      <c r="CO181" s="180">
        <v>0</v>
      </c>
      <c r="CP181" s="180">
        <v>50347</v>
      </c>
      <c r="CQ181" s="180">
        <v>0</v>
      </c>
      <c r="CR181" s="180">
        <v>0</v>
      </c>
      <c r="CS181" s="180">
        <v>0</v>
      </c>
      <c r="CT181" s="180"/>
      <c r="CU181" s="180"/>
    </row>
    <row r="182" spans="1:99" x14ac:dyDescent="0.3">
      <c r="A182" s="155">
        <v>638</v>
      </c>
      <c r="B182" s="180" t="s">
        <v>1669</v>
      </c>
      <c r="C182" s="180"/>
      <c r="D182" s="180">
        <v>0</v>
      </c>
      <c r="E182" s="180">
        <v>0</v>
      </c>
      <c r="F182" s="180">
        <v>0</v>
      </c>
      <c r="G182" s="180">
        <v>0</v>
      </c>
      <c r="H182" s="180">
        <v>0</v>
      </c>
      <c r="I182" s="180">
        <v>0</v>
      </c>
      <c r="J182" s="180">
        <v>0</v>
      </c>
      <c r="K182" s="180"/>
      <c r="L182" s="180">
        <v>0</v>
      </c>
      <c r="M182" s="180">
        <v>0</v>
      </c>
      <c r="N182" s="180"/>
      <c r="O182" s="180">
        <v>0</v>
      </c>
      <c r="P182" s="180">
        <v>0</v>
      </c>
      <c r="Q182" s="180">
        <v>0</v>
      </c>
      <c r="R182" s="180">
        <v>0</v>
      </c>
      <c r="S182" s="180">
        <v>0</v>
      </c>
      <c r="T182" s="180">
        <v>0</v>
      </c>
      <c r="U182" s="180">
        <v>0</v>
      </c>
      <c r="V182" s="180">
        <v>0</v>
      </c>
      <c r="W182" s="180">
        <v>0</v>
      </c>
      <c r="X182" s="180">
        <v>0</v>
      </c>
      <c r="Y182" s="180">
        <v>0</v>
      </c>
      <c r="Z182" s="180">
        <v>0</v>
      </c>
      <c r="AA182" s="180">
        <v>0</v>
      </c>
      <c r="AB182" s="180">
        <v>0</v>
      </c>
      <c r="AC182" s="180">
        <v>0</v>
      </c>
      <c r="AD182" s="180"/>
      <c r="AE182" s="180">
        <v>0</v>
      </c>
      <c r="AF182" s="180">
        <v>0</v>
      </c>
      <c r="AG182" s="180">
        <v>0</v>
      </c>
      <c r="AH182" s="180">
        <v>0</v>
      </c>
      <c r="AI182" s="180">
        <v>0</v>
      </c>
      <c r="AJ182" s="180">
        <v>0</v>
      </c>
      <c r="AK182" s="180">
        <v>0</v>
      </c>
      <c r="AL182" s="180">
        <v>0</v>
      </c>
      <c r="AM182" s="180">
        <v>0</v>
      </c>
      <c r="AN182" s="180">
        <v>0</v>
      </c>
      <c r="AO182" s="180">
        <v>0</v>
      </c>
      <c r="AP182" s="180">
        <v>0</v>
      </c>
      <c r="AQ182" s="180">
        <v>0</v>
      </c>
      <c r="AR182" s="180">
        <v>0</v>
      </c>
      <c r="AS182" s="180">
        <v>0</v>
      </c>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X182" s="180"/>
      <c r="BY182" s="180"/>
      <c r="BZ182" s="180">
        <v>0</v>
      </c>
      <c r="CA182" s="180">
        <v>0</v>
      </c>
      <c r="CB182" s="180"/>
      <c r="CC182" s="180">
        <v>0</v>
      </c>
      <c r="CD182" s="180">
        <v>0</v>
      </c>
      <c r="CE182" s="180">
        <v>0</v>
      </c>
      <c r="CF182" s="180">
        <v>0</v>
      </c>
      <c r="CG182" s="180">
        <v>0</v>
      </c>
      <c r="CH182" s="180">
        <v>0</v>
      </c>
      <c r="CI182" s="180">
        <v>0</v>
      </c>
      <c r="CJ182" s="180">
        <v>0</v>
      </c>
      <c r="CK182" s="180">
        <v>0</v>
      </c>
      <c r="CL182" s="180">
        <v>0</v>
      </c>
      <c r="CM182" s="180">
        <v>0</v>
      </c>
      <c r="CN182" s="180">
        <v>0</v>
      </c>
      <c r="CO182" s="180">
        <v>0</v>
      </c>
      <c r="CP182" s="180">
        <v>0</v>
      </c>
      <c r="CQ182" s="180">
        <v>0</v>
      </c>
      <c r="CR182" s="180">
        <v>0</v>
      </c>
      <c r="CS182" s="180">
        <v>0</v>
      </c>
      <c r="CT182" s="180"/>
      <c r="CU182" s="180"/>
    </row>
    <row r="183" spans="1:99" x14ac:dyDescent="0.3">
      <c r="A183" s="155">
        <v>639</v>
      </c>
      <c r="B183" s="180" t="s">
        <v>1670</v>
      </c>
      <c r="C183" s="180"/>
      <c r="D183" s="180">
        <v>0</v>
      </c>
      <c r="E183" s="180">
        <v>0</v>
      </c>
      <c r="F183" s="180">
        <v>0</v>
      </c>
      <c r="G183" s="180">
        <v>0</v>
      </c>
      <c r="H183" s="180">
        <v>0</v>
      </c>
      <c r="I183" s="180">
        <v>0</v>
      </c>
      <c r="J183" s="180">
        <v>0</v>
      </c>
      <c r="K183" s="180"/>
      <c r="L183" s="180">
        <v>0</v>
      </c>
      <c r="M183" s="180">
        <v>5885571</v>
      </c>
      <c r="N183" s="180"/>
      <c r="O183" s="180">
        <v>0</v>
      </c>
      <c r="P183" s="180">
        <v>0</v>
      </c>
      <c r="Q183" s="180">
        <v>0</v>
      </c>
      <c r="R183" s="180">
        <v>0</v>
      </c>
      <c r="S183" s="180">
        <v>0</v>
      </c>
      <c r="T183" s="180">
        <v>0</v>
      </c>
      <c r="U183" s="180">
        <v>0</v>
      </c>
      <c r="V183" s="180">
        <v>0</v>
      </c>
      <c r="W183" s="180">
        <v>0</v>
      </c>
      <c r="X183" s="180">
        <v>0</v>
      </c>
      <c r="Y183" s="180">
        <v>0</v>
      </c>
      <c r="Z183" s="180">
        <v>0</v>
      </c>
      <c r="AA183" s="180">
        <v>0</v>
      </c>
      <c r="AB183" s="180">
        <v>0</v>
      </c>
      <c r="AC183" s="180">
        <v>2054077</v>
      </c>
      <c r="AD183" s="180"/>
      <c r="AE183" s="180">
        <v>0</v>
      </c>
      <c r="AF183" s="180">
        <v>0</v>
      </c>
      <c r="AG183" s="180">
        <v>0</v>
      </c>
      <c r="AH183" s="180">
        <v>0</v>
      </c>
      <c r="AI183" s="180">
        <v>0</v>
      </c>
      <c r="AJ183" s="180">
        <v>0</v>
      </c>
      <c r="AK183" s="180">
        <v>0</v>
      </c>
      <c r="AL183" s="180">
        <v>0</v>
      </c>
      <c r="AM183" s="180">
        <v>0</v>
      </c>
      <c r="AN183" s="180">
        <v>0</v>
      </c>
      <c r="AO183" s="180">
        <v>0</v>
      </c>
      <c r="AP183" s="180">
        <v>0</v>
      </c>
      <c r="AQ183" s="180">
        <v>0</v>
      </c>
      <c r="AR183" s="180">
        <v>0</v>
      </c>
      <c r="AS183" s="180">
        <v>0</v>
      </c>
      <c r="AT183" s="180">
        <v>0</v>
      </c>
      <c r="AU183" s="180">
        <v>0</v>
      </c>
      <c r="AV183" s="180">
        <v>0</v>
      </c>
      <c r="AW183" s="180">
        <v>0</v>
      </c>
      <c r="AX183" s="180">
        <v>0</v>
      </c>
      <c r="AY183" s="180">
        <v>0</v>
      </c>
      <c r="AZ183" s="180">
        <v>0</v>
      </c>
      <c r="BA183" s="180">
        <v>3007910</v>
      </c>
      <c r="BB183" s="180">
        <v>0</v>
      </c>
      <c r="BC183" s="180">
        <v>0</v>
      </c>
      <c r="BD183" s="180">
        <v>0</v>
      </c>
      <c r="BE183" s="180">
        <v>0</v>
      </c>
      <c r="BF183" s="180">
        <v>0</v>
      </c>
      <c r="BG183" s="180">
        <v>8326</v>
      </c>
      <c r="BH183" s="180">
        <v>0</v>
      </c>
      <c r="BI183" s="180">
        <v>0</v>
      </c>
      <c r="BJ183" s="180">
        <v>3541956</v>
      </c>
      <c r="BK183" s="180">
        <v>0</v>
      </c>
      <c r="BL183" s="180">
        <v>0</v>
      </c>
      <c r="BM183" s="180">
        <v>0</v>
      </c>
      <c r="BN183" s="180">
        <v>666827</v>
      </c>
      <c r="BO183" s="180">
        <v>0</v>
      </c>
      <c r="BP183" s="180">
        <v>0</v>
      </c>
      <c r="BQ183" s="180">
        <v>0</v>
      </c>
      <c r="BR183" s="180">
        <v>0</v>
      </c>
      <c r="BS183" s="180">
        <v>0</v>
      </c>
      <c r="BT183" s="180">
        <v>0</v>
      </c>
      <c r="BU183" s="180">
        <v>0</v>
      </c>
      <c r="BV183" s="180">
        <v>0</v>
      </c>
      <c r="BW183" s="180">
        <v>0</v>
      </c>
      <c r="BX183" s="180"/>
      <c r="BY183" s="180"/>
      <c r="BZ183" s="180">
        <v>0</v>
      </c>
      <c r="CA183" s="180">
        <v>0</v>
      </c>
      <c r="CB183" s="180"/>
      <c r="CC183" s="180">
        <v>0</v>
      </c>
      <c r="CD183" s="180">
        <v>0</v>
      </c>
      <c r="CE183" s="180">
        <v>13008311</v>
      </c>
      <c r="CF183" s="180">
        <v>0</v>
      </c>
      <c r="CG183" s="180">
        <v>1083769</v>
      </c>
      <c r="CH183" s="180">
        <v>0</v>
      </c>
      <c r="CI183" s="180">
        <v>0</v>
      </c>
      <c r="CJ183" s="180">
        <v>0</v>
      </c>
      <c r="CK183" s="180">
        <v>315782</v>
      </c>
      <c r="CL183" s="180">
        <v>0</v>
      </c>
      <c r="CM183" s="180">
        <v>0</v>
      </c>
      <c r="CN183" s="180">
        <v>0</v>
      </c>
      <c r="CO183" s="180">
        <v>0</v>
      </c>
      <c r="CP183" s="180">
        <v>0</v>
      </c>
      <c r="CQ183" s="180">
        <v>0</v>
      </c>
      <c r="CR183" s="180">
        <v>0</v>
      </c>
      <c r="CS183" s="180">
        <v>0</v>
      </c>
      <c r="CT183" s="180"/>
      <c r="CU183" s="180"/>
    </row>
    <row r="184" spans="1:99" x14ac:dyDescent="0.3">
      <c r="A184" s="155">
        <v>640</v>
      </c>
      <c r="B184" s="180" t="s">
        <v>1671</v>
      </c>
      <c r="C184" s="180"/>
      <c r="D184" s="180">
        <v>0</v>
      </c>
      <c r="E184" s="180">
        <v>0</v>
      </c>
      <c r="F184" s="180">
        <v>0</v>
      </c>
      <c r="G184" s="180">
        <v>0</v>
      </c>
      <c r="H184" s="180">
        <v>0</v>
      </c>
      <c r="I184" s="180">
        <v>0</v>
      </c>
      <c r="J184" s="180">
        <v>0</v>
      </c>
      <c r="K184" s="180"/>
      <c r="L184" s="180">
        <v>0</v>
      </c>
      <c r="M184" s="180">
        <v>0</v>
      </c>
      <c r="N184" s="180"/>
      <c r="O184" s="180">
        <v>0</v>
      </c>
      <c r="P184" s="180">
        <v>0</v>
      </c>
      <c r="Q184" s="180">
        <v>0</v>
      </c>
      <c r="R184" s="180">
        <v>0</v>
      </c>
      <c r="S184" s="180">
        <v>0</v>
      </c>
      <c r="T184" s="180">
        <v>0</v>
      </c>
      <c r="U184" s="180">
        <v>0</v>
      </c>
      <c r="V184" s="180">
        <v>0</v>
      </c>
      <c r="W184" s="180">
        <v>0</v>
      </c>
      <c r="X184" s="180">
        <v>0</v>
      </c>
      <c r="Y184" s="180">
        <v>0</v>
      </c>
      <c r="Z184" s="180">
        <v>0</v>
      </c>
      <c r="AA184" s="180">
        <v>0</v>
      </c>
      <c r="AB184" s="180">
        <v>0</v>
      </c>
      <c r="AC184" s="180">
        <v>0</v>
      </c>
      <c r="AD184" s="180"/>
      <c r="AE184" s="180">
        <v>0</v>
      </c>
      <c r="AF184" s="180">
        <v>0</v>
      </c>
      <c r="AG184" s="180">
        <v>0</v>
      </c>
      <c r="AH184" s="180">
        <v>0</v>
      </c>
      <c r="AI184" s="180">
        <v>0</v>
      </c>
      <c r="AJ184" s="180">
        <v>0</v>
      </c>
      <c r="AK184" s="180">
        <v>0</v>
      </c>
      <c r="AL184" s="180">
        <v>0</v>
      </c>
      <c r="AM184" s="180">
        <v>0</v>
      </c>
      <c r="AN184" s="180">
        <v>0</v>
      </c>
      <c r="AO184" s="180">
        <v>0</v>
      </c>
      <c r="AP184" s="180">
        <v>0</v>
      </c>
      <c r="AQ184" s="180">
        <v>0</v>
      </c>
      <c r="AR184" s="180">
        <v>0</v>
      </c>
      <c r="AS184" s="180">
        <v>0</v>
      </c>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v>0</v>
      </c>
      <c r="BO184" s="180">
        <v>0</v>
      </c>
      <c r="BP184" s="180">
        <v>0</v>
      </c>
      <c r="BQ184" s="180">
        <v>0</v>
      </c>
      <c r="BR184" s="180">
        <v>0</v>
      </c>
      <c r="BS184" s="180">
        <v>0</v>
      </c>
      <c r="BT184" s="180">
        <v>0</v>
      </c>
      <c r="BU184" s="180">
        <v>0</v>
      </c>
      <c r="BV184" s="180">
        <v>0</v>
      </c>
      <c r="BW184" s="180">
        <v>0</v>
      </c>
      <c r="BX184" s="180"/>
      <c r="BY184" s="180"/>
      <c r="BZ184" s="180">
        <v>0</v>
      </c>
      <c r="CA184" s="180">
        <v>0</v>
      </c>
      <c r="CB184" s="180"/>
      <c r="CC184" s="180">
        <v>0</v>
      </c>
      <c r="CD184" s="180">
        <v>0</v>
      </c>
      <c r="CE184" s="180">
        <v>0</v>
      </c>
      <c r="CF184" s="180">
        <v>0</v>
      </c>
      <c r="CG184" s="180">
        <v>0</v>
      </c>
      <c r="CH184" s="180">
        <v>0</v>
      </c>
      <c r="CI184" s="180">
        <v>0</v>
      </c>
      <c r="CJ184" s="180">
        <v>0</v>
      </c>
      <c r="CK184" s="180">
        <v>0</v>
      </c>
      <c r="CL184" s="180">
        <v>0</v>
      </c>
      <c r="CM184" s="180">
        <v>0</v>
      </c>
      <c r="CN184" s="180">
        <v>0</v>
      </c>
      <c r="CO184" s="180">
        <v>0</v>
      </c>
      <c r="CP184" s="180">
        <v>0</v>
      </c>
      <c r="CQ184" s="180">
        <v>0</v>
      </c>
      <c r="CR184" s="180">
        <v>0</v>
      </c>
      <c r="CS184" s="180">
        <v>0</v>
      </c>
      <c r="CT184" s="180"/>
      <c r="CU184" s="180"/>
    </row>
    <row r="185" spans="1:99" x14ac:dyDescent="0.3">
      <c r="A185" s="155">
        <v>641</v>
      </c>
      <c r="B185" s="180" t="s">
        <v>1672</v>
      </c>
      <c r="C185" s="180"/>
      <c r="D185" s="180">
        <v>0</v>
      </c>
      <c r="E185" s="180">
        <v>0</v>
      </c>
      <c r="F185" s="180">
        <v>0</v>
      </c>
      <c r="G185" s="180">
        <v>0</v>
      </c>
      <c r="H185" s="180">
        <v>0</v>
      </c>
      <c r="I185" s="180">
        <v>0</v>
      </c>
      <c r="J185" s="180">
        <v>0</v>
      </c>
      <c r="K185" s="180"/>
      <c r="L185" s="180">
        <v>0</v>
      </c>
      <c r="M185" s="180">
        <v>203060</v>
      </c>
      <c r="N185" s="180"/>
      <c r="O185" s="180">
        <v>0</v>
      </c>
      <c r="P185" s="180">
        <v>0</v>
      </c>
      <c r="Q185" s="180">
        <v>0</v>
      </c>
      <c r="R185" s="180">
        <v>0</v>
      </c>
      <c r="S185" s="180">
        <v>0</v>
      </c>
      <c r="T185" s="180">
        <v>0</v>
      </c>
      <c r="U185" s="180">
        <v>0</v>
      </c>
      <c r="V185" s="180">
        <v>0</v>
      </c>
      <c r="W185" s="180">
        <v>0</v>
      </c>
      <c r="X185" s="180">
        <v>0</v>
      </c>
      <c r="Y185" s="180">
        <v>0</v>
      </c>
      <c r="Z185" s="180">
        <v>0</v>
      </c>
      <c r="AA185" s="180">
        <v>0</v>
      </c>
      <c r="AB185" s="180">
        <v>0</v>
      </c>
      <c r="AC185" s="180">
        <v>15230</v>
      </c>
      <c r="AD185" s="180"/>
      <c r="AE185" s="180">
        <v>0</v>
      </c>
      <c r="AF185" s="180">
        <v>0</v>
      </c>
      <c r="AG185" s="180">
        <v>0</v>
      </c>
      <c r="AH185" s="180">
        <v>0</v>
      </c>
      <c r="AI185" s="180">
        <v>0</v>
      </c>
      <c r="AJ185" s="180">
        <v>0</v>
      </c>
      <c r="AK185" s="180">
        <v>0</v>
      </c>
      <c r="AL185" s="180">
        <v>0</v>
      </c>
      <c r="AM185" s="180">
        <v>0</v>
      </c>
      <c r="AN185" s="180">
        <v>0</v>
      </c>
      <c r="AO185" s="180">
        <v>0</v>
      </c>
      <c r="AP185" s="180">
        <v>0</v>
      </c>
      <c r="AQ185" s="180">
        <v>0</v>
      </c>
      <c r="AR185" s="180">
        <v>0</v>
      </c>
      <c r="AS185" s="180">
        <v>0</v>
      </c>
      <c r="AT185" s="180">
        <v>0</v>
      </c>
      <c r="AU185" s="180">
        <v>0</v>
      </c>
      <c r="AV185" s="180">
        <v>0</v>
      </c>
      <c r="AW185" s="180">
        <v>0</v>
      </c>
      <c r="AX185" s="180">
        <v>0</v>
      </c>
      <c r="AY185" s="180">
        <v>0</v>
      </c>
      <c r="AZ185" s="180">
        <v>0</v>
      </c>
      <c r="BA185" s="180">
        <v>63484</v>
      </c>
      <c r="BB185" s="180">
        <v>0</v>
      </c>
      <c r="BC185" s="180">
        <v>0</v>
      </c>
      <c r="BD185" s="180">
        <v>0</v>
      </c>
      <c r="BE185" s="180">
        <v>0</v>
      </c>
      <c r="BF185" s="180">
        <v>0</v>
      </c>
      <c r="BG185" s="180">
        <v>0</v>
      </c>
      <c r="BH185" s="180">
        <v>0</v>
      </c>
      <c r="BI185" s="180">
        <v>0</v>
      </c>
      <c r="BJ185" s="180">
        <v>70099</v>
      </c>
      <c r="BK185" s="180">
        <v>0</v>
      </c>
      <c r="BL185" s="180">
        <v>0</v>
      </c>
      <c r="BM185" s="180">
        <v>0</v>
      </c>
      <c r="BN185" s="180">
        <v>11965</v>
      </c>
      <c r="BO185" s="180">
        <v>0</v>
      </c>
      <c r="BP185" s="180">
        <v>0</v>
      </c>
      <c r="BQ185" s="180">
        <v>0</v>
      </c>
      <c r="BR185" s="180">
        <v>0</v>
      </c>
      <c r="BS185" s="180">
        <v>0</v>
      </c>
      <c r="BT185" s="180">
        <v>0</v>
      </c>
      <c r="BU185" s="180">
        <v>0</v>
      </c>
      <c r="BV185" s="180">
        <v>0</v>
      </c>
      <c r="BW185" s="180">
        <v>0</v>
      </c>
      <c r="BX185" s="180"/>
      <c r="BY185" s="180"/>
      <c r="BZ185" s="180">
        <v>0</v>
      </c>
      <c r="CA185" s="180">
        <v>0</v>
      </c>
      <c r="CB185" s="180"/>
      <c r="CC185" s="180">
        <v>0</v>
      </c>
      <c r="CD185" s="180">
        <v>0</v>
      </c>
      <c r="CE185" s="180">
        <v>329265</v>
      </c>
      <c r="CF185" s="180">
        <v>0</v>
      </c>
      <c r="CG185" s="180">
        <v>22977</v>
      </c>
      <c r="CH185" s="180">
        <v>0</v>
      </c>
      <c r="CI185" s="180">
        <v>0</v>
      </c>
      <c r="CJ185" s="180">
        <v>0</v>
      </c>
      <c r="CK185" s="180">
        <v>17272</v>
      </c>
      <c r="CL185" s="180">
        <v>0</v>
      </c>
      <c r="CM185" s="180">
        <v>0</v>
      </c>
      <c r="CN185" s="180">
        <v>0</v>
      </c>
      <c r="CO185" s="180">
        <v>0</v>
      </c>
      <c r="CP185" s="180">
        <v>0</v>
      </c>
      <c r="CQ185" s="180">
        <v>0</v>
      </c>
      <c r="CR185" s="180">
        <v>0</v>
      </c>
      <c r="CS185" s="180">
        <v>0</v>
      </c>
      <c r="CT185" s="180"/>
      <c r="CU185" s="180"/>
    </row>
    <row r="186" spans="1:99" x14ac:dyDescent="0.3">
      <c r="A186" s="155">
        <v>642</v>
      </c>
      <c r="B186" s="180" t="s">
        <v>1673</v>
      </c>
      <c r="C186" s="180"/>
      <c r="D186" s="180">
        <v>0</v>
      </c>
      <c r="E186" s="180">
        <v>0</v>
      </c>
      <c r="F186" s="180">
        <v>0</v>
      </c>
      <c r="G186" s="180">
        <v>0</v>
      </c>
      <c r="H186" s="180">
        <v>0</v>
      </c>
      <c r="I186" s="180">
        <v>0</v>
      </c>
      <c r="J186" s="180">
        <v>0</v>
      </c>
      <c r="K186" s="180"/>
      <c r="L186" s="180">
        <v>0</v>
      </c>
      <c r="M186" s="180">
        <v>0</v>
      </c>
      <c r="N186" s="180"/>
      <c r="O186" s="180">
        <v>0</v>
      </c>
      <c r="P186" s="180">
        <v>0</v>
      </c>
      <c r="Q186" s="180">
        <v>0</v>
      </c>
      <c r="R186" s="180">
        <v>0</v>
      </c>
      <c r="S186" s="180">
        <v>0</v>
      </c>
      <c r="T186" s="180">
        <v>0</v>
      </c>
      <c r="U186" s="180">
        <v>0</v>
      </c>
      <c r="V186" s="180">
        <v>0</v>
      </c>
      <c r="W186" s="180">
        <v>0</v>
      </c>
      <c r="X186" s="180">
        <v>0</v>
      </c>
      <c r="Y186" s="180">
        <v>0</v>
      </c>
      <c r="Z186" s="180">
        <v>0</v>
      </c>
      <c r="AA186" s="180">
        <v>0</v>
      </c>
      <c r="AB186" s="180">
        <v>0</v>
      </c>
      <c r="AC186" s="180">
        <v>0</v>
      </c>
      <c r="AD186" s="180"/>
      <c r="AE186" s="180">
        <v>0</v>
      </c>
      <c r="AF186" s="180">
        <v>0</v>
      </c>
      <c r="AG186" s="180">
        <v>0</v>
      </c>
      <c r="AH186" s="180">
        <v>0</v>
      </c>
      <c r="AI186" s="180">
        <v>0</v>
      </c>
      <c r="AJ186" s="180">
        <v>0</v>
      </c>
      <c r="AK186" s="180">
        <v>0</v>
      </c>
      <c r="AL186" s="180">
        <v>0</v>
      </c>
      <c r="AM186" s="180">
        <v>0</v>
      </c>
      <c r="AN186" s="180">
        <v>0</v>
      </c>
      <c r="AO186" s="180">
        <v>0</v>
      </c>
      <c r="AP186" s="180">
        <v>0</v>
      </c>
      <c r="AQ186" s="180">
        <v>0</v>
      </c>
      <c r="AR186" s="180">
        <v>0</v>
      </c>
      <c r="AS186" s="180">
        <v>0</v>
      </c>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v>0</v>
      </c>
      <c r="BO186" s="180">
        <v>0</v>
      </c>
      <c r="BP186" s="180">
        <v>0</v>
      </c>
      <c r="BQ186" s="180">
        <v>0</v>
      </c>
      <c r="BR186" s="180">
        <v>0</v>
      </c>
      <c r="BS186" s="180">
        <v>0</v>
      </c>
      <c r="BT186" s="180">
        <v>0</v>
      </c>
      <c r="BU186" s="180">
        <v>0</v>
      </c>
      <c r="BV186" s="180">
        <v>0</v>
      </c>
      <c r="BW186" s="180">
        <v>0</v>
      </c>
      <c r="BX186" s="180"/>
      <c r="BY186" s="180"/>
      <c r="BZ186" s="180">
        <v>0</v>
      </c>
      <c r="CA186" s="180">
        <v>0</v>
      </c>
      <c r="CB186" s="180"/>
      <c r="CC186" s="180">
        <v>0</v>
      </c>
      <c r="CD186" s="180">
        <v>0</v>
      </c>
      <c r="CE186" s="180">
        <v>0</v>
      </c>
      <c r="CF186" s="180">
        <v>0</v>
      </c>
      <c r="CG186" s="180">
        <v>0</v>
      </c>
      <c r="CH186" s="180">
        <v>0</v>
      </c>
      <c r="CI186" s="180">
        <v>0</v>
      </c>
      <c r="CJ186" s="180">
        <v>0</v>
      </c>
      <c r="CK186" s="180">
        <v>0</v>
      </c>
      <c r="CL186" s="180">
        <v>0</v>
      </c>
      <c r="CM186" s="180">
        <v>0</v>
      </c>
      <c r="CN186" s="180">
        <v>0</v>
      </c>
      <c r="CO186" s="180">
        <v>0</v>
      </c>
      <c r="CP186" s="180">
        <v>0</v>
      </c>
      <c r="CQ186" s="180">
        <v>0</v>
      </c>
      <c r="CR186" s="180">
        <v>0</v>
      </c>
      <c r="CS186" s="180">
        <v>0</v>
      </c>
      <c r="CT186" s="180"/>
      <c r="CU186" s="180"/>
    </row>
    <row r="187" spans="1:99" x14ac:dyDescent="0.3">
      <c r="A187" s="155">
        <v>643</v>
      </c>
      <c r="B187" s="180" t="s">
        <v>1674</v>
      </c>
      <c r="C187" s="180"/>
      <c r="D187" s="180">
        <v>0</v>
      </c>
      <c r="E187" s="180">
        <v>0</v>
      </c>
      <c r="F187" s="180">
        <v>0</v>
      </c>
      <c r="G187" s="180">
        <v>0</v>
      </c>
      <c r="H187" s="180">
        <v>0</v>
      </c>
      <c r="I187" s="180">
        <v>0</v>
      </c>
      <c r="J187" s="180">
        <v>0</v>
      </c>
      <c r="K187" s="180"/>
      <c r="L187" s="180">
        <v>0</v>
      </c>
      <c r="M187" s="180">
        <v>1290718</v>
      </c>
      <c r="N187" s="180"/>
      <c r="O187" s="180">
        <v>0</v>
      </c>
      <c r="P187" s="180">
        <v>0</v>
      </c>
      <c r="Q187" s="180">
        <v>0</v>
      </c>
      <c r="R187" s="180">
        <v>0</v>
      </c>
      <c r="S187" s="180">
        <v>0</v>
      </c>
      <c r="T187" s="180">
        <v>0</v>
      </c>
      <c r="U187" s="180">
        <v>0</v>
      </c>
      <c r="V187" s="180">
        <v>0</v>
      </c>
      <c r="W187" s="180">
        <v>0</v>
      </c>
      <c r="X187" s="180">
        <v>0</v>
      </c>
      <c r="Y187" s="180">
        <v>0</v>
      </c>
      <c r="Z187" s="180">
        <v>0</v>
      </c>
      <c r="AA187" s="180">
        <v>0</v>
      </c>
      <c r="AB187" s="180">
        <v>0</v>
      </c>
      <c r="AC187" s="180">
        <v>599960</v>
      </c>
      <c r="AD187" s="180"/>
      <c r="AE187" s="180">
        <v>0</v>
      </c>
      <c r="AF187" s="180">
        <v>0</v>
      </c>
      <c r="AG187" s="180">
        <v>0</v>
      </c>
      <c r="AH187" s="180">
        <v>0</v>
      </c>
      <c r="AI187" s="180">
        <v>0</v>
      </c>
      <c r="AJ187" s="180">
        <v>0</v>
      </c>
      <c r="AK187" s="180">
        <v>0</v>
      </c>
      <c r="AL187" s="180">
        <v>0</v>
      </c>
      <c r="AM187" s="180">
        <v>0</v>
      </c>
      <c r="AN187" s="180">
        <v>0</v>
      </c>
      <c r="AO187" s="180">
        <v>0</v>
      </c>
      <c r="AP187" s="180">
        <v>0</v>
      </c>
      <c r="AQ187" s="180">
        <v>0</v>
      </c>
      <c r="AR187" s="180">
        <v>0</v>
      </c>
      <c r="AS187" s="180">
        <v>0</v>
      </c>
      <c r="AT187" s="180">
        <v>0</v>
      </c>
      <c r="AU187" s="180">
        <v>0</v>
      </c>
      <c r="AV187" s="180">
        <v>0</v>
      </c>
      <c r="AW187" s="180">
        <v>0</v>
      </c>
      <c r="AX187" s="180">
        <v>0</v>
      </c>
      <c r="AY187" s="180">
        <v>0</v>
      </c>
      <c r="AZ187" s="180">
        <v>0</v>
      </c>
      <c r="BA187" s="180">
        <v>470958</v>
      </c>
      <c r="BB187" s="180">
        <v>0</v>
      </c>
      <c r="BC187" s="180">
        <v>0</v>
      </c>
      <c r="BD187" s="180">
        <v>0</v>
      </c>
      <c r="BE187" s="180">
        <v>0</v>
      </c>
      <c r="BF187" s="180">
        <v>0</v>
      </c>
      <c r="BG187" s="180">
        <v>0</v>
      </c>
      <c r="BH187" s="180">
        <v>0</v>
      </c>
      <c r="BI187" s="180">
        <v>0</v>
      </c>
      <c r="BJ187" s="180">
        <v>738600</v>
      </c>
      <c r="BK187" s="180">
        <v>0</v>
      </c>
      <c r="BL187" s="180">
        <v>0</v>
      </c>
      <c r="BM187" s="180">
        <v>0</v>
      </c>
      <c r="BN187" s="180">
        <v>161448</v>
      </c>
      <c r="BO187" s="180">
        <v>0</v>
      </c>
      <c r="BP187" s="180">
        <v>0</v>
      </c>
      <c r="BQ187" s="180">
        <v>0</v>
      </c>
      <c r="BR187" s="180">
        <v>0</v>
      </c>
      <c r="BS187" s="180">
        <v>0</v>
      </c>
      <c r="BT187" s="180">
        <v>0</v>
      </c>
      <c r="BU187" s="180">
        <v>0</v>
      </c>
      <c r="BV187" s="180">
        <v>0</v>
      </c>
      <c r="BW187" s="180">
        <v>0</v>
      </c>
      <c r="BX187" s="180"/>
      <c r="BY187" s="180"/>
      <c r="BZ187" s="180">
        <v>0</v>
      </c>
      <c r="CA187" s="180">
        <v>0</v>
      </c>
      <c r="CB187" s="180"/>
      <c r="CC187" s="180">
        <v>0</v>
      </c>
      <c r="CD187" s="180">
        <v>0</v>
      </c>
      <c r="CE187" s="180">
        <v>2188457</v>
      </c>
      <c r="CF187" s="180">
        <v>0</v>
      </c>
      <c r="CG187" s="180">
        <v>124805</v>
      </c>
      <c r="CH187" s="180">
        <v>0</v>
      </c>
      <c r="CI187" s="180">
        <v>0</v>
      </c>
      <c r="CJ187" s="180">
        <v>0</v>
      </c>
      <c r="CK187" s="180">
        <v>123458</v>
      </c>
      <c r="CL187" s="180">
        <v>0</v>
      </c>
      <c r="CM187" s="180">
        <v>0</v>
      </c>
      <c r="CN187" s="180">
        <v>0</v>
      </c>
      <c r="CO187" s="180">
        <v>0</v>
      </c>
      <c r="CP187" s="180">
        <v>0</v>
      </c>
      <c r="CQ187" s="180">
        <v>0</v>
      </c>
      <c r="CR187" s="180">
        <v>0</v>
      </c>
      <c r="CS187" s="180">
        <v>0</v>
      </c>
      <c r="CT187" s="180"/>
      <c r="CU187" s="180"/>
    </row>
    <row r="188" spans="1:99" x14ac:dyDescent="0.3">
      <c r="A188" s="155">
        <v>644</v>
      </c>
      <c r="B188" s="180" t="s">
        <v>1675</v>
      </c>
      <c r="C188" s="180"/>
      <c r="D188" s="180">
        <v>0</v>
      </c>
      <c r="E188" s="180">
        <v>0</v>
      </c>
      <c r="F188" s="180">
        <v>0</v>
      </c>
      <c r="G188" s="180">
        <v>0</v>
      </c>
      <c r="H188" s="180">
        <v>0</v>
      </c>
      <c r="I188" s="180">
        <v>0</v>
      </c>
      <c r="J188" s="180">
        <v>0</v>
      </c>
      <c r="K188" s="180"/>
      <c r="L188" s="180">
        <v>0</v>
      </c>
      <c r="M188" s="180">
        <v>0</v>
      </c>
      <c r="N188" s="180"/>
      <c r="O188" s="180">
        <v>0</v>
      </c>
      <c r="P188" s="180">
        <v>0</v>
      </c>
      <c r="Q188" s="180">
        <v>0</v>
      </c>
      <c r="R188" s="180">
        <v>0</v>
      </c>
      <c r="S188" s="180">
        <v>0</v>
      </c>
      <c r="T188" s="180">
        <v>0</v>
      </c>
      <c r="U188" s="180">
        <v>0</v>
      </c>
      <c r="V188" s="180">
        <v>0</v>
      </c>
      <c r="W188" s="180">
        <v>0</v>
      </c>
      <c r="X188" s="180">
        <v>0</v>
      </c>
      <c r="Y188" s="180">
        <v>0</v>
      </c>
      <c r="Z188" s="180">
        <v>0</v>
      </c>
      <c r="AA188" s="180">
        <v>0</v>
      </c>
      <c r="AB188" s="180">
        <v>0</v>
      </c>
      <c r="AC188" s="180">
        <v>0</v>
      </c>
      <c r="AD188" s="180"/>
      <c r="AE188" s="180">
        <v>0</v>
      </c>
      <c r="AF188" s="180">
        <v>0</v>
      </c>
      <c r="AG188" s="180">
        <v>0</v>
      </c>
      <c r="AH188" s="180">
        <v>0</v>
      </c>
      <c r="AI188" s="180">
        <v>0</v>
      </c>
      <c r="AJ188" s="180">
        <v>0</v>
      </c>
      <c r="AK188" s="180">
        <v>0</v>
      </c>
      <c r="AL188" s="180">
        <v>0</v>
      </c>
      <c r="AM188" s="180">
        <v>0</v>
      </c>
      <c r="AN188" s="180">
        <v>0</v>
      </c>
      <c r="AO188" s="180">
        <v>0</v>
      </c>
      <c r="AP188" s="180">
        <v>0</v>
      </c>
      <c r="AQ188" s="180">
        <v>0</v>
      </c>
      <c r="AR188" s="180">
        <v>0</v>
      </c>
      <c r="AS188" s="180">
        <v>0</v>
      </c>
      <c r="AT188" s="180">
        <v>0</v>
      </c>
      <c r="AU188" s="180">
        <v>0</v>
      </c>
      <c r="AV188" s="180">
        <v>0</v>
      </c>
      <c r="AW188" s="180">
        <v>0</v>
      </c>
      <c r="AX188" s="180">
        <v>0</v>
      </c>
      <c r="AY188" s="180">
        <v>0</v>
      </c>
      <c r="AZ188" s="180">
        <v>0</v>
      </c>
      <c r="BA188" s="180">
        <v>0</v>
      </c>
      <c r="BB188" s="180">
        <v>0</v>
      </c>
      <c r="BC188" s="180">
        <v>0</v>
      </c>
      <c r="BD188" s="180">
        <v>0</v>
      </c>
      <c r="BE188" s="180">
        <v>0</v>
      </c>
      <c r="BF188" s="180">
        <v>0</v>
      </c>
      <c r="BG188" s="180">
        <v>0</v>
      </c>
      <c r="BH188" s="180">
        <v>0</v>
      </c>
      <c r="BI188" s="180">
        <v>0</v>
      </c>
      <c r="BJ188" s="180">
        <v>0</v>
      </c>
      <c r="BK188" s="180">
        <v>0</v>
      </c>
      <c r="BL188" s="180">
        <v>0</v>
      </c>
      <c r="BM188" s="180">
        <v>0</v>
      </c>
      <c r="BN188" s="180">
        <v>0</v>
      </c>
      <c r="BO188" s="180">
        <v>0</v>
      </c>
      <c r="BP188" s="180">
        <v>0</v>
      </c>
      <c r="BQ188" s="180">
        <v>0</v>
      </c>
      <c r="BR188" s="180">
        <v>0</v>
      </c>
      <c r="BS188" s="180">
        <v>0</v>
      </c>
      <c r="BT188" s="180">
        <v>0</v>
      </c>
      <c r="BU188" s="180">
        <v>0</v>
      </c>
      <c r="BV188" s="180">
        <v>0</v>
      </c>
      <c r="BW188" s="180">
        <v>0</v>
      </c>
      <c r="BX188" s="180"/>
      <c r="BY188" s="180"/>
      <c r="BZ188" s="180">
        <v>0</v>
      </c>
      <c r="CA188" s="180">
        <v>0</v>
      </c>
      <c r="CB188" s="180"/>
      <c r="CC188" s="180">
        <v>0</v>
      </c>
      <c r="CD188" s="180">
        <v>0</v>
      </c>
      <c r="CE188" s="180">
        <v>0</v>
      </c>
      <c r="CF188" s="180">
        <v>0</v>
      </c>
      <c r="CG188" s="180">
        <v>0</v>
      </c>
      <c r="CH188" s="180">
        <v>0</v>
      </c>
      <c r="CI188" s="180">
        <v>0</v>
      </c>
      <c r="CJ188" s="180">
        <v>0</v>
      </c>
      <c r="CK188" s="180">
        <v>0</v>
      </c>
      <c r="CL188" s="180">
        <v>0</v>
      </c>
      <c r="CM188" s="180">
        <v>0</v>
      </c>
      <c r="CN188" s="180">
        <v>0</v>
      </c>
      <c r="CO188" s="180">
        <v>0</v>
      </c>
      <c r="CP188" s="180">
        <v>0</v>
      </c>
      <c r="CQ188" s="180">
        <v>0</v>
      </c>
      <c r="CR188" s="180">
        <v>0</v>
      </c>
      <c r="CS188" s="180">
        <v>0</v>
      </c>
      <c r="CT188" s="180"/>
      <c r="CU188" s="180"/>
    </row>
    <row r="189" spans="1:99" s="562" customFormat="1" x14ac:dyDescent="0.3">
      <c r="A189" s="561">
        <v>645</v>
      </c>
      <c r="B189" s="562" t="s">
        <v>386</v>
      </c>
      <c r="D189" s="562">
        <v>0</v>
      </c>
      <c r="E189" s="562">
        <v>1366533</v>
      </c>
      <c r="F189" s="562">
        <v>0</v>
      </c>
      <c r="G189" s="562">
        <v>100000</v>
      </c>
      <c r="H189" s="562">
        <v>2407040</v>
      </c>
      <c r="I189" s="562">
        <v>250423</v>
      </c>
      <c r="J189" s="562">
        <v>254946</v>
      </c>
      <c r="L189" s="562">
        <v>228949</v>
      </c>
      <c r="M189" s="562">
        <v>3943440</v>
      </c>
      <c r="O189" s="562">
        <v>62709</v>
      </c>
      <c r="P189" s="562">
        <v>23500</v>
      </c>
      <c r="Q189" s="562">
        <v>0</v>
      </c>
      <c r="R189" s="562">
        <v>1785</v>
      </c>
      <c r="S189" s="562">
        <v>0</v>
      </c>
      <c r="T189" s="562">
        <v>0</v>
      </c>
      <c r="U189" s="562">
        <v>0</v>
      </c>
      <c r="V189" s="562">
        <v>639188</v>
      </c>
      <c r="W189" s="562">
        <v>0</v>
      </c>
      <c r="X189" s="562">
        <v>0</v>
      </c>
      <c r="Y189" s="562">
        <v>0</v>
      </c>
      <c r="Z189" s="562">
        <v>1341999</v>
      </c>
      <c r="AA189" s="562">
        <v>170000</v>
      </c>
      <c r="AB189" s="562">
        <v>19890</v>
      </c>
      <c r="AC189" s="562">
        <v>636429</v>
      </c>
      <c r="AE189" s="562">
        <v>0</v>
      </c>
      <c r="AF189" s="562">
        <v>0</v>
      </c>
      <c r="AG189" s="562">
        <v>194256</v>
      </c>
      <c r="AH189" s="562">
        <v>213574</v>
      </c>
      <c r="AI189" s="562">
        <v>678000</v>
      </c>
      <c r="AJ189" s="562">
        <v>407199</v>
      </c>
      <c r="AK189" s="562">
        <v>95382</v>
      </c>
      <c r="AL189" s="562">
        <v>450180</v>
      </c>
      <c r="AM189" s="562">
        <v>0</v>
      </c>
      <c r="AN189" s="562">
        <v>0</v>
      </c>
      <c r="AO189" s="562">
        <v>39233</v>
      </c>
      <c r="AP189" s="562">
        <v>0</v>
      </c>
      <c r="AQ189" s="562">
        <v>0</v>
      </c>
      <c r="AR189" s="562">
        <v>150653</v>
      </c>
      <c r="AS189" s="562">
        <v>0</v>
      </c>
      <c r="AT189" s="562">
        <v>70872</v>
      </c>
      <c r="AU189" s="562">
        <v>204490</v>
      </c>
      <c r="AV189" s="562">
        <v>0</v>
      </c>
      <c r="AW189" s="562">
        <v>0</v>
      </c>
      <c r="AX189" s="562">
        <v>0</v>
      </c>
      <c r="AY189" s="562">
        <v>796834</v>
      </c>
      <c r="AZ189" s="562">
        <v>0</v>
      </c>
      <c r="BA189" s="562">
        <v>1777205</v>
      </c>
      <c r="BB189" s="562">
        <v>0</v>
      </c>
      <c r="BC189" s="562">
        <v>70816</v>
      </c>
      <c r="BD189" s="562">
        <v>0</v>
      </c>
      <c r="BE189" s="562">
        <v>0</v>
      </c>
      <c r="BF189" s="562">
        <v>313072</v>
      </c>
      <c r="BG189" s="562">
        <v>0</v>
      </c>
      <c r="BH189" s="562">
        <v>10291</v>
      </c>
      <c r="BI189" s="562">
        <v>0</v>
      </c>
      <c r="BJ189" s="562">
        <v>1600996</v>
      </c>
      <c r="BK189" s="562">
        <v>15013</v>
      </c>
      <c r="BL189" s="562">
        <v>0</v>
      </c>
      <c r="BM189" s="562">
        <v>0</v>
      </c>
      <c r="BN189" s="562">
        <v>955989</v>
      </c>
      <c r="BO189" s="562">
        <v>120464</v>
      </c>
      <c r="BP189" s="562">
        <v>0</v>
      </c>
      <c r="BQ189" s="562">
        <v>820000</v>
      </c>
      <c r="BR189" s="562">
        <v>303235</v>
      </c>
      <c r="BS189" s="562">
        <v>0</v>
      </c>
      <c r="BT189" s="562">
        <v>0</v>
      </c>
      <c r="BU189" s="562">
        <v>88893</v>
      </c>
      <c r="BV189" s="562">
        <v>125000</v>
      </c>
      <c r="BW189" s="562">
        <v>0</v>
      </c>
      <c r="BZ189" s="562">
        <v>0</v>
      </c>
      <c r="CA189" s="562">
        <v>0</v>
      </c>
      <c r="CC189" s="562">
        <v>0</v>
      </c>
      <c r="CD189" s="562">
        <v>2347246</v>
      </c>
      <c r="CE189" s="562">
        <v>3910715</v>
      </c>
      <c r="CF189" s="562">
        <v>27399</v>
      </c>
      <c r="CG189" s="562">
        <v>0</v>
      </c>
      <c r="CH189" s="562">
        <v>0</v>
      </c>
      <c r="CI189" s="562">
        <v>0</v>
      </c>
      <c r="CJ189" s="562">
        <v>10349690</v>
      </c>
      <c r="CK189" s="562">
        <v>507102</v>
      </c>
      <c r="CL189" s="562">
        <v>0</v>
      </c>
      <c r="CM189" s="562">
        <v>336237</v>
      </c>
      <c r="CN189" s="562">
        <v>54604</v>
      </c>
      <c r="CO189" s="562">
        <v>410765</v>
      </c>
      <c r="CP189" s="562">
        <v>29868</v>
      </c>
      <c r="CQ189" s="562">
        <v>0</v>
      </c>
      <c r="CR189" s="562">
        <v>0</v>
      </c>
      <c r="CS189" s="562">
        <v>2853500</v>
      </c>
    </row>
    <row r="190" spans="1:99" s="562" customFormat="1" x14ac:dyDescent="0.3">
      <c r="A190" s="561">
        <v>646</v>
      </c>
      <c r="B190" s="562" t="s">
        <v>361</v>
      </c>
      <c r="D190" s="562">
        <v>786883</v>
      </c>
      <c r="E190" s="562">
        <v>2941790</v>
      </c>
      <c r="F190" s="562">
        <v>997849</v>
      </c>
      <c r="G190" s="562">
        <v>513414</v>
      </c>
      <c r="H190" s="562">
        <v>6545482</v>
      </c>
      <c r="I190" s="562">
        <v>714584</v>
      </c>
      <c r="J190" s="562">
        <v>958922</v>
      </c>
      <c r="L190" s="562">
        <v>580109</v>
      </c>
      <c r="M190" s="562">
        <v>25445279</v>
      </c>
      <c r="O190" s="562">
        <v>871737</v>
      </c>
      <c r="P190" s="562">
        <v>2866324</v>
      </c>
      <c r="Q190" s="562">
        <v>794965</v>
      </c>
      <c r="R190" s="562">
        <v>269182</v>
      </c>
      <c r="S190" s="562">
        <v>335661</v>
      </c>
      <c r="T190" s="562">
        <v>950006</v>
      </c>
      <c r="U190" s="562">
        <v>6432352</v>
      </c>
      <c r="V190" s="562">
        <v>8250467</v>
      </c>
      <c r="W190" s="562">
        <v>5299664</v>
      </c>
      <c r="X190" s="562">
        <v>2976642</v>
      </c>
      <c r="Y190" s="562">
        <v>3527059</v>
      </c>
      <c r="Z190" s="562">
        <v>4672360</v>
      </c>
      <c r="AA190" s="562">
        <v>1799063</v>
      </c>
      <c r="AB190" s="562">
        <v>84894</v>
      </c>
      <c r="AC190" s="562">
        <v>2378383</v>
      </c>
      <c r="AE190" s="562">
        <v>879312</v>
      </c>
      <c r="AF190" s="562">
        <v>763645</v>
      </c>
      <c r="AG190" s="562">
        <v>13325114</v>
      </c>
      <c r="AH190" s="562">
        <v>1417918</v>
      </c>
      <c r="AI190" s="562">
        <v>1584038</v>
      </c>
      <c r="AJ190" s="562">
        <v>1239068</v>
      </c>
      <c r="AK190" s="562">
        <v>434720</v>
      </c>
      <c r="AL190" s="562">
        <v>7500624</v>
      </c>
      <c r="AM190" s="562">
        <v>4279220</v>
      </c>
      <c r="AN190" s="562">
        <v>658632</v>
      </c>
      <c r="AO190" s="562">
        <v>1352008</v>
      </c>
      <c r="AP190" s="562">
        <v>63655</v>
      </c>
      <c r="AQ190" s="562">
        <v>3393363</v>
      </c>
      <c r="AR190" s="562">
        <v>5569974</v>
      </c>
      <c r="AS190" s="562">
        <v>813122</v>
      </c>
      <c r="AT190" s="562">
        <v>304248</v>
      </c>
      <c r="AU190" s="562">
        <v>1666363</v>
      </c>
      <c r="AV190" s="562">
        <v>474406</v>
      </c>
      <c r="AW190" s="562">
        <v>75883</v>
      </c>
      <c r="AX190" s="562">
        <v>216797</v>
      </c>
      <c r="AY190" s="562">
        <v>2023243</v>
      </c>
      <c r="AZ190" s="562">
        <v>823860</v>
      </c>
      <c r="BA190" s="562">
        <v>16854068</v>
      </c>
      <c r="BB190" s="562">
        <v>4983731</v>
      </c>
      <c r="BC190" s="562">
        <v>1679627</v>
      </c>
      <c r="BD190" s="562">
        <v>3138598</v>
      </c>
      <c r="BE190" s="562">
        <v>1656393</v>
      </c>
      <c r="BF190" s="562">
        <v>1609143</v>
      </c>
      <c r="BG190" s="562">
        <v>257290</v>
      </c>
      <c r="BH190" s="562">
        <v>912491</v>
      </c>
      <c r="BI190" s="562">
        <v>2667967</v>
      </c>
      <c r="BJ190" s="562">
        <v>5084264</v>
      </c>
      <c r="BK190" s="562">
        <v>483449</v>
      </c>
      <c r="BL190" s="562">
        <v>303690</v>
      </c>
      <c r="BM190" s="562">
        <v>14988980</v>
      </c>
      <c r="BN190" s="562">
        <v>7865107</v>
      </c>
      <c r="BO190" s="562">
        <v>5823760</v>
      </c>
      <c r="BP190" s="562">
        <v>253249</v>
      </c>
      <c r="BQ190" s="562">
        <v>3735804</v>
      </c>
      <c r="BR190" s="562">
        <v>736901</v>
      </c>
      <c r="BS190" s="562">
        <v>20536877</v>
      </c>
      <c r="BT190" s="562">
        <v>2072854</v>
      </c>
      <c r="BU190" s="562">
        <v>1576813</v>
      </c>
      <c r="BV190" s="562">
        <v>1546139</v>
      </c>
      <c r="BW190" s="562">
        <v>2763449</v>
      </c>
      <c r="BZ190" s="562">
        <v>1814097</v>
      </c>
      <c r="CA190" s="562">
        <v>726896</v>
      </c>
      <c r="CC190" s="562">
        <v>3567478</v>
      </c>
      <c r="CD190" s="562">
        <v>46118757</v>
      </c>
      <c r="CE190" s="562">
        <v>18380173</v>
      </c>
      <c r="CF190" s="562">
        <v>1012046</v>
      </c>
      <c r="CG190" s="562">
        <v>1999186</v>
      </c>
      <c r="CH190" s="562">
        <v>182674</v>
      </c>
      <c r="CI190" s="562">
        <v>1491735</v>
      </c>
      <c r="CJ190" s="562">
        <v>47265680</v>
      </c>
      <c r="CK190" s="562">
        <v>10797410</v>
      </c>
      <c r="CL190" s="562">
        <v>970465</v>
      </c>
      <c r="CM190" s="562">
        <v>4176522</v>
      </c>
      <c r="CN190" s="562">
        <v>789360</v>
      </c>
      <c r="CO190" s="562">
        <v>18962340</v>
      </c>
      <c r="CP190" s="562">
        <v>3352554</v>
      </c>
      <c r="CQ190" s="562">
        <v>1611839</v>
      </c>
      <c r="CR190" s="562">
        <v>3548691</v>
      </c>
      <c r="CS190" s="562">
        <v>8880089</v>
      </c>
    </row>
    <row r="191" spans="1:99" x14ac:dyDescent="0.3">
      <c r="A191" s="155">
        <v>647</v>
      </c>
      <c r="B191" s="180" t="s">
        <v>968</v>
      </c>
      <c r="C191" s="180"/>
      <c r="D191" s="180">
        <v>0</v>
      </c>
      <c r="E191" s="180">
        <v>0</v>
      </c>
      <c r="F191" s="180">
        <v>0</v>
      </c>
      <c r="G191" s="180">
        <v>0</v>
      </c>
      <c r="H191" s="180">
        <v>0</v>
      </c>
      <c r="I191" s="180">
        <v>0</v>
      </c>
      <c r="J191" s="180">
        <v>0</v>
      </c>
      <c r="K191" s="180"/>
      <c r="L191" s="180">
        <v>0</v>
      </c>
      <c r="M191" s="180">
        <v>0</v>
      </c>
      <c r="N191" s="180"/>
      <c r="O191" s="180">
        <v>0</v>
      </c>
      <c r="P191" s="180">
        <v>0</v>
      </c>
      <c r="Q191" s="180">
        <v>0</v>
      </c>
      <c r="R191" s="180">
        <v>0</v>
      </c>
      <c r="S191" s="180">
        <v>0</v>
      </c>
      <c r="T191" s="180">
        <v>0</v>
      </c>
      <c r="U191" s="180">
        <v>0</v>
      </c>
      <c r="V191" s="180">
        <v>0</v>
      </c>
      <c r="W191" s="180">
        <v>0</v>
      </c>
      <c r="X191" s="180">
        <v>0</v>
      </c>
      <c r="Y191" s="180">
        <v>0</v>
      </c>
      <c r="Z191" s="180">
        <v>0</v>
      </c>
      <c r="AA191" s="180">
        <v>0</v>
      </c>
      <c r="AB191" s="180">
        <v>0</v>
      </c>
      <c r="AC191" s="180">
        <v>0</v>
      </c>
      <c r="AD191" s="180"/>
      <c r="AE191" s="180">
        <v>0</v>
      </c>
      <c r="AF191" s="180">
        <v>0</v>
      </c>
      <c r="AG191" s="180">
        <v>0</v>
      </c>
      <c r="AH191" s="180">
        <v>0</v>
      </c>
      <c r="AI191" s="180">
        <v>0</v>
      </c>
      <c r="AJ191" s="180">
        <v>0</v>
      </c>
      <c r="AK191" s="180">
        <v>0</v>
      </c>
      <c r="AL191" s="180">
        <v>0</v>
      </c>
      <c r="AM191" s="180">
        <v>0</v>
      </c>
      <c r="AN191" s="180">
        <v>0</v>
      </c>
      <c r="AO191" s="180">
        <v>0</v>
      </c>
      <c r="AP191" s="180">
        <v>0</v>
      </c>
      <c r="AQ191" s="180">
        <v>0</v>
      </c>
      <c r="AR191" s="180">
        <v>0</v>
      </c>
      <c r="AS191" s="180">
        <v>0</v>
      </c>
      <c r="AT191" s="180">
        <v>0</v>
      </c>
      <c r="AU191" s="180">
        <v>0</v>
      </c>
      <c r="AV191" s="180">
        <v>0</v>
      </c>
      <c r="AW191" s="180">
        <v>0</v>
      </c>
      <c r="AX191" s="180">
        <v>0</v>
      </c>
      <c r="AY191" s="180">
        <v>0</v>
      </c>
      <c r="AZ191" s="180">
        <v>0</v>
      </c>
      <c r="BA191" s="180">
        <v>591377</v>
      </c>
      <c r="BB191" s="180">
        <v>0</v>
      </c>
      <c r="BC191" s="180">
        <v>0</v>
      </c>
      <c r="BD191" s="180">
        <v>0</v>
      </c>
      <c r="BE191" s="180">
        <v>0</v>
      </c>
      <c r="BF191" s="180">
        <v>0</v>
      </c>
      <c r="BG191" s="180">
        <v>0</v>
      </c>
      <c r="BH191" s="180">
        <v>0</v>
      </c>
      <c r="BI191" s="180">
        <v>0</v>
      </c>
      <c r="BJ191" s="180">
        <v>0</v>
      </c>
      <c r="BK191" s="180">
        <v>0</v>
      </c>
      <c r="BL191" s="180">
        <v>0</v>
      </c>
      <c r="BM191" s="180">
        <v>0</v>
      </c>
      <c r="BN191" s="180">
        <v>0</v>
      </c>
      <c r="BO191" s="180">
        <v>0</v>
      </c>
      <c r="BP191" s="180">
        <v>0</v>
      </c>
      <c r="BQ191" s="180">
        <v>0</v>
      </c>
      <c r="BR191" s="180">
        <v>0</v>
      </c>
      <c r="BS191" s="180">
        <v>253250</v>
      </c>
      <c r="BT191" s="180">
        <v>0</v>
      </c>
      <c r="BU191" s="180">
        <v>0</v>
      </c>
      <c r="BV191" s="180">
        <v>0</v>
      </c>
      <c r="BW191" s="180">
        <v>0</v>
      </c>
      <c r="BX191" s="180"/>
      <c r="BY191" s="180"/>
      <c r="BZ191" s="180">
        <v>0</v>
      </c>
      <c r="CA191" s="180">
        <v>0</v>
      </c>
      <c r="CB191" s="180"/>
      <c r="CC191" s="180">
        <v>0</v>
      </c>
      <c r="CD191" s="180">
        <v>21992782</v>
      </c>
      <c r="CE191" s="180">
        <v>0</v>
      </c>
      <c r="CF191" s="180">
        <v>0</v>
      </c>
      <c r="CG191" s="180">
        <v>0</v>
      </c>
      <c r="CH191" s="180">
        <v>0</v>
      </c>
      <c r="CI191" s="180">
        <v>0</v>
      </c>
      <c r="CJ191" s="180">
        <v>52530410</v>
      </c>
      <c r="CK191" s="180">
        <v>0</v>
      </c>
      <c r="CL191" s="180">
        <v>0</v>
      </c>
      <c r="CM191" s="180">
        <v>0</v>
      </c>
      <c r="CN191" s="180">
        <v>0</v>
      </c>
      <c r="CO191" s="180">
        <v>0</v>
      </c>
      <c r="CP191" s="180">
        <v>0</v>
      </c>
      <c r="CQ191" s="180">
        <v>0</v>
      </c>
      <c r="CR191" s="180">
        <v>0</v>
      </c>
      <c r="CS191" s="180">
        <v>0</v>
      </c>
      <c r="CT191" s="180"/>
      <c r="CU191" s="180"/>
    </row>
    <row r="192" spans="1:99" x14ac:dyDescent="0.3">
      <c r="A192" s="155">
        <v>648</v>
      </c>
      <c r="B192" s="180" t="s">
        <v>608</v>
      </c>
      <c r="C192" s="180"/>
      <c r="D192" s="180">
        <v>0.05</v>
      </c>
      <c r="E192" s="180">
        <v>0</v>
      </c>
      <c r="F192" s="180">
        <v>6.4999999999999997E-3</v>
      </c>
      <c r="G192" s="180">
        <v>0.125</v>
      </c>
      <c r="H192" s="180">
        <v>0.186</v>
      </c>
      <c r="I192" s="180">
        <v>0.32</v>
      </c>
      <c r="J192" s="180">
        <v>0</v>
      </c>
      <c r="K192" s="180"/>
      <c r="L192" s="180">
        <v>0.61</v>
      </c>
      <c r="M192" s="180">
        <v>0</v>
      </c>
      <c r="N192" s="180"/>
      <c r="O192" s="180">
        <v>0.45</v>
      </c>
      <c r="P192" s="180">
        <v>0</v>
      </c>
      <c r="Q192" s="180">
        <v>0.69</v>
      </c>
      <c r="R192" s="180">
        <v>0.15</v>
      </c>
      <c r="S192" s="180">
        <v>0.49</v>
      </c>
      <c r="T192" s="180">
        <v>0.42</v>
      </c>
      <c r="U192" s="180">
        <v>2.75E-2</v>
      </c>
      <c r="V192" s="180">
        <v>0</v>
      </c>
      <c r="W192" s="180">
        <v>0.41</v>
      </c>
      <c r="X192" s="180">
        <v>0.35</v>
      </c>
      <c r="Y192" s="180">
        <v>0</v>
      </c>
      <c r="Z192" s="180">
        <v>0.44</v>
      </c>
      <c r="AA192" s="180">
        <v>0.67</v>
      </c>
      <c r="AB192" s="180">
        <v>0</v>
      </c>
      <c r="AC192" s="180">
        <v>0.41</v>
      </c>
      <c r="AD192" s="180"/>
      <c r="AE192" s="180">
        <v>0.5</v>
      </c>
      <c r="AF192" s="180">
        <v>0.43</v>
      </c>
      <c r="AG192" s="180">
        <v>0.62</v>
      </c>
      <c r="AH192" s="180">
        <v>0.05</v>
      </c>
      <c r="AI192" s="180">
        <v>0.31</v>
      </c>
      <c r="AJ192" s="180">
        <v>0.17</v>
      </c>
      <c r="AK192" s="180">
        <v>0.38</v>
      </c>
      <c r="AL192" s="180">
        <v>0.1</v>
      </c>
      <c r="AM192" s="180">
        <v>0</v>
      </c>
      <c r="AN192" s="180">
        <v>0.46</v>
      </c>
      <c r="AO192" s="180">
        <v>0.48099999999999998</v>
      </c>
      <c r="AP192" s="180">
        <v>0.27</v>
      </c>
      <c r="AQ192" s="180">
        <v>0.02</v>
      </c>
      <c r="AR192" s="180">
        <v>0</v>
      </c>
      <c r="AS192" s="180">
        <v>0.53</v>
      </c>
      <c r="AT192" s="180">
        <v>0.23</v>
      </c>
      <c r="AU192" s="180">
        <v>0.05</v>
      </c>
      <c r="AV192" s="180">
        <v>0.51500000000000001</v>
      </c>
      <c r="AW192" s="180">
        <v>0.23</v>
      </c>
      <c r="AX192" s="180">
        <v>0.32</v>
      </c>
      <c r="AY192" s="180">
        <v>0.55600000000000005</v>
      </c>
      <c r="AZ192" s="180">
        <v>0.65</v>
      </c>
      <c r="BA192" s="180">
        <v>0.495</v>
      </c>
      <c r="BB192" s="180">
        <v>0.2</v>
      </c>
      <c r="BC192" s="180">
        <v>0.62</v>
      </c>
      <c r="BD192" s="180">
        <v>0</v>
      </c>
      <c r="BE192" s="180">
        <v>0.4</v>
      </c>
      <c r="BF192" s="180">
        <v>0.42</v>
      </c>
      <c r="BG192" s="180">
        <v>0.5</v>
      </c>
      <c r="BH192" s="180">
        <v>0.65</v>
      </c>
      <c r="BI192" s="180">
        <v>0.55000000000000004</v>
      </c>
      <c r="BJ192" s="180">
        <v>0.53</v>
      </c>
      <c r="BK192" s="180">
        <v>0.28999999999999998</v>
      </c>
      <c r="BL192" s="180">
        <v>0.05</v>
      </c>
      <c r="BM192" s="180">
        <v>0.38500000000000001</v>
      </c>
      <c r="BN192" s="180">
        <v>0.43919999999999998</v>
      </c>
      <c r="BO192" s="180">
        <v>0.35</v>
      </c>
      <c r="BP192" s="180">
        <v>0.15</v>
      </c>
      <c r="BQ192" s="180">
        <v>4.8000000000000001E-2</v>
      </c>
      <c r="BR192" s="180">
        <v>0.72</v>
      </c>
      <c r="BS192" s="180">
        <v>0.47</v>
      </c>
      <c r="BT192" s="180">
        <v>0</v>
      </c>
      <c r="BU192" s="180">
        <v>1.29</v>
      </c>
      <c r="BV192" s="180">
        <v>0</v>
      </c>
      <c r="BW192" s="180">
        <v>0.47</v>
      </c>
      <c r="BX192" s="180"/>
      <c r="BY192" s="180"/>
      <c r="BZ192" s="180">
        <v>0.51</v>
      </c>
      <c r="CA192" s="180">
        <v>0.15</v>
      </c>
      <c r="CB192" s="180"/>
      <c r="CC192" s="180">
        <v>0.89</v>
      </c>
      <c r="CD192" s="180">
        <v>0.38080000000000003</v>
      </c>
      <c r="CE192" s="180">
        <v>0.57499999999999996</v>
      </c>
      <c r="CF192" s="180">
        <v>0.42</v>
      </c>
      <c r="CG192" s="180">
        <v>0.14499999999999999</v>
      </c>
      <c r="CH192" s="180">
        <v>0</v>
      </c>
      <c r="CI192" s="180">
        <v>0.34</v>
      </c>
      <c r="CJ192" s="180">
        <v>0.61240000000000006</v>
      </c>
      <c r="CK192" s="180">
        <v>0.47499999999999998</v>
      </c>
      <c r="CL192" s="180">
        <v>0.64</v>
      </c>
      <c r="CM192" s="180">
        <v>0.33</v>
      </c>
      <c r="CN192" s="180">
        <v>0</v>
      </c>
      <c r="CO192" s="180">
        <v>9.2299999999999993E-2</v>
      </c>
      <c r="CP192" s="180">
        <v>0.42</v>
      </c>
      <c r="CQ192" s="180">
        <v>0</v>
      </c>
      <c r="CR192" s="180">
        <v>0.65500000000000003</v>
      </c>
      <c r="CS192" s="180">
        <v>0</v>
      </c>
      <c r="CT192" s="180"/>
      <c r="CU192" s="180"/>
    </row>
    <row r="193" spans="1:99" x14ac:dyDescent="0.3">
      <c r="A193" s="155">
        <v>654</v>
      </c>
      <c r="B193" s="180" t="s">
        <v>416</v>
      </c>
      <c r="C193" s="180"/>
      <c r="D193" s="180">
        <v>0</v>
      </c>
      <c r="E193" s="180">
        <v>0</v>
      </c>
      <c r="F193" s="180">
        <v>634541</v>
      </c>
      <c r="G193" s="180">
        <v>0</v>
      </c>
      <c r="H193" s="180">
        <v>0</v>
      </c>
      <c r="I193" s="180">
        <v>1035390</v>
      </c>
      <c r="J193" s="180">
        <v>2327856</v>
      </c>
      <c r="K193" s="180"/>
      <c r="L193" s="180">
        <v>281578</v>
      </c>
      <c r="M193" s="180">
        <v>26175753</v>
      </c>
      <c r="N193" s="180"/>
      <c r="O193" s="180">
        <v>0</v>
      </c>
      <c r="P193" s="180">
        <v>1889699</v>
      </c>
      <c r="Q193" s="180">
        <v>374517</v>
      </c>
      <c r="R193" s="180">
        <v>0</v>
      </c>
      <c r="S193" s="180">
        <v>409739</v>
      </c>
      <c r="T193" s="180">
        <v>0</v>
      </c>
      <c r="U193" s="180">
        <v>0</v>
      </c>
      <c r="V193" s="180">
        <v>0</v>
      </c>
      <c r="W193" s="180">
        <v>15404983</v>
      </c>
      <c r="X193" s="180">
        <v>0</v>
      </c>
      <c r="Y193" s="180">
        <v>3568973</v>
      </c>
      <c r="Z193" s="180">
        <v>0</v>
      </c>
      <c r="AA193" s="180">
        <v>2962706</v>
      </c>
      <c r="AB193" s="180">
        <v>0</v>
      </c>
      <c r="AC193" s="180">
        <v>2854882</v>
      </c>
      <c r="AD193" s="180"/>
      <c r="AE193" s="180">
        <v>800890</v>
      </c>
      <c r="AF193" s="180">
        <v>421499</v>
      </c>
      <c r="AG193" s="180">
        <v>17323166</v>
      </c>
      <c r="AH193" s="180">
        <v>0</v>
      </c>
      <c r="AI193" s="180">
        <v>2279901</v>
      </c>
      <c r="AJ193" s="180">
        <v>0</v>
      </c>
      <c r="AK193" s="180">
        <v>553675</v>
      </c>
      <c r="AL193" s="180">
        <v>2724041</v>
      </c>
      <c r="AM193" s="180">
        <v>2615427</v>
      </c>
      <c r="AN193" s="180">
        <v>871229</v>
      </c>
      <c r="AO193" s="180">
        <v>750747</v>
      </c>
      <c r="AP193" s="180">
        <v>85662</v>
      </c>
      <c r="AQ193" s="180">
        <v>0</v>
      </c>
      <c r="AR193" s="180">
        <v>3378059</v>
      </c>
      <c r="AS193" s="180">
        <v>347984</v>
      </c>
      <c r="AT193" s="180">
        <v>0</v>
      </c>
      <c r="AU193" s="180">
        <v>0</v>
      </c>
      <c r="AV193" s="180">
        <v>0</v>
      </c>
      <c r="AW193" s="180">
        <v>0</v>
      </c>
      <c r="AX193" s="180">
        <v>234849</v>
      </c>
      <c r="AY193" s="180">
        <v>4528702</v>
      </c>
      <c r="AZ193" s="180">
        <v>518466</v>
      </c>
      <c r="BA193" s="180">
        <v>0</v>
      </c>
      <c r="BB193" s="180">
        <v>456225</v>
      </c>
      <c r="BC193" s="180">
        <v>3774864</v>
      </c>
      <c r="BD193" s="180">
        <v>0</v>
      </c>
      <c r="BE193" s="180">
        <v>1687395</v>
      </c>
      <c r="BF193" s="180">
        <v>1121797</v>
      </c>
      <c r="BG193" s="180">
        <v>219458</v>
      </c>
      <c r="BH193" s="180">
        <v>939133</v>
      </c>
      <c r="BI193" s="180">
        <v>3324071</v>
      </c>
      <c r="BJ193" s="180">
        <v>8512924</v>
      </c>
      <c r="BK193" s="180">
        <v>0</v>
      </c>
      <c r="BL193" s="180">
        <v>0</v>
      </c>
      <c r="BM193" s="180">
        <v>0</v>
      </c>
      <c r="BN193" s="180">
        <v>7361960</v>
      </c>
      <c r="BO193" s="180">
        <v>5277120</v>
      </c>
      <c r="BP193" s="180">
        <v>0</v>
      </c>
      <c r="BQ193" s="180">
        <v>0</v>
      </c>
      <c r="BR193" s="180">
        <v>3211626</v>
      </c>
      <c r="BS193" s="180">
        <v>381886</v>
      </c>
      <c r="BT193" s="180">
        <v>0</v>
      </c>
      <c r="BU193" s="180">
        <v>0</v>
      </c>
      <c r="BV193" s="180">
        <v>1228375</v>
      </c>
      <c r="BW193" s="180">
        <v>0</v>
      </c>
      <c r="BX193" s="180"/>
      <c r="BY193" s="180"/>
      <c r="BZ193" s="180">
        <v>3388609</v>
      </c>
      <c r="CA193" s="180">
        <v>92884</v>
      </c>
      <c r="CB193" s="180"/>
      <c r="CC193" s="180">
        <v>8335728</v>
      </c>
      <c r="CD193" s="180">
        <v>0</v>
      </c>
      <c r="CE193" s="180">
        <v>26545214</v>
      </c>
      <c r="CF193" s="180">
        <v>89521</v>
      </c>
      <c r="CG193" s="180">
        <v>2598406</v>
      </c>
      <c r="CH193" s="180">
        <v>124449</v>
      </c>
      <c r="CI193" s="180">
        <v>1741910</v>
      </c>
      <c r="CJ193" s="180">
        <v>100967580</v>
      </c>
      <c r="CK193" s="180">
        <v>4018733</v>
      </c>
      <c r="CL193" s="180">
        <v>1236029</v>
      </c>
      <c r="CM193" s="180">
        <v>0</v>
      </c>
      <c r="CN193" s="180">
        <v>1083827</v>
      </c>
      <c r="CO193" s="180">
        <v>10869653</v>
      </c>
      <c r="CP193" s="180">
        <v>4213731</v>
      </c>
      <c r="CQ193" s="180">
        <v>2064416</v>
      </c>
      <c r="CR193" s="180">
        <v>0</v>
      </c>
      <c r="CS193" s="180">
        <v>0</v>
      </c>
      <c r="CT193" s="180"/>
      <c r="CU193" s="180"/>
    </row>
    <row r="194" spans="1:99" x14ac:dyDescent="0.3">
      <c r="A194" s="155">
        <v>655</v>
      </c>
      <c r="B194" s="180" t="s">
        <v>969</v>
      </c>
      <c r="C194" s="180"/>
      <c r="D194" s="180">
        <v>0</v>
      </c>
      <c r="E194" s="180">
        <v>0</v>
      </c>
      <c r="F194" s="180">
        <v>0</v>
      </c>
      <c r="G194" s="180">
        <v>0</v>
      </c>
      <c r="H194" s="180">
        <v>0</v>
      </c>
      <c r="I194" s="180">
        <v>24855</v>
      </c>
      <c r="J194" s="180">
        <v>439450</v>
      </c>
      <c r="K194" s="180"/>
      <c r="L194" s="180">
        <v>0</v>
      </c>
      <c r="M194" s="180">
        <v>4994650</v>
      </c>
      <c r="N194" s="180"/>
      <c r="O194" s="180">
        <v>0</v>
      </c>
      <c r="P194" s="180">
        <v>213634</v>
      </c>
      <c r="Q194" s="180">
        <v>23120</v>
      </c>
      <c r="R194" s="180">
        <v>0</v>
      </c>
      <c r="S194" s="180">
        <v>265012</v>
      </c>
      <c r="T194" s="180">
        <v>0</v>
      </c>
      <c r="U194" s="180">
        <v>0</v>
      </c>
      <c r="V194" s="180">
        <v>0</v>
      </c>
      <c r="W194" s="180">
        <v>606720</v>
      </c>
      <c r="X194" s="180">
        <v>0</v>
      </c>
      <c r="Y194" s="180">
        <v>403884</v>
      </c>
      <c r="Z194" s="180">
        <v>0</v>
      </c>
      <c r="AA194" s="180">
        <v>224349</v>
      </c>
      <c r="AB194" s="180">
        <v>0</v>
      </c>
      <c r="AC194" s="180">
        <v>53550</v>
      </c>
      <c r="AD194" s="180"/>
      <c r="AE194" s="180">
        <v>45380</v>
      </c>
      <c r="AF194" s="180">
        <v>0</v>
      </c>
      <c r="AG194" s="180">
        <v>1649160</v>
      </c>
      <c r="AH194" s="180">
        <v>0</v>
      </c>
      <c r="AI194" s="180">
        <v>83932</v>
      </c>
      <c r="AJ194" s="180">
        <v>0</v>
      </c>
      <c r="AK194" s="180">
        <v>3586</v>
      </c>
      <c r="AL194" s="180">
        <v>0</v>
      </c>
      <c r="AM194" s="180">
        <v>0</v>
      </c>
      <c r="AN194" s="180">
        <v>115711</v>
      </c>
      <c r="AO194" s="180">
        <v>142992</v>
      </c>
      <c r="AP194" s="180">
        <v>3705</v>
      </c>
      <c r="AQ194" s="180">
        <v>0</v>
      </c>
      <c r="AR194" s="180">
        <v>81570</v>
      </c>
      <c r="AS194" s="180">
        <v>51901</v>
      </c>
      <c r="AT194" s="180">
        <v>0</v>
      </c>
      <c r="AU194" s="180">
        <v>0</v>
      </c>
      <c r="AV194" s="180">
        <v>0</v>
      </c>
      <c r="AW194" s="180">
        <v>0</v>
      </c>
      <c r="AX194" s="180">
        <v>19726</v>
      </c>
      <c r="AY194" s="180">
        <v>916565</v>
      </c>
      <c r="AZ194" s="180">
        <v>27603</v>
      </c>
      <c r="BA194" s="180">
        <v>0</v>
      </c>
      <c r="BB194" s="180">
        <v>0</v>
      </c>
      <c r="BC194" s="180">
        <v>0</v>
      </c>
      <c r="BD194" s="180">
        <v>0</v>
      </c>
      <c r="BE194" s="180">
        <v>25359</v>
      </c>
      <c r="BF194" s="180">
        <v>31150</v>
      </c>
      <c r="BG194" s="180">
        <v>6861</v>
      </c>
      <c r="BH194" s="180">
        <v>96757</v>
      </c>
      <c r="BI194" s="180">
        <v>172981</v>
      </c>
      <c r="BJ194" s="180">
        <v>76711</v>
      </c>
      <c r="BK194" s="180">
        <v>0</v>
      </c>
      <c r="BL194" s="180">
        <v>0</v>
      </c>
      <c r="BM194" s="180">
        <v>0</v>
      </c>
      <c r="BN194" s="180">
        <v>65545</v>
      </c>
      <c r="BO194" s="180">
        <v>26245</v>
      </c>
      <c r="BP194" s="180">
        <v>0</v>
      </c>
      <c r="BQ194" s="180">
        <v>0</v>
      </c>
      <c r="BR194" s="180">
        <v>52126</v>
      </c>
      <c r="BS194" s="180">
        <v>0</v>
      </c>
      <c r="BT194" s="180">
        <v>0</v>
      </c>
      <c r="BU194" s="180">
        <v>0</v>
      </c>
      <c r="BV194" s="180">
        <v>62010</v>
      </c>
      <c r="BW194" s="180">
        <v>0</v>
      </c>
      <c r="BX194" s="180"/>
      <c r="BY194" s="180"/>
      <c r="BZ194" s="180">
        <v>148508</v>
      </c>
      <c r="CA194" s="180">
        <v>1843</v>
      </c>
      <c r="CB194" s="180"/>
      <c r="CC194" s="180">
        <v>164621</v>
      </c>
      <c r="CD194" s="180">
        <v>0</v>
      </c>
      <c r="CE194" s="180">
        <v>0</v>
      </c>
      <c r="CF194" s="180">
        <v>0</v>
      </c>
      <c r="CG194" s="180">
        <v>0</v>
      </c>
      <c r="CH194" s="180">
        <v>29663</v>
      </c>
      <c r="CI194" s="180">
        <v>145125</v>
      </c>
      <c r="CJ194" s="180">
        <v>0</v>
      </c>
      <c r="CK194" s="180">
        <v>431159</v>
      </c>
      <c r="CL194" s="180">
        <v>52463</v>
      </c>
      <c r="CM194" s="180">
        <v>0</v>
      </c>
      <c r="CN194" s="180">
        <v>19885</v>
      </c>
      <c r="CO194" s="180">
        <v>250000</v>
      </c>
      <c r="CP194" s="180">
        <v>50347</v>
      </c>
      <c r="CQ194" s="180">
        <v>1790</v>
      </c>
      <c r="CR194" s="180">
        <v>0</v>
      </c>
      <c r="CS194" s="180">
        <v>0</v>
      </c>
      <c r="CT194" s="180"/>
      <c r="CU194" s="180"/>
    </row>
    <row r="195" spans="1:99" x14ac:dyDescent="0.3">
      <c r="A195" s="155">
        <v>656</v>
      </c>
      <c r="B195" s="180" t="s">
        <v>422</v>
      </c>
      <c r="C195" s="180"/>
      <c r="D195" s="180">
        <v>2</v>
      </c>
      <c r="E195" s="180">
        <v>0</v>
      </c>
      <c r="F195" s="180">
        <v>2</v>
      </c>
      <c r="G195" s="180">
        <v>0</v>
      </c>
      <c r="H195" s="180">
        <v>2</v>
      </c>
      <c r="I195" s="180">
        <v>0</v>
      </c>
      <c r="J195" s="180">
        <v>2</v>
      </c>
      <c r="K195" s="180"/>
      <c r="L195" s="180">
        <v>0</v>
      </c>
      <c r="M195" s="180">
        <v>2</v>
      </c>
      <c r="N195" s="180"/>
      <c r="O195" s="180">
        <v>0</v>
      </c>
      <c r="P195" s="180">
        <v>2</v>
      </c>
      <c r="Q195" s="180">
        <v>2</v>
      </c>
      <c r="R195" s="180">
        <v>0</v>
      </c>
      <c r="S195" s="180">
        <v>0</v>
      </c>
      <c r="T195" s="180">
        <v>0</v>
      </c>
      <c r="U195" s="180">
        <v>2</v>
      </c>
      <c r="V195" s="180">
        <v>2</v>
      </c>
      <c r="W195" s="180">
        <v>2</v>
      </c>
      <c r="X195" s="180">
        <v>2</v>
      </c>
      <c r="Y195" s="180">
        <v>2</v>
      </c>
      <c r="Z195" s="180">
        <v>2</v>
      </c>
      <c r="AA195" s="180">
        <v>0</v>
      </c>
      <c r="AB195" s="180">
        <v>2</v>
      </c>
      <c r="AC195" s="180">
        <v>0</v>
      </c>
      <c r="AD195" s="180"/>
      <c r="AE195" s="180">
        <v>0</v>
      </c>
      <c r="AF195" s="180">
        <v>0</v>
      </c>
      <c r="AG195" s="180">
        <v>2</v>
      </c>
      <c r="AH195" s="180">
        <v>2</v>
      </c>
      <c r="AI195" s="180">
        <v>2</v>
      </c>
      <c r="AJ195" s="180">
        <v>0</v>
      </c>
      <c r="AK195" s="180">
        <v>2</v>
      </c>
      <c r="AL195" s="180">
        <v>2</v>
      </c>
      <c r="AM195" s="180">
        <v>0</v>
      </c>
      <c r="AN195" s="180">
        <v>0</v>
      </c>
      <c r="AO195" s="180">
        <v>2</v>
      </c>
      <c r="AP195" s="180">
        <v>0</v>
      </c>
      <c r="AQ195" s="180">
        <v>0</v>
      </c>
      <c r="AR195" s="180">
        <v>0</v>
      </c>
      <c r="AS195" s="180">
        <v>0</v>
      </c>
      <c r="AT195" s="180">
        <v>0</v>
      </c>
      <c r="AU195" s="180">
        <v>2</v>
      </c>
      <c r="AV195" s="180">
        <v>0</v>
      </c>
      <c r="AW195" s="180">
        <v>0</v>
      </c>
      <c r="AX195" s="180">
        <v>2</v>
      </c>
      <c r="AY195" s="180">
        <v>2</v>
      </c>
      <c r="AZ195" s="180">
        <v>2</v>
      </c>
      <c r="BA195" s="180">
        <v>2</v>
      </c>
      <c r="BB195" s="180">
        <v>2</v>
      </c>
      <c r="BC195" s="180">
        <v>2</v>
      </c>
      <c r="BD195" s="180">
        <v>2</v>
      </c>
      <c r="BE195" s="180">
        <v>2</v>
      </c>
      <c r="BF195" s="180">
        <v>2</v>
      </c>
      <c r="BG195" s="180">
        <v>2</v>
      </c>
      <c r="BH195" s="180">
        <v>2</v>
      </c>
      <c r="BI195" s="180">
        <v>2</v>
      </c>
      <c r="BJ195" s="180">
        <v>2</v>
      </c>
      <c r="BK195" s="180">
        <v>0</v>
      </c>
      <c r="BL195" s="180">
        <v>2</v>
      </c>
      <c r="BM195" s="180">
        <v>0</v>
      </c>
      <c r="BN195" s="180">
        <v>2</v>
      </c>
      <c r="BO195" s="180">
        <v>2</v>
      </c>
      <c r="BP195" s="180">
        <v>0</v>
      </c>
      <c r="BQ195" s="180">
        <v>2</v>
      </c>
      <c r="BR195" s="180">
        <v>2</v>
      </c>
      <c r="BS195" s="180">
        <v>2</v>
      </c>
      <c r="BT195" s="180">
        <v>2</v>
      </c>
      <c r="BU195" s="180">
        <v>0</v>
      </c>
      <c r="BV195" s="180">
        <v>0</v>
      </c>
      <c r="BW195" s="180">
        <v>2</v>
      </c>
      <c r="BX195" s="180"/>
      <c r="BY195" s="180"/>
      <c r="BZ195" s="180">
        <v>0</v>
      </c>
      <c r="CA195" s="180">
        <v>2</v>
      </c>
      <c r="CB195" s="180"/>
      <c r="CC195" s="180">
        <v>2</v>
      </c>
      <c r="CD195" s="180">
        <v>2</v>
      </c>
      <c r="CE195" s="180">
        <v>2</v>
      </c>
      <c r="CF195" s="180">
        <v>2</v>
      </c>
      <c r="CG195" s="180">
        <v>0</v>
      </c>
      <c r="CH195" s="180">
        <v>2</v>
      </c>
      <c r="CI195" s="180">
        <v>2</v>
      </c>
      <c r="CJ195" s="180">
        <v>2</v>
      </c>
      <c r="CK195" s="180">
        <v>2</v>
      </c>
      <c r="CL195" s="180">
        <v>0</v>
      </c>
      <c r="CM195" s="180">
        <v>2</v>
      </c>
      <c r="CN195" s="180">
        <v>2</v>
      </c>
      <c r="CO195" s="180">
        <v>2</v>
      </c>
      <c r="CP195" s="180">
        <v>2</v>
      </c>
      <c r="CQ195" s="180">
        <v>2</v>
      </c>
      <c r="CR195" s="180">
        <v>2</v>
      </c>
      <c r="CS195" s="180">
        <v>2</v>
      </c>
      <c r="CT195" s="180"/>
      <c r="CU195" s="180"/>
    </row>
    <row r="196" spans="1:99" x14ac:dyDescent="0.3">
      <c r="A196" s="155">
        <v>657</v>
      </c>
      <c r="B196" s="180" t="s">
        <v>970</v>
      </c>
      <c r="C196" s="180"/>
      <c r="D196" s="180">
        <v>0</v>
      </c>
      <c r="E196" s="180">
        <v>0</v>
      </c>
      <c r="F196" s="180">
        <v>0</v>
      </c>
      <c r="G196" s="180">
        <v>0</v>
      </c>
      <c r="H196" s="180">
        <v>0</v>
      </c>
      <c r="I196" s="180">
        <v>0</v>
      </c>
      <c r="J196" s="180">
        <v>0</v>
      </c>
      <c r="K196" s="180"/>
      <c r="L196" s="180">
        <v>0</v>
      </c>
      <c r="M196" s="180">
        <v>44789595</v>
      </c>
      <c r="N196" s="180"/>
      <c r="O196" s="180">
        <v>0</v>
      </c>
      <c r="P196" s="180">
        <v>0</v>
      </c>
      <c r="Q196" s="180">
        <v>0</v>
      </c>
      <c r="R196" s="180">
        <v>0</v>
      </c>
      <c r="S196" s="180">
        <v>0</v>
      </c>
      <c r="T196" s="180">
        <v>0</v>
      </c>
      <c r="U196" s="180">
        <v>0</v>
      </c>
      <c r="V196" s="180">
        <v>0</v>
      </c>
      <c r="W196" s="180">
        <v>0</v>
      </c>
      <c r="X196" s="180">
        <v>0</v>
      </c>
      <c r="Y196" s="180">
        <v>0</v>
      </c>
      <c r="Z196" s="180">
        <v>0</v>
      </c>
      <c r="AA196" s="180">
        <v>0</v>
      </c>
      <c r="AB196" s="180">
        <v>0</v>
      </c>
      <c r="AC196" s="180">
        <v>16187959</v>
      </c>
      <c r="AD196" s="180"/>
      <c r="AE196" s="180">
        <v>0</v>
      </c>
      <c r="AF196" s="180">
        <v>0</v>
      </c>
      <c r="AG196" s="180">
        <v>0</v>
      </c>
      <c r="AH196" s="180">
        <v>0</v>
      </c>
      <c r="AI196" s="180">
        <v>0</v>
      </c>
      <c r="AJ196" s="180">
        <v>0</v>
      </c>
      <c r="AK196" s="180">
        <v>0</v>
      </c>
      <c r="AL196" s="180">
        <v>0</v>
      </c>
      <c r="AM196" s="180">
        <v>0</v>
      </c>
      <c r="AN196" s="180">
        <v>0</v>
      </c>
      <c r="AO196" s="180">
        <v>0</v>
      </c>
      <c r="AP196" s="180">
        <v>0</v>
      </c>
      <c r="AQ196" s="180">
        <v>0</v>
      </c>
      <c r="AR196" s="180">
        <v>0</v>
      </c>
      <c r="AS196" s="180">
        <v>0</v>
      </c>
      <c r="AT196" s="180">
        <v>0</v>
      </c>
      <c r="AU196" s="180">
        <v>0</v>
      </c>
      <c r="AV196" s="180">
        <v>0</v>
      </c>
      <c r="AW196" s="180">
        <v>0</v>
      </c>
      <c r="AX196" s="180">
        <v>0</v>
      </c>
      <c r="AY196" s="180">
        <v>0</v>
      </c>
      <c r="AZ196" s="180">
        <v>0</v>
      </c>
      <c r="BA196" s="180">
        <v>7797241</v>
      </c>
      <c r="BB196" s="180">
        <v>0</v>
      </c>
      <c r="BC196" s="180">
        <v>0</v>
      </c>
      <c r="BD196" s="180">
        <v>0</v>
      </c>
      <c r="BE196" s="180">
        <v>0</v>
      </c>
      <c r="BF196" s="180">
        <v>0</v>
      </c>
      <c r="BG196" s="180">
        <v>560763</v>
      </c>
      <c r="BH196" s="180">
        <v>0</v>
      </c>
      <c r="BI196" s="180">
        <v>0</v>
      </c>
      <c r="BJ196" s="180">
        <v>24565095</v>
      </c>
      <c r="BK196" s="180">
        <v>0</v>
      </c>
      <c r="BL196" s="180">
        <v>0</v>
      </c>
      <c r="BM196" s="180">
        <v>0</v>
      </c>
      <c r="BN196" s="180">
        <v>4750250</v>
      </c>
      <c r="BO196" s="180">
        <v>0</v>
      </c>
      <c r="BP196" s="180">
        <v>0</v>
      </c>
      <c r="BQ196" s="180">
        <v>0</v>
      </c>
      <c r="BR196" s="180">
        <v>0</v>
      </c>
      <c r="BS196" s="180">
        <v>0</v>
      </c>
      <c r="BT196" s="180">
        <v>0</v>
      </c>
      <c r="BU196" s="180">
        <v>0</v>
      </c>
      <c r="BV196" s="180">
        <v>0</v>
      </c>
      <c r="BW196" s="180">
        <v>0</v>
      </c>
      <c r="BX196" s="180"/>
      <c r="BY196" s="180"/>
      <c r="BZ196" s="180">
        <v>0</v>
      </c>
      <c r="CA196" s="180">
        <v>0</v>
      </c>
      <c r="CB196" s="180"/>
      <c r="CC196" s="180">
        <v>0</v>
      </c>
      <c r="CD196" s="180">
        <v>0</v>
      </c>
      <c r="CE196" s="180">
        <v>67634175</v>
      </c>
      <c r="CF196" s="180">
        <v>0</v>
      </c>
      <c r="CG196" s="180">
        <v>5827037</v>
      </c>
      <c r="CH196" s="180">
        <v>0</v>
      </c>
      <c r="CI196" s="180">
        <v>0</v>
      </c>
      <c r="CJ196" s="180">
        <v>0</v>
      </c>
      <c r="CK196" s="180">
        <v>8366278</v>
      </c>
      <c r="CL196" s="180">
        <v>0</v>
      </c>
      <c r="CM196" s="180">
        <v>0</v>
      </c>
      <c r="CN196" s="180">
        <v>0</v>
      </c>
      <c r="CO196" s="180">
        <v>0</v>
      </c>
      <c r="CP196" s="180">
        <v>0</v>
      </c>
      <c r="CQ196" s="180">
        <v>0</v>
      </c>
      <c r="CR196" s="180">
        <v>0</v>
      </c>
      <c r="CS196" s="180">
        <v>0</v>
      </c>
      <c r="CT196" s="180"/>
      <c r="CU196" s="180"/>
    </row>
    <row r="197" spans="1:99" x14ac:dyDescent="0.3">
      <c r="A197" s="155">
        <v>658</v>
      </c>
      <c r="B197" s="180" t="s">
        <v>971</v>
      </c>
      <c r="C197" s="180"/>
      <c r="D197" s="180">
        <v>0</v>
      </c>
      <c r="E197" s="180">
        <v>0</v>
      </c>
      <c r="F197" s="180">
        <v>0</v>
      </c>
      <c r="G197" s="180">
        <v>0</v>
      </c>
      <c r="H197" s="180">
        <v>0</v>
      </c>
      <c r="I197" s="180">
        <v>0</v>
      </c>
      <c r="J197" s="180">
        <v>0</v>
      </c>
      <c r="K197" s="180"/>
      <c r="L197" s="180">
        <v>0</v>
      </c>
      <c r="M197" s="180">
        <v>1290718</v>
      </c>
      <c r="N197" s="180"/>
      <c r="O197" s="180">
        <v>0</v>
      </c>
      <c r="P197" s="180">
        <v>0</v>
      </c>
      <c r="Q197" s="180">
        <v>0</v>
      </c>
      <c r="R197" s="180">
        <v>0</v>
      </c>
      <c r="S197" s="180">
        <v>0</v>
      </c>
      <c r="T197" s="180">
        <v>0</v>
      </c>
      <c r="U197" s="180">
        <v>0</v>
      </c>
      <c r="V197" s="180">
        <v>0</v>
      </c>
      <c r="W197" s="180">
        <v>0</v>
      </c>
      <c r="X197" s="180">
        <v>0</v>
      </c>
      <c r="Y197" s="180">
        <v>0</v>
      </c>
      <c r="Z197" s="180">
        <v>0</v>
      </c>
      <c r="AA197" s="180">
        <v>0</v>
      </c>
      <c r="AB197" s="180">
        <v>0</v>
      </c>
      <c r="AC197" s="180">
        <v>599960</v>
      </c>
      <c r="AD197" s="180"/>
      <c r="AE197" s="180">
        <v>0</v>
      </c>
      <c r="AF197" s="180">
        <v>0</v>
      </c>
      <c r="AG197" s="180">
        <v>0</v>
      </c>
      <c r="AH197" s="180">
        <v>0</v>
      </c>
      <c r="AI197" s="180">
        <v>0</v>
      </c>
      <c r="AJ197" s="180">
        <v>0</v>
      </c>
      <c r="AK197" s="180">
        <v>0</v>
      </c>
      <c r="AL197" s="180">
        <v>0</v>
      </c>
      <c r="AM197" s="180">
        <v>0</v>
      </c>
      <c r="AN197" s="180">
        <v>0</v>
      </c>
      <c r="AO197" s="180">
        <v>0</v>
      </c>
      <c r="AP197" s="180">
        <v>0</v>
      </c>
      <c r="AQ197" s="180">
        <v>0</v>
      </c>
      <c r="AR197" s="180">
        <v>0</v>
      </c>
      <c r="AS197" s="180">
        <v>0</v>
      </c>
      <c r="AT197" s="180">
        <v>0</v>
      </c>
      <c r="AU197" s="180">
        <v>0</v>
      </c>
      <c r="AV197" s="180">
        <v>0</v>
      </c>
      <c r="AW197" s="180">
        <v>0</v>
      </c>
      <c r="AX197" s="180">
        <v>0</v>
      </c>
      <c r="AY197" s="180">
        <v>0</v>
      </c>
      <c r="AZ197" s="180">
        <v>0</v>
      </c>
      <c r="BA197" s="180">
        <v>470958</v>
      </c>
      <c r="BB197" s="180">
        <v>0</v>
      </c>
      <c r="BC197" s="180">
        <v>0</v>
      </c>
      <c r="BD197" s="180">
        <v>0</v>
      </c>
      <c r="BE197" s="180">
        <v>0</v>
      </c>
      <c r="BF197" s="180">
        <v>0</v>
      </c>
      <c r="BG197" s="180">
        <v>8276</v>
      </c>
      <c r="BH197" s="180">
        <v>0</v>
      </c>
      <c r="BI197" s="180">
        <v>0</v>
      </c>
      <c r="BJ197" s="180">
        <v>738600</v>
      </c>
      <c r="BK197" s="180">
        <v>0</v>
      </c>
      <c r="BL197" s="180">
        <v>0</v>
      </c>
      <c r="BM197" s="180">
        <v>0</v>
      </c>
      <c r="BN197" s="180">
        <v>161448</v>
      </c>
      <c r="BO197" s="180">
        <v>0</v>
      </c>
      <c r="BP197" s="180">
        <v>0</v>
      </c>
      <c r="BQ197" s="180">
        <v>0</v>
      </c>
      <c r="BR197" s="180">
        <v>0</v>
      </c>
      <c r="BS197" s="180">
        <v>0</v>
      </c>
      <c r="BT197" s="180">
        <v>0</v>
      </c>
      <c r="BU197" s="180">
        <v>0</v>
      </c>
      <c r="BV197" s="180">
        <v>0</v>
      </c>
      <c r="BW197" s="180">
        <v>0</v>
      </c>
      <c r="BX197" s="180"/>
      <c r="BY197" s="180"/>
      <c r="BZ197" s="180">
        <v>0</v>
      </c>
      <c r="CA197" s="180">
        <v>0</v>
      </c>
      <c r="CB197" s="180"/>
      <c r="CC197" s="180">
        <v>0</v>
      </c>
      <c r="CD197" s="180">
        <v>0</v>
      </c>
      <c r="CE197" s="180">
        <v>0</v>
      </c>
      <c r="CF197" s="180">
        <v>0</v>
      </c>
      <c r="CG197" s="180">
        <v>124805</v>
      </c>
      <c r="CH197" s="180">
        <v>0</v>
      </c>
      <c r="CI197" s="180">
        <v>0</v>
      </c>
      <c r="CJ197" s="180">
        <v>0</v>
      </c>
      <c r="CK197" s="180">
        <v>315312</v>
      </c>
      <c r="CL197" s="180">
        <v>0</v>
      </c>
      <c r="CM197" s="180">
        <v>0</v>
      </c>
      <c r="CN197" s="180">
        <v>0</v>
      </c>
      <c r="CO197" s="180">
        <v>0</v>
      </c>
      <c r="CP197" s="180">
        <v>0</v>
      </c>
      <c r="CQ197" s="180">
        <v>0</v>
      </c>
      <c r="CR197" s="180">
        <v>0</v>
      </c>
      <c r="CS197" s="180">
        <v>0</v>
      </c>
      <c r="CT197" s="180"/>
      <c r="CU197" s="180"/>
    </row>
    <row r="198" spans="1:99" x14ac:dyDescent="0.3">
      <c r="A198" s="155">
        <v>659</v>
      </c>
      <c r="B198" s="180" t="s">
        <v>972</v>
      </c>
      <c r="C198" s="180"/>
      <c r="D198" s="180">
        <v>0</v>
      </c>
      <c r="E198" s="180">
        <v>0</v>
      </c>
      <c r="F198" s="180">
        <v>26025</v>
      </c>
      <c r="G198" s="180">
        <v>0</v>
      </c>
      <c r="H198" s="180">
        <v>0</v>
      </c>
      <c r="I198" s="180">
        <v>0</v>
      </c>
      <c r="J198" s="180">
        <v>253315</v>
      </c>
      <c r="K198" s="180"/>
      <c r="L198" s="180">
        <v>0</v>
      </c>
      <c r="M198" s="180">
        <v>1415057</v>
      </c>
      <c r="N198" s="180"/>
      <c r="O198" s="180">
        <v>0</v>
      </c>
      <c r="P198" s="180">
        <v>0</v>
      </c>
      <c r="Q198" s="180">
        <v>0</v>
      </c>
      <c r="R198" s="180">
        <v>0</v>
      </c>
      <c r="S198" s="180">
        <v>0</v>
      </c>
      <c r="T198" s="180">
        <v>0</v>
      </c>
      <c r="U198" s="180">
        <v>0</v>
      </c>
      <c r="V198" s="180">
        <v>0</v>
      </c>
      <c r="W198" s="180">
        <v>0</v>
      </c>
      <c r="X198" s="180">
        <v>548263</v>
      </c>
      <c r="Y198" s="180">
        <v>0</v>
      </c>
      <c r="Z198" s="180">
        <v>1419012</v>
      </c>
      <c r="AA198" s="180">
        <v>0</v>
      </c>
      <c r="AB198" s="180">
        <v>0</v>
      </c>
      <c r="AC198" s="180">
        <v>26437672</v>
      </c>
      <c r="AD198" s="180"/>
      <c r="AE198" s="180">
        <v>0</v>
      </c>
      <c r="AF198" s="180">
        <v>0</v>
      </c>
      <c r="AG198" s="180">
        <v>12268905</v>
      </c>
      <c r="AH198" s="180">
        <v>0</v>
      </c>
      <c r="AI198" s="180">
        <v>411301</v>
      </c>
      <c r="AJ198" s="180">
        <v>0</v>
      </c>
      <c r="AK198" s="180">
        <v>0</v>
      </c>
      <c r="AL198" s="180">
        <v>0</v>
      </c>
      <c r="AM198" s="180">
        <v>239222</v>
      </c>
      <c r="AN198" s="180">
        <v>0</v>
      </c>
      <c r="AO198" s="180">
        <v>0</v>
      </c>
      <c r="AP198" s="180">
        <v>0</v>
      </c>
      <c r="AQ198" s="180">
        <v>0</v>
      </c>
      <c r="AR198" s="180">
        <v>1108352</v>
      </c>
      <c r="AS198" s="180">
        <v>0</v>
      </c>
      <c r="AT198" s="180">
        <v>0</v>
      </c>
      <c r="AU198" s="180">
        <v>0</v>
      </c>
      <c r="AV198" s="180">
        <v>0</v>
      </c>
      <c r="AW198" s="180">
        <v>0</v>
      </c>
      <c r="AX198" s="180">
        <v>218989</v>
      </c>
      <c r="AY198" s="180">
        <v>4945132</v>
      </c>
      <c r="AZ198" s="180">
        <v>0</v>
      </c>
      <c r="BA198" s="180">
        <v>14063692</v>
      </c>
      <c r="BB198" s="180">
        <v>0</v>
      </c>
      <c r="BC198" s="180">
        <v>0</v>
      </c>
      <c r="BD198" s="180">
        <v>0</v>
      </c>
      <c r="BE198" s="180">
        <v>0</v>
      </c>
      <c r="BF198" s="180">
        <v>0</v>
      </c>
      <c r="BG198" s="180">
        <v>0</v>
      </c>
      <c r="BH198" s="180">
        <v>0</v>
      </c>
      <c r="BI198" s="180">
        <v>43927</v>
      </c>
      <c r="BJ198" s="180">
        <v>8938430</v>
      </c>
      <c r="BK198" s="180">
        <v>0</v>
      </c>
      <c r="BL198" s="180">
        <v>0</v>
      </c>
      <c r="BM198" s="180">
        <v>0</v>
      </c>
      <c r="BN198" s="180">
        <v>9397581</v>
      </c>
      <c r="BO198" s="180">
        <v>1714442</v>
      </c>
      <c r="BP198" s="180">
        <v>0</v>
      </c>
      <c r="BQ198" s="180">
        <v>0</v>
      </c>
      <c r="BR198" s="180">
        <v>265249</v>
      </c>
      <c r="BS198" s="180">
        <v>5780689</v>
      </c>
      <c r="BT198" s="180">
        <v>0</v>
      </c>
      <c r="BU198" s="180">
        <v>0</v>
      </c>
      <c r="BV198" s="180">
        <v>0</v>
      </c>
      <c r="BW198" s="180">
        <v>0</v>
      </c>
      <c r="BX198" s="180"/>
      <c r="BY198" s="180"/>
      <c r="BZ198" s="180">
        <v>2497073</v>
      </c>
      <c r="CA198" s="180">
        <v>0</v>
      </c>
      <c r="CB198" s="180"/>
      <c r="CC198" s="180">
        <v>4331879</v>
      </c>
      <c r="CD198" s="180">
        <v>41653001</v>
      </c>
      <c r="CE198" s="180">
        <v>66239024</v>
      </c>
      <c r="CF198" s="180">
        <v>0</v>
      </c>
      <c r="CG198" s="180">
        <v>2848220</v>
      </c>
      <c r="CH198" s="180">
        <v>0</v>
      </c>
      <c r="CI198" s="180">
        <v>0</v>
      </c>
      <c r="CJ198" s="180">
        <v>68534294</v>
      </c>
      <c r="CK198" s="180">
        <v>2913723</v>
      </c>
      <c r="CL198" s="180">
        <v>0</v>
      </c>
      <c r="CM198" s="180">
        <v>1604123</v>
      </c>
      <c r="CN198" s="180">
        <v>0</v>
      </c>
      <c r="CO198" s="180">
        <v>6382031</v>
      </c>
      <c r="CP198" s="180">
        <v>0</v>
      </c>
      <c r="CQ198" s="180">
        <v>0</v>
      </c>
      <c r="CR198" s="180">
        <v>0</v>
      </c>
      <c r="CS198" s="180">
        <v>6208683</v>
      </c>
      <c r="CT198" s="180"/>
      <c r="CU198" s="180"/>
    </row>
    <row r="199" spans="1:99" x14ac:dyDescent="0.3">
      <c r="A199" s="155">
        <v>660</v>
      </c>
      <c r="B199" s="180" t="s">
        <v>973</v>
      </c>
      <c r="C199" s="180"/>
      <c r="D199" s="180">
        <v>0</v>
      </c>
      <c r="E199" s="180">
        <v>0</v>
      </c>
      <c r="F199" s="180">
        <v>0</v>
      </c>
      <c r="G199" s="180">
        <v>0</v>
      </c>
      <c r="H199" s="180">
        <v>0</v>
      </c>
      <c r="I199" s="180">
        <v>0</v>
      </c>
      <c r="J199" s="180">
        <v>0</v>
      </c>
      <c r="K199" s="180"/>
      <c r="L199" s="180">
        <v>0</v>
      </c>
      <c r="M199" s="180">
        <v>0</v>
      </c>
      <c r="N199" s="180"/>
      <c r="O199" s="180">
        <v>0</v>
      </c>
      <c r="P199" s="180">
        <v>0</v>
      </c>
      <c r="Q199" s="180">
        <v>0</v>
      </c>
      <c r="R199" s="180">
        <v>0</v>
      </c>
      <c r="S199" s="180">
        <v>0</v>
      </c>
      <c r="T199" s="180">
        <v>0</v>
      </c>
      <c r="U199" s="180">
        <v>0</v>
      </c>
      <c r="V199" s="180">
        <v>0</v>
      </c>
      <c r="W199" s="180">
        <v>0</v>
      </c>
      <c r="X199" s="180">
        <v>0</v>
      </c>
      <c r="Y199" s="180">
        <v>0</v>
      </c>
      <c r="Z199" s="180">
        <v>0</v>
      </c>
      <c r="AA199" s="180">
        <v>0</v>
      </c>
      <c r="AB199" s="180">
        <v>0</v>
      </c>
      <c r="AC199" s="180">
        <v>0</v>
      </c>
      <c r="AD199" s="180"/>
      <c r="AE199" s="180">
        <v>0</v>
      </c>
      <c r="AF199" s="180">
        <v>0</v>
      </c>
      <c r="AG199" s="180">
        <v>0</v>
      </c>
      <c r="AH199" s="180">
        <v>0</v>
      </c>
      <c r="AI199" s="180">
        <v>0</v>
      </c>
      <c r="AJ199" s="180">
        <v>0</v>
      </c>
      <c r="AK199" s="180">
        <v>0</v>
      </c>
      <c r="AL199" s="180">
        <v>0</v>
      </c>
      <c r="AM199" s="180">
        <v>0</v>
      </c>
      <c r="AN199" s="180">
        <v>0</v>
      </c>
      <c r="AO199" s="180">
        <v>0</v>
      </c>
      <c r="AP199" s="180">
        <v>0</v>
      </c>
      <c r="AQ199" s="180">
        <v>0</v>
      </c>
      <c r="AR199" s="180">
        <v>0</v>
      </c>
      <c r="AS199" s="180">
        <v>0</v>
      </c>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X199" s="180"/>
      <c r="BY199" s="180"/>
      <c r="BZ199" s="180">
        <v>0</v>
      </c>
      <c r="CA199" s="180">
        <v>0</v>
      </c>
      <c r="CB199" s="180"/>
      <c r="CC199" s="180">
        <v>1248902</v>
      </c>
      <c r="CD199" s="180">
        <v>3061235</v>
      </c>
      <c r="CE199" s="180">
        <v>0</v>
      </c>
      <c r="CF199" s="180">
        <v>0</v>
      </c>
      <c r="CG199" s="180">
        <v>0</v>
      </c>
      <c r="CH199" s="180">
        <v>0</v>
      </c>
      <c r="CI199" s="180">
        <v>0</v>
      </c>
      <c r="CJ199" s="180">
        <v>67075085</v>
      </c>
      <c r="CK199" s="180">
        <v>0</v>
      </c>
      <c r="CL199" s="180">
        <v>0</v>
      </c>
      <c r="CM199" s="180">
        <v>0</v>
      </c>
      <c r="CN199" s="180">
        <v>0</v>
      </c>
      <c r="CO199" s="180">
        <v>0</v>
      </c>
      <c r="CP199" s="180">
        <v>0</v>
      </c>
      <c r="CQ199" s="180">
        <v>0</v>
      </c>
      <c r="CR199" s="180">
        <v>0</v>
      </c>
      <c r="CS199" s="180">
        <v>0</v>
      </c>
      <c r="CT199" s="180"/>
      <c r="CU199" s="180"/>
    </row>
    <row r="200" spans="1:99" s="562" customFormat="1" x14ac:dyDescent="0.3">
      <c r="A200" s="561">
        <v>661</v>
      </c>
      <c r="B200" s="562" t="s">
        <v>421</v>
      </c>
      <c r="D200" s="562">
        <v>0</v>
      </c>
      <c r="E200" s="562">
        <v>0</v>
      </c>
      <c r="F200" s="562">
        <v>0</v>
      </c>
      <c r="G200" s="562">
        <v>0</v>
      </c>
      <c r="H200" s="562">
        <v>0</v>
      </c>
      <c r="I200" s="562">
        <v>0</v>
      </c>
      <c r="J200" s="562">
        <v>0</v>
      </c>
      <c r="L200" s="562">
        <v>0</v>
      </c>
      <c r="M200" s="562">
        <v>0</v>
      </c>
      <c r="O200" s="562">
        <v>0</v>
      </c>
      <c r="P200" s="562">
        <v>0</v>
      </c>
      <c r="Q200" s="562">
        <v>0</v>
      </c>
      <c r="R200" s="562">
        <v>0</v>
      </c>
      <c r="S200" s="562">
        <v>0</v>
      </c>
      <c r="T200" s="562">
        <v>0</v>
      </c>
      <c r="U200" s="562">
        <v>0</v>
      </c>
      <c r="V200" s="562">
        <v>0</v>
      </c>
      <c r="W200" s="562">
        <v>0</v>
      </c>
      <c r="X200" s="562">
        <v>0</v>
      </c>
      <c r="Y200" s="562">
        <v>0</v>
      </c>
      <c r="Z200" s="562">
        <v>0</v>
      </c>
      <c r="AA200" s="562">
        <v>0</v>
      </c>
      <c r="AB200" s="562">
        <v>0</v>
      </c>
      <c r="AC200" s="562">
        <v>0</v>
      </c>
      <c r="AE200" s="562">
        <v>0</v>
      </c>
      <c r="AF200" s="562">
        <v>0</v>
      </c>
      <c r="AG200" s="562">
        <v>0</v>
      </c>
      <c r="AH200" s="562">
        <v>0</v>
      </c>
      <c r="AI200" s="562">
        <v>0</v>
      </c>
      <c r="AJ200" s="562">
        <v>0</v>
      </c>
      <c r="AK200" s="562">
        <v>0</v>
      </c>
      <c r="AL200" s="562">
        <v>0</v>
      </c>
      <c r="AM200" s="562">
        <v>0</v>
      </c>
      <c r="AN200" s="562">
        <v>0</v>
      </c>
      <c r="AO200" s="562">
        <v>0</v>
      </c>
      <c r="AP200" s="562">
        <v>0</v>
      </c>
      <c r="AQ200" s="562">
        <v>0</v>
      </c>
      <c r="AR200" s="562">
        <v>0</v>
      </c>
      <c r="AS200" s="562">
        <v>0</v>
      </c>
      <c r="AT200" s="562">
        <v>0</v>
      </c>
      <c r="AU200" s="562">
        <v>0</v>
      </c>
      <c r="AV200" s="562">
        <v>0</v>
      </c>
      <c r="AW200" s="562">
        <v>0</v>
      </c>
      <c r="AX200" s="562">
        <v>0</v>
      </c>
      <c r="AY200" s="562">
        <v>0</v>
      </c>
      <c r="AZ200" s="562">
        <v>0</v>
      </c>
      <c r="BA200" s="562">
        <v>0</v>
      </c>
      <c r="BB200" s="562">
        <v>0</v>
      </c>
      <c r="BC200" s="562">
        <v>0</v>
      </c>
      <c r="BD200" s="562">
        <v>0</v>
      </c>
      <c r="BE200" s="562">
        <v>0</v>
      </c>
      <c r="BF200" s="562">
        <v>0</v>
      </c>
      <c r="BG200" s="562">
        <v>0</v>
      </c>
      <c r="BH200" s="562">
        <v>0</v>
      </c>
      <c r="BI200" s="562">
        <v>0</v>
      </c>
      <c r="BJ200" s="562">
        <v>0</v>
      </c>
      <c r="BK200" s="562">
        <v>0</v>
      </c>
      <c r="BL200" s="562">
        <v>0</v>
      </c>
      <c r="BM200" s="562">
        <v>0</v>
      </c>
      <c r="BN200" s="562">
        <v>0</v>
      </c>
      <c r="BO200" s="562">
        <v>0</v>
      </c>
      <c r="BP200" s="562">
        <v>0</v>
      </c>
      <c r="BQ200" s="562">
        <v>0</v>
      </c>
      <c r="BR200" s="562">
        <v>0</v>
      </c>
      <c r="BS200" s="562">
        <v>0</v>
      </c>
      <c r="BT200" s="562">
        <v>0</v>
      </c>
      <c r="BU200" s="562">
        <v>0</v>
      </c>
      <c r="BV200" s="562">
        <v>0</v>
      </c>
      <c r="BW200" s="562">
        <v>0</v>
      </c>
      <c r="BZ200" s="562">
        <v>0</v>
      </c>
      <c r="CA200" s="562">
        <v>0</v>
      </c>
      <c r="CC200" s="562">
        <v>28.8</v>
      </c>
      <c r="CD200" s="562">
        <v>7.3</v>
      </c>
      <c r="CE200" s="562">
        <v>0</v>
      </c>
      <c r="CF200" s="562">
        <v>0</v>
      </c>
      <c r="CG200" s="562">
        <v>0</v>
      </c>
      <c r="CH200" s="562">
        <v>0</v>
      </c>
      <c r="CI200" s="562">
        <v>0</v>
      </c>
      <c r="CJ200" s="562">
        <v>97.9</v>
      </c>
      <c r="CK200" s="562">
        <v>0</v>
      </c>
      <c r="CL200" s="562">
        <v>0</v>
      </c>
      <c r="CM200" s="562">
        <v>0</v>
      </c>
      <c r="CN200" s="562">
        <v>0</v>
      </c>
      <c r="CO200" s="562">
        <v>0</v>
      </c>
      <c r="CP200" s="562">
        <v>0</v>
      </c>
      <c r="CQ200" s="562">
        <v>0</v>
      </c>
      <c r="CR200" s="562">
        <v>0</v>
      </c>
      <c r="CS200" s="562">
        <v>0</v>
      </c>
    </row>
    <row r="201" spans="1:99" s="555" customFormat="1" x14ac:dyDescent="0.3">
      <c r="A201" s="558">
        <v>662</v>
      </c>
      <c r="B201" s="555" t="s">
        <v>451</v>
      </c>
      <c r="F201" s="555">
        <v>0</v>
      </c>
      <c r="H201" s="555">
        <v>0</v>
      </c>
      <c r="M201" s="555">
        <v>0</v>
      </c>
      <c r="V201" s="555">
        <v>0</v>
      </c>
      <c r="W201" s="555">
        <v>0</v>
      </c>
      <c r="AA201" s="555">
        <v>0</v>
      </c>
      <c r="AE201" s="555">
        <v>0</v>
      </c>
      <c r="AG201" s="555">
        <v>0</v>
      </c>
      <c r="AI201" s="555">
        <v>0</v>
      </c>
      <c r="AK201" s="555">
        <v>0</v>
      </c>
      <c r="AN201" s="555">
        <v>39655</v>
      </c>
      <c r="AR201" s="555">
        <v>0</v>
      </c>
      <c r="AY201" s="555">
        <v>0</v>
      </c>
      <c r="BA201" s="555">
        <v>0</v>
      </c>
      <c r="BC201" s="555">
        <v>0</v>
      </c>
      <c r="BH201" s="555">
        <v>0</v>
      </c>
      <c r="BI201" s="555">
        <v>0</v>
      </c>
      <c r="BJ201" s="555">
        <v>0</v>
      </c>
      <c r="BM201" s="555">
        <v>0</v>
      </c>
      <c r="BN201" s="555">
        <v>0</v>
      </c>
      <c r="BS201" s="555">
        <v>0</v>
      </c>
      <c r="CD201" s="555">
        <v>0</v>
      </c>
      <c r="CE201" s="555">
        <v>11098</v>
      </c>
      <c r="CG201" s="555">
        <v>0</v>
      </c>
      <c r="CJ201" s="555">
        <v>12924</v>
      </c>
      <c r="CK201" s="555">
        <v>0</v>
      </c>
      <c r="CM201" s="555">
        <v>8772</v>
      </c>
      <c r="CR201" s="555">
        <v>0</v>
      </c>
    </row>
    <row r="202" spans="1:99" s="555" customFormat="1" x14ac:dyDescent="0.3">
      <c r="A202" s="558">
        <v>663</v>
      </c>
      <c r="B202" s="555" t="s">
        <v>974</v>
      </c>
      <c r="F202" s="555">
        <v>0</v>
      </c>
      <c r="H202" s="555">
        <v>0</v>
      </c>
      <c r="M202" s="555">
        <v>4334822</v>
      </c>
      <c r="V202" s="555">
        <v>0</v>
      </c>
      <c r="W202" s="555">
        <v>0</v>
      </c>
      <c r="AA202" s="555">
        <v>0</v>
      </c>
      <c r="AE202" s="555">
        <v>0</v>
      </c>
      <c r="AG202" s="555">
        <v>0</v>
      </c>
      <c r="AI202" s="555">
        <v>0</v>
      </c>
      <c r="AK202" s="555">
        <v>0</v>
      </c>
      <c r="AN202" s="555">
        <v>7704</v>
      </c>
      <c r="AR202" s="555">
        <v>0</v>
      </c>
      <c r="AY202" s="555">
        <v>0</v>
      </c>
      <c r="BA202" s="555">
        <v>39080</v>
      </c>
      <c r="BC202" s="555">
        <v>0</v>
      </c>
      <c r="BH202" s="555">
        <v>0</v>
      </c>
      <c r="BI202" s="555">
        <v>0</v>
      </c>
      <c r="BJ202" s="555">
        <v>45000</v>
      </c>
      <c r="BM202" s="555">
        <v>0</v>
      </c>
      <c r="BN202" s="555">
        <v>0</v>
      </c>
      <c r="BS202" s="555">
        <v>0</v>
      </c>
      <c r="CD202" s="555">
        <v>0</v>
      </c>
      <c r="CE202" s="555">
        <v>765771</v>
      </c>
      <c r="CG202" s="555">
        <v>0</v>
      </c>
      <c r="CJ202" s="555">
        <v>14234672</v>
      </c>
      <c r="CK202" s="555">
        <v>0</v>
      </c>
      <c r="CM202" s="555">
        <v>0</v>
      </c>
      <c r="CR202" s="555">
        <v>0</v>
      </c>
    </row>
    <row r="203" spans="1:99" s="557" customFormat="1" x14ac:dyDescent="0.3">
      <c r="A203" s="556">
        <v>906</v>
      </c>
      <c r="B203" s="557" t="s">
        <v>975</v>
      </c>
      <c r="D203" s="557">
        <v>1</v>
      </c>
      <c r="E203" s="557">
        <v>1</v>
      </c>
      <c r="F203" s="557">
        <v>1</v>
      </c>
      <c r="G203" s="557">
        <v>1</v>
      </c>
      <c r="H203" s="557">
        <v>1</v>
      </c>
      <c r="I203" s="557">
        <v>1</v>
      </c>
      <c r="J203" s="557">
        <v>1</v>
      </c>
      <c r="L203" s="557">
        <v>1</v>
      </c>
      <c r="M203" s="557">
        <v>1</v>
      </c>
      <c r="O203" s="557">
        <v>1</v>
      </c>
      <c r="P203" s="557">
        <v>1</v>
      </c>
      <c r="Q203" s="557">
        <v>1</v>
      </c>
      <c r="R203" s="557">
        <v>1</v>
      </c>
      <c r="S203" s="557">
        <v>1</v>
      </c>
      <c r="T203" s="557">
        <v>1</v>
      </c>
      <c r="U203" s="557">
        <v>1</v>
      </c>
      <c r="V203" s="557">
        <v>1</v>
      </c>
      <c r="W203" s="557">
        <v>1</v>
      </c>
      <c r="X203" s="557">
        <v>1</v>
      </c>
      <c r="Y203" s="557">
        <v>1</v>
      </c>
      <c r="Z203" s="557">
        <v>1</v>
      </c>
      <c r="AA203" s="557">
        <v>1</v>
      </c>
      <c r="AB203" s="557">
        <v>1</v>
      </c>
      <c r="AC203" s="557">
        <v>1</v>
      </c>
      <c r="AE203" s="557">
        <v>1</v>
      </c>
      <c r="AF203" s="557">
        <v>1</v>
      </c>
      <c r="AG203" s="557">
        <v>1</v>
      </c>
      <c r="AH203" s="557">
        <v>1</v>
      </c>
      <c r="AI203" s="557">
        <v>1</v>
      </c>
      <c r="AJ203" s="557">
        <v>1</v>
      </c>
      <c r="AK203" s="557">
        <v>1</v>
      </c>
      <c r="AL203" s="557">
        <v>1</v>
      </c>
      <c r="AM203" s="557">
        <v>1</v>
      </c>
      <c r="AN203" s="557">
        <v>1</v>
      </c>
      <c r="AO203" s="557">
        <v>1</v>
      </c>
      <c r="AP203" s="557">
        <v>1</v>
      </c>
      <c r="AQ203" s="557">
        <v>1</v>
      </c>
      <c r="AR203" s="557">
        <v>1</v>
      </c>
      <c r="AS203" s="557">
        <v>1</v>
      </c>
      <c r="AT203" s="557">
        <v>1</v>
      </c>
      <c r="AU203" s="557">
        <v>1</v>
      </c>
      <c r="AV203" s="557">
        <v>1</v>
      </c>
      <c r="AW203" s="557">
        <v>1</v>
      </c>
      <c r="AX203" s="557">
        <v>1</v>
      </c>
      <c r="AY203" s="557">
        <v>1</v>
      </c>
      <c r="AZ203" s="557">
        <v>1</v>
      </c>
      <c r="BA203" s="557">
        <v>1</v>
      </c>
      <c r="BB203" s="557">
        <v>1</v>
      </c>
      <c r="BC203" s="557">
        <v>1</v>
      </c>
      <c r="BD203" s="557">
        <v>1</v>
      </c>
      <c r="BE203" s="557">
        <v>1</v>
      </c>
      <c r="BF203" s="557">
        <v>1</v>
      </c>
      <c r="BG203" s="557">
        <v>1</v>
      </c>
      <c r="BH203" s="557">
        <v>1</v>
      </c>
      <c r="BI203" s="557">
        <v>1</v>
      </c>
      <c r="BJ203" s="557">
        <v>1</v>
      </c>
      <c r="BK203" s="557">
        <v>1</v>
      </c>
      <c r="BL203" s="557">
        <v>1</v>
      </c>
      <c r="BM203" s="557">
        <v>2</v>
      </c>
      <c r="BN203" s="557">
        <v>1</v>
      </c>
      <c r="BO203" s="557">
        <v>1</v>
      </c>
      <c r="BP203" s="557">
        <v>1</v>
      </c>
      <c r="BQ203" s="557">
        <v>1</v>
      </c>
      <c r="BR203" s="557">
        <v>1</v>
      </c>
      <c r="BS203" s="557">
        <v>1</v>
      </c>
      <c r="BT203" s="557">
        <v>1</v>
      </c>
      <c r="BU203" s="557">
        <v>1</v>
      </c>
      <c r="BV203" s="557">
        <v>1</v>
      </c>
      <c r="BW203" s="557">
        <v>1</v>
      </c>
      <c r="BZ203" s="557">
        <v>1</v>
      </c>
      <c r="CA203" s="557">
        <v>1</v>
      </c>
      <c r="CC203" s="557">
        <v>1</v>
      </c>
      <c r="CD203" s="557">
        <v>1</v>
      </c>
      <c r="CE203" s="557">
        <v>1</v>
      </c>
      <c r="CF203" s="557">
        <v>1</v>
      </c>
      <c r="CG203" s="557">
        <v>1</v>
      </c>
      <c r="CH203" s="557">
        <v>1</v>
      </c>
      <c r="CI203" s="557">
        <v>1</v>
      </c>
      <c r="CJ203" s="557">
        <v>1</v>
      </c>
      <c r="CK203" s="557">
        <v>1</v>
      </c>
      <c r="CL203" s="557">
        <v>1</v>
      </c>
      <c r="CM203" s="557">
        <v>1</v>
      </c>
      <c r="CN203" s="557">
        <v>1</v>
      </c>
      <c r="CO203" s="557">
        <v>1</v>
      </c>
      <c r="CP203" s="557">
        <v>1</v>
      </c>
      <c r="CQ203" s="557">
        <v>1</v>
      </c>
      <c r="CR203" s="557">
        <v>1</v>
      </c>
      <c r="CS203" s="557">
        <v>1</v>
      </c>
    </row>
    <row r="204" spans="1:99" s="557" customFormat="1" x14ac:dyDescent="0.3">
      <c r="A204" s="556">
        <v>907</v>
      </c>
      <c r="B204" s="557" t="s">
        <v>976</v>
      </c>
      <c r="D204" s="557">
        <v>1</v>
      </c>
      <c r="E204" s="557">
        <v>2</v>
      </c>
      <c r="F204" s="557">
        <v>2</v>
      </c>
      <c r="G204" s="557">
        <v>1</v>
      </c>
      <c r="H204" s="557">
        <v>2</v>
      </c>
      <c r="I204" s="557">
        <v>2</v>
      </c>
      <c r="J204" s="557">
        <v>2</v>
      </c>
      <c r="L204" s="557">
        <v>1</v>
      </c>
      <c r="M204" s="557">
        <v>2</v>
      </c>
      <c r="O204" s="557">
        <v>1</v>
      </c>
      <c r="P204" s="557">
        <v>1</v>
      </c>
      <c r="Q204" s="557">
        <v>2</v>
      </c>
      <c r="R204" s="557">
        <v>2</v>
      </c>
      <c r="S204" s="557">
        <v>2</v>
      </c>
      <c r="T204" s="557">
        <v>1</v>
      </c>
      <c r="U204" s="557">
        <v>2</v>
      </c>
      <c r="V204" s="557">
        <v>2</v>
      </c>
      <c r="W204" s="557">
        <v>2</v>
      </c>
      <c r="X204" s="557">
        <v>2</v>
      </c>
      <c r="Y204" s="557">
        <v>1</v>
      </c>
      <c r="Z204" s="557">
        <v>2</v>
      </c>
      <c r="AA204" s="557">
        <v>2</v>
      </c>
      <c r="AB204" s="557">
        <v>1</v>
      </c>
      <c r="AC204" s="557">
        <v>2</v>
      </c>
      <c r="AE204" s="557">
        <v>1</v>
      </c>
      <c r="AF204" s="557">
        <v>1</v>
      </c>
      <c r="AG204" s="557">
        <v>1</v>
      </c>
      <c r="AH204" s="557">
        <v>2</v>
      </c>
      <c r="AI204" s="557">
        <v>2</v>
      </c>
      <c r="AJ204" s="557">
        <v>2</v>
      </c>
      <c r="AK204" s="557">
        <v>1</v>
      </c>
      <c r="AL204" s="557">
        <v>2</v>
      </c>
      <c r="AM204" s="557">
        <v>2</v>
      </c>
      <c r="AN204" s="557">
        <v>2</v>
      </c>
      <c r="AO204" s="557">
        <v>2</v>
      </c>
      <c r="AP204" s="557">
        <v>1</v>
      </c>
      <c r="AQ204" s="557">
        <v>1</v>
      </c>
      <c r="AR204" s="557">
        <v>2</v>
      </c>
      <c r="AS204" s="557">
        <v>1</v>
      </c>
      <c r="AT204" s="557">
        <v>2</v>
      </c>
      <c r="AU204" s="557">
        <v>1</v>
      </c>
      <c r="AV204" s="557">
        <v>1</v>
      </c>
      <c r="AW204" s="557">
        <v>1</v>
      </c>
      <c r="AX204" s="557">
        <v>1</v>
      </c>
      <c r="AY204" s="557">
        <v>1</v>
      </c>
      <c r="AZ204" s="557">
        <v>1</v>
      </c>
      <c r="BA204" s="557">
        <v>2</v>
      </c>
      <c r="BB204" s="557">
        <v>1</v>
      </c>
      <c r="BC204" s="557">
        <v>2</v>
      </c>
      <c r="BD204" s="557">
        <v>2</v>
      </c>
      <c r="BE204" s="557">
        <v>1</v>
      </c>
      <c r="BF204" s="557">
        <v>2</v>
      </c>
      <c r="BG204" s="557">
        <v>1</v>
      </c>
      <c r="BH204" s="557">
        <v>2</v>
      </c>
      <c r="BI204" s="557">
        <v>2</v>
      </c>
      <c r="BJ204" s="557">
        <v>2</v>
      </c>
      <c r="BK204" s="557">
        <v>2</v>
      </c>
      <c r="BL204" s="557">
        <v>2</v>
      </c>
      <c r="BM204" s="557">
        <v>2</v>
      </c>
      <c r="BN204" s="557">
        <v>2</v>
      </c>
      <c r="BO204" s="557">
        <v>2</v>
      </c>
      <c r="BP204" s="557">
        <v>1</v>
      </c>
      <c r="BQ204" s="557">
        <v>2</v>
      </c>
      <c r="BR204" s="557">
        <v>2</v>
      </c>
      <c r="BS204" s="557">
        <v>2</v>
      </c>
      <c r="BT204" s="557">
        <v>1</v>
      </c>
      <c r="BU204" s="557">
        <v>2</v>
      </c>
      <c r="BV204" s="557">
        <v>2</v>
      </c>
      <c r="BW204" s="557">
        <v>1</v>
      </c>
      <c r="BZ204" s="557">
        <v>2</v>
      </c>
      <c r="CA204" s="557">
        <v>1</v>
      </c>
      <c r="CC204" s="557">
        <v>2</v>
      </c>
      <c r="CD204" s="557">
        <v>2</v>
      </c>
      <c r="CE204" s="557">
        <v>2</v>
      </c>
      <c r="CF204" s="557">
        <v>2</v>
      </c>
      <c r="CG204" s="557">
        <v>2</v>
      </c>
      <c r="CH204" s="557">
        <v>2</v>
      </c>
      <c r="CI204" s="557">
        <v>2</v>
      </c>
      <c r="CJ204" s="557">
        <v>2</v>
      </c>
      <c r="CK204" s="557">
        <v>2</v>
      </c>
      <c r="CL204" s="557">
        <v>2</v>
      </c>
      <c r="CM204" s="557">
        <v>2</v>
      </c>
      <c r="CN204" s="557">
        <v>1</v>
      </c>
      <c r="CO204" s="557">
        <v>1</v>
      </c>
      <c r="CP204" s="557">
        <v>2</v>
      </c>
      <c r="CQ204" s="557">
        <v>1</v>
      </c>
      <c r="CR204" s="557">
        <v>2</v>
      </c>
      <c r="CS204" s="557">
        <v>2</v>
      </c>
    </row>
    <row r="205" spans="1:99" x14ac:dyDescent="0.3">
      <c r="A205" s="155">
        <v>947</v>
      </c>
      <c r="B205" s="180" t="s">
        <v>977</v>
      </c>
      <c r="C205" s="180"/>
      <c r="D205" s="180" t="s">
        <v>2688</v>
      </c>
      <c r="E205" s="180" t="s">
        <v>2689</v>
      </c>
      <c r="F205" s="180" t="s">
        <v>2172</v>
      </c>
      <c r="G205" s="180" t="s">
        <v>2173</v>
      </c>
      <c r="H205" s="180" t="s">
        <v>2174</v>
      </c>
      <c r="I205" s="180" t="s">
        <v>2175</v>
      </c>
      <c r="J205" s="180" t="s">
        <v>2176</v>
      </c>
      <c r="K205" s="180"/>
      <c r="L205" s="180" t="s">
        <v>2178</v>
      </c>
      <c r="M205" s="180" t="s">
        <v>2010</v>
      </c>
      <c r="N205" s="180"/>
      <c r="O205" s="180" t="s">
        <v>2179</v>
      </c>
      <c r="P205" s="180" t="s">
        <v>2032</v>
      </c>
      <c r="Q205" s="180" t="s">
        <v>2690</v>
      </c>
      <c r="R205" s="180" t="s">
        <v>2063</v>
      </c>
      <c r="S205" s="180" t="s">
        <v>2180</v>
      </c>
      <c r="T205" s="180" t="s">
        <v>979</v>
      </c>
      <c r="U205" s="180" t="s">
        <v>2181</v>
      </c>
      <c r="V205" s="180" t="s">
        <v>2182</v>
      </c>
      <c r="W205" s="180" t="s">
        <v>1676</v>
      </c>
      <c r="X205" s="180" t="s">
        <v>2183</v>
      </c>
      <c r="Y205" s="180" t="s">
        <v>2184</v>
      </c>
      <c r="Z205" s="180" t="s">
        <v>2034</v>
      </c>
      <c r="AA205" s="180" t="s">
        <v>2185</v>
      </c>
      <c r="AB205" s="180" t="s">
        <v>2186</v>
      </c>
      <c r="AC205" s="180" t="s">
        <v>2058</v>
      </c>
      <c r="AD205" s="180"/>
      <c r="AE205" s="180" t="s">
        <v>2187</v>
      </c>
      <c r="AF205" s="180" t="s">
        <v>2188</v>
      </c>
      <c r="AG205" s="180" t="s">
        <v>2033</v>
      </c>
      <c r="AH205" s="180" t="s">
        <v>2099</v>
      </c>
      <c r="AI205" s="180" t="s">
        <v>2061</v>
      </c>
      <c r="AJ205" s="180" t="s">
        <v>2100</v>
      </c>
      <c r="AK205" s="180" t="s">
        <v>2190</v>
      </c>
      <c r="AL205" s="180" t="s">
        <v>2022</v>
      </c>
      <c r="AM205" s="180" t="s">
        <v>2192</v>
      </c>
      <c r="AN205" s="180" t="s">
        <v>2193</v>
      </c>
      <c r="AO205" s="180" t="s">
        <v>2691</v>
      </c>
      <c r="AP205" s="180" t="s">
        <v>2195</v>
      </c>
      <c r="AQ205" s="180" t="s">
        <v>2196</v>
      </c>
      <c r="AR205" s="180" t="s">
        <v>2197</v>
      </c>
      <c r="AS205" s="180" t="s">
        <v>2009</v>
      </c>
      <c r="AT205" s="180" t="s">
        <v>2198</v>
      </c>
      <c r="AU205" s="180" t="s">
        <v>2199</v>
      </c>
      <c r="AV205" s="180" t="s">
        <v>2200</v>
      </c>
      <c r="AW205" s="180" t="s">
        <v>2201</v>
      </c>
      <c r="AX205" s="180" t="s">
        <v>2177</v>
      </c>
      <c r="AY205" s="180" t="s">
        <v>1676</v>
      </c>
      <c r="AZ205" s="180" t="s">
        <v>2692</v>
      </c>
      <c r="BA205" s="180" t="s">
        <v>2203</v>
      </c>
      <c r="BB205" s="180" t="s">
        <v>2102</v>
      </c>
      <c r="BC205" s="180" t="s">
        <v>2204</v>
      </c>
      <c r="BD205" s="180" t="s">
        <v>2205</v>
      </c>
      <c r="BE205" s="180" t="s">
        <v>2059</v>
      </c>
      <c r="BF205" s="180" t="s">
        <v>2693</v>
      </c>
      <c r="BG205" s="180" t="s">
        <v>2207</v>
      </c>
      <c r="BH205" s="180" t="s">
        <v>2208</v>
      </c>
      <c r="BI205" s="180" t="s">
        <v>2694</v>
      </c>
      <c r="BJ205" s="180" t="s">
        <v>2695</v>
      </c>
      <c r="BK205" s="180" t="s">
        <v>2211</v>
      </c>
      <c r="BL205" s="180" t="s">
        <v>2212</v>
      </c>
      <c r="BM205" s="180" t="s">
        <v>2213</v>
      </c>
      <c r="BN205" s="180" t="s">
        <v>2214</v>
      </c>
      <c r="BO205" s="180" t="s">
        <v>2215</v>
      </c>
      <c r="BP205" s="180" t="s">
        <v>2191</v>
      </c>
      <c r="BQ205" s="180" t="s">
        <v>2216</v>
      </c>
      <c r="BR205" s="180" t="s">
        <v>2217</v>
      </c>
      <c r="BS205" s="180" t="s">
        <v>2246</v>
      </c>
      <c r="BT205" s="180" t="s">
        <v>2219</v>
      </c>
      <c r="BU205" s="180" t="s">
        <v>2220</v>
      </c>
      <c r="BV205" s="180" t="s">
        <v>2221</v>
      </c>
      <c r="BW205" s="180" t="s">
        <v>2177</v>
      </c>
      <c r="BX205" s="180"/>
      <c r="BY205" s="180"/>
      <c r="BZ205" s="180" t="s">
        <v>2223</v>
      </c>
      <c r="CA205" s="180" t="s">
        <v>2077</v>
      </c>
      <c r="CB205" s="180"/>
      <c r="CC205" s="180" t="s">
        <v>2696</v>
      </c>
      <c r="CD205" s="180" t="s">
        <v>2097</v>
      </c>
      <c r="CE205" s="180" t="s">
        <v>978</v>
      </c>
      <c r="CF205" s="180" t="s">
        <v>2225</v>
      </c>
      <c r="CG205" s="180" t="s">
        <v>2226</v>
      </c>
      <c r="CH205" s="180" t="s">
        <v>2191</v>
      </c>
      <c r="CI205" s="180" t="s">
        <v>2101</v>
      </c>
      <c r="CJ205" s="180" t="s">
        <v>2108</v>
      </c>
      <c r="CK205" s="180" t="s">
        <v>2036</v>
      </c>
      <c r="CL205" s="180" t="s">
        <v>2229</v>
      </c>
      <c r="CM205" s="180" t="s">
        <v>2230</v>
      </c>
      <c r="CN205" s="180" t="s">
        <v>2231</v>
      </c>
      <c r="CO205" s="180" t="s">
        <v>2011</v>
      </c>
      <c r="CP205" s="180" t="s">
        <v>2064</v>
      </c>
      <c r="CQ205" s="180" t="s">
        <v>2233</v>
      </c>
      <c r="CR205" s="180" t="s">
        <v>2234</v>
      </c>
      <c r="CS205" s="180" t="s">
        <v>2235</v>
      </c>
      <c r="CT205" s="180"/>
      <c r="CU205" s="180"/>
    </row>
    <row r="206" spans="1:99" x14ac:dyDescent="0.3">
      <c r="A206" s="155">
        <v>948</v>
      </c>
      <c r="B206" s="180" t="s">
        <v>980</v>
      </c>
      <c r="C206" s="180"/>
      <c r="D206" s="180" t="s">
        <v>2212</v>
      </c>
      <c r="E206" s="180" t="s">
        <v>2697</v>
      </c>
      <c r="F206" s="180" t="s">
        <v>2698</v>
      </c>
      <c r="G206" s="180" t="s">
        <v>2239</v>
      </c>
      <c r="H206" s="180" t="s">
        <v>2240</v>
      </c>
      <c r="I206" s="180" t="s">
        <v>2241</v>
      </c>
      <c r="J206" s="180" t="s">
        <v>2242</v>
      </c>
      <c r="K206" s="180"/>
      <c r="L206" s="180" t="s">
        <v>2244</v>
      </c>
      <c r="M206" s="180" t="s">
        <v>2699</v>
      </c>
      <c r="N206" s="180"/>
      <c r="O206" s="180" t="s">
        <v>2246</v>
      </c>
      <c r="P206" s="180" t="s">
        <v>2247</v>
      </c>
      <c r="Q206" s="180" t="s">
        <v>2079</v>
      </c>
      <c r="R206" s="180" t="s">
        <v>2249</v>
      </c>
      <c r="S206" s="180" t="s">
        <v>2250</v>
      </c>
      <c r="T206" s="180" t="s">
        <v>2106</v>
      </c>
      <c r="U206" s="180" t="s">
        <v>2251</v>
      </c>
      <c r="V206" s="180" t="s">
        <v>2700</v>
      </c>
      <c r="W206" s="180" t="s">
        <v>2253</v>
      </c>
      <c r="X206" s="180" t="s">
        <v>2141</v>
      </c>
      <c r="Y206" s="180" t="s">
        <v>2254</v>
      </c>
      <c r="Z206" s="180" t="s">
        <v>2255</v>
      </c>
      <c r="AA206" s="180" t="s">
        <v>2256</v>
      </c>
      <c r="AB206" s="180" t="s">
        <v>2257</v>
      </c>
      <c r="AC206" s="180" t="s">
        <v>2258</v>
      </c>
      <c r="AD206" s="180"/>
      <c r="AE206" s="180" t="s">
        <v>2107</v>
      </c>
      <c r="AF206" s="180" t="s">
        <v>2260</v>
      </c>
      <c r="AG206" s="180" t="s">
        <v>2261</v>
      </c>
      <c r="AH206" s="180" t="s">
        <v>2262</v>
      </c>
      <c r="AI206" s="180" t="s">
        <v>2263</v>
      </c>
      <c r="AJ206" s="180" t="s">
        <v>2701</v>
      </c>
      <c r="AK206" s="180" t="s">
        <v>2265</v>
      </c>
      <c r="AL206" s="180" t="s">
        <v>2105</v>
      </c>
      <c r="AM206" s="180" t="s">
        <v>2267</v>
      </c>
      <c r="AN206" s="180" t="s">
        <v>2268</v>
      </c>
      <c r="AO206" s="180" t="s">
        <v>2702</v>
      </c>
      <c r="AP206" s="180" t="s">
        <v>2270</v>
      </c>
      <c r="AQ206" s="180" t="s">
        <v>2271</v>
      </c>
      <c r="AR206" s="180" t="s">
        <v>2272</v>
      </c>
      <c r="AS206" s="180" t="s">
        <v>2273</v>
      </c>
      <c r="AT206" s="180" t="s">
        <v>2274</v>
      </c>
      <c r="AU206" s="180" t="s">
        <v>2275</v>
      </c>
      <c r="AV206" s="180" t="s">
        <v>2276</v>
      </c>
      <c r="AW206" s="180" t="s">
        <v>2277</v>
      </c>
      <c r="AX206" s="180" t="s">
        <v>2278</v>
      </c>
      <c r="AY206" s="180" t="s">
        <v>2104</v>
      </c>
      <c r="AZ206" s="180" t="s">
        <v>2703</v>
      </c>
      <c r="BA206" s="180" t="s">
        <v>2280</v>
      </c>
      <c r="BB206" s="180" t="s">
        <v>2281</v>
      </c>
      <c r="BC206" s="180" t="s">
        <v>2012</v>
      </c>
      <c r="BD206" s="180" t="s">
        <v>2282</v>
      </c>
      <c r="BE206" s="180" t="s">
        <v>2255</v>
      </c>
      <c r="BF206" s="180" t="s">
        <v>2704</v>
      </c>
      <c r="BG206" s="180" t="s">
        <v>2284</v>
      </c>
      <c r="BH206" s="180" t="s">
        <v>2285</v>
      </c>
      <c r="BI206" s="180" t="s">
        <v>2705</v>
      </c>
      <c r="BJ206" s="180" t="s">
        <v>2287</v>
      </c>
      <c r="BK206" s="180" t="s">
        <v>2078</v>
      </c>
      <c r="BL206" s="180" t="s">
        <v>2288</v>
      </c>
      <c r="BM206" s="180" t="s">
        <v>2706</v>
      </c>
      <c r="BN206" s="180" t="s">
        <v>2290</v>
      </c>
      <c r="BO206" s="180" t="s">
        <v>2291</v>
      </c>
      <c r="BP206" s="180" t="s">
        <v>2292</v>
      </c>
      <c r="BQ206" s="180" t="s">
        <v>2293</v>
      </c>
      <c r="BR206" s="180" t="s">
        <v>2294</v>
      </c>
      <c r="BS206" s="180" t="s">
        <v>2141</v>
      </c>
      <c r="BT206" s="180" t="s">
        <v>2295</v>
      </c>
      <c r="BU206" s="180" t="s">
        <v>2142</v>
      </c>
      <c r="BV206" s="180" t="s">
        <v>2296</v>
      </c>
      <c r="BW206" s="180" t="s">
        <v>1134</v>
      </c>
      <c r="BX206" s="180"/>
      <c r="BY206" s="180"/>
      <c r="BZ206" s="180" t="s">
        <v>2013</v>
      </c>
      <c r="CA206" s="180" t="s">
        <v>2297</v>
      </c>
      <c r="CB206" s="180"/>
      <c r="CC206" s="180" t="s">
        <v>2707</v>
      </c>
      <c r="CD206" s="180" t="s">
        <v>2300</v>
      </c>
      <c r="CE206" s="180" t="s">
        <v>2301</v>
      </c>
      <c r="CF206" s="180" t="s">
        <v>1135</v>
      </c>
      <c r="CG206" s="180" t="s">
        <v>2302</v>
      </c>
      <c r="CH206" s="180" t="s">
        <v>2708</v>
      </c>
      <c r="CI206" s="180" t="s">
        <v>2303</v>
      </c>
      <c r="CJ206" s="180" t="s">
        <v>2709</v>
      </c>
      <c r="CK206" s="180" t="s">
        <v>2710</v>
      </c>
      <c r="CL206" s="180" t="s">
        <v>2104</v>
      </c>
      <c r="CM206" s="180" t="s">
        <v>2306</v>
      </c>
      <c r="CN206" s="180" t="s">
        <v>2307</v>
      </c>
      <c r="CO206" s="180" t="s">
        <v>2711</v>
      </c>
      <c r="CP206" s="180" t="s">
        <v>2309</v>
      </c>
      <c r="CQ206" s="180" t="s">
        <v>2310</v>
      </c>
      <c r="CR206" s="180" t="s">
        <v>2712</v>
      </c>
      <c r="CS206" s="180" t="s">
        <v>2312</v>
      </c>
      <c r="CT206" s="180"/>
      <c r="CU206" s="180"/>
    </row>
    <row r="207" spans="1:99" x14ac:dyDescent="0.3">
      <c r="A207" s="155">
        <v>949</v>
      </c>
      <c r="B207" s="180" t="s">
        <v>981</v>
      </c>
      <c r="C207" s="180"/>
      <c r="D207" s="180" t="s">
        <v>413</v>
      </c>
      <c r="E207" s="180" t="s">
        <v>413</v>
      </c>
      <c r="F207" s="180" t="s">
        <v>413</v>
      </c>
      <c r="G207" s="180" t="s">
        <v>413</v>
      </c>
      <c r="H207" s="180" t="s">
        <v>413</v>
      </c>
      <c r="I207" s="180" t="s">
        <v>413</v>
      </c>
      <c r="J207" s="180" t="s">
        <v>413</v>
      </c>
      <c r="K207" s="180"/>
      <c r="L207" s="180" t="s">
        <v>413</v>
      </c>
      <c r="M207" s="180" t="s">
        <v>431</v>
      </c>
      <c r="N207" s="180"/>
      <c r="O207" s="180" t="s">
        <v>413</v>
      </c>
      <c r="P207" s="180" t="s">
        <v>413</v>
      </c>
      <c r="Q207" s="180" t="s">
        <v>413</v>
      </c>
      <c r="R207" s="180" t="s">
        <v>413</v>
      </c>
      <c r="S207" s="180" t="s">
        <v>413</v>
      </c>
      <c r="T207" s="180" t="s">
        <v>413</v>
      </c>
      <c r="U207" s="180" t="s">
        <v>413</v>
      </c>
      <c r="V207" s="180" t="s">
        <v>413</v>
      </c>
      <c r="W207" s="180" t="s">
        <v>413</v>
      </c>
      <c r="X207" s="180" t="s">
        <v>413</v>
      </c>
      <c r="Y207" s="180" t="s">
        <v>413</v>
      </c>
      <c r="Z207" s="180" t="s">
        <v>413</v>
      </c>
      <c r="AA207" s="180" t="s">
        <v>413</v>
      </c>
      <c r="AB207" s="180" t="s">
        <v>413</v>
      </c>
      <c r="AC207" s="180" t="s">
        <v>413</v>
      </c>
      <c r="AD207" s="180"/>
      <c r="AE207" s="180" t="s">
        <v>413</v>
      </c>
      <c r="AF207" s="180" t="s">
        <v>413</v>
      </c>
      <c r="AG207" s="180" t="s">
        <v>413</v>
      </c>
      <c r="AH207" s="180" t="s">
        <v>413</v>
      </c>
      <c r="AI207" s="180" t="s">
        <v>413</v>
      </c>
      <c r="AJ207" s="180" t="s">
        <v>413</v>
      </c>
      <c r="AK207" s="180" t="s">
        <v>413</v>
      </c>
      <c r="AL207" s="180" t="s">
        <v>413</v>
      </c>
      <c r="AM207" s="180" t="s">
        <v>413</v>
      </c>
      <c r="AN207" s="180" t="s">
        <v>413</v>
      </c>
      <c r="AO207" s="180" t="s">
        <v>413</v>
      </c>
      <c r="AP207" s="180" t="s">
        <v>413</v>
      </c>
      <c r="AQ207" s="180" t="s">
        <v>413</v>
      </c>
      <c r="AR207" s="180" t="s">
        <v>413</v>
      </c>
      <c r="AS207" s="180" t="s">
        <v>413</v>
      </c>
      <c r="AT207" s="180" t="s">
        <v>413</v>
      </c>
      <c r="AU207" s="180" t="s">
        <v>413</v>
      </c>
      <c r="AV207" s="180" t="s">
        <v>413</v>
      </c>
      <c r="AW207" s="180" t="s">
        <v>413</v>
      </c>
      <c r="AX207" s="180" t="s">
        <v>413</v>
      </c>
      <c r="AY207" s="180" t="s">
        <v>413</v>
      </c>
      <c r="AZ207" s="180" t="s">
        <v>413</v>
      </c>
      <c r="BA207" s="180" t="s">
        <v>413</v>
      </c>
      <c r="BB207" s="180" t="s">
        <v>431</v>
      </c>
      <c r="BC207" s="180" t="s">
        <v>413</v>
      </c>
      <c r="BD207" s="180" t="s">
        <v>413</v>
      </c>
      <c r="BE207" s="180" t="s">
        <v>413</v>
      </c>
      <c r="BF207" s="180" t="s">
        <v>413</v>
      </c>
      <c r="BG207" s="180" t="s">
        <v>413</v>
      </c>
      <c r="BH207" s="180" t="s">
        <v>413</v>
      </c>
      <c r="BI207" s="180" t="s">
        <v>413</v>
      </c>
      <c r="BJ207" s="180" t="s">
        <v>413</v>
      </c>
      <c r="BK207" s="180" t="s">
        <v>413</v>
      </c>
      <c r="BL207" s="180" t="s">
        <v>413</v>
      </c>
      <c r="BM207" s="180" t="s">
        <v>413</v>
      </c>
      <c r="BN207" s="180" t="s">
        <v>413</v>
      </c>
      <c r="BO207" s="180" t="s">
        <v>413</v>
      </c>
      <c r="BP207" s="180" t="s">
        <v>413</v>
      </c>
      <c r="BQ207" s="180" t="s">
        <v>413</v>
      </c>
      <c r="BR207" s="180" t="s">
        <v>413</v>
      </c>
      <c r="BS207" s="180" t="s">
        <v>413</v>
      </c>
      <c r="BT207" s="180" t="s">
        <v>413</v>
      </c>
      <c r="BU207" s="180" t="s">
        <v>413</v>
      </c>
      <c r="BV207" s="180" t="s">
        <v>413</v>
      </c>
      <c r="BW207" s="180" t="s">
        <v>413</v>
      </c>
      <c r="BX207" s="180"/>
      <c r="BY207" s="180"/>
      <c r="BZ207" s="180" t="s">
        <v>413</v>
      </c>
      <c r="CA207" s="180" t="s">
        <v>413</v>
      </c>
      <c r="CB207" s="180"/>
      <c r="CC207" s="180" t="s">
        <v>431</v>
      </c>
      <c r="CD207" s="180" t="s">
        <v>413</v>
      </c>
      <c r="CE207" s="180" t="s">
        <v>413</v>
      </c>
      <c r="CF207" s="180" t="s">
        <v>413</v>
      </c>
      <c r="CG207" s="180" t="s">
        <v>413</v>
      </c>
      <c r="CH207" s="180" t="s">
        <v>413</v>
      </c>
      <c r="CI207" s="180" t="s">
        <v>413</v>
      </c>
      <c r="CJ207" s="180" t="s">
        <v>413</v>
      </c>
      <c r="CK207" s="180" t="s">
        <v>413</v>
      </c>
      <c r="CL207" s="180" t="s">
        <v>413</v>
      </c>
      <c r="CM207" s="180" t="s">
        <v>413</v>
      </c>
      <c r="CN207" s="180" t="s">
        <v>413</v>
      </c>
      <c r="CO207" s="180" t="s">
        <v>413</v>
      </c>
      <c r="CP207" s="180" t="s">
        <v>413</v>
      </c>
      <c r="CQ207" s="180" t="s">
        <v>431</v>
      </c>
      <c r="CR207" s="180" t="s">
        <v>413</v>
      </c>
      <c r="CS207" s="180" t="s">
        <v>413</v>
      </c>
      <c r="CT207" s="180"/>
      <c r="CU207" s="180"/>
    </row>
    <row r="208" spans="1:99" x14ac:dyDescent="0.3">
      <c r="A208" s="155">
        <v>950</v>
      </c>
      <c r="B208" s="180" t="s">
        <v>982</v>
      </c>
      <c r="C208" s="180"/>
      <c r="D208" s="180" t="s">
        <v>50</v>
      </c>
      <c r="E208" s="180" t="s">
        <v>50</v>
      </c>
      <c r="F208" s="180" t="s">
        <v>50</v>
      </c>
      <c r="G208" s="180" t="s">
        <v>50</v>
      </c>
      <c r="H208" s="180" t="s">
        <v>50</v>
      </c>
      <c r="I208" s="180" t="s">
        <v>50</v>
      </c>
      <c r="J208" s="180" t="s">
        <v>50</v>
      </c>
      <c r="K208" s="180"/>
      <c r="L208" s="180" t="s">
        <v>50</v>
      </c>
      <c r="M208" s="180" t="s">
        <v>50</v>
      </c>
      <c r="N208" s="180"/>
      <c r="O208" s="180" t="s">
        <v>50</v>
      </c>
      <c r="P208" s="180" t="s">
        <v>50</v>
      </c>
      <c r="Q208" s="180" t="s">
        <v>50</v>
      </c>
      <c r="R208" s="180" t="s">
        <v>50</v>
      </c>
      <c r="S208" s="180" t="s">
        <v>50</v>
      </c>
      <c r="T208" s="180" t="s">
        <v>50</v>
      </c>
      <c r="U208" s="180" t="s">
        <v>50</v>
      </c>
      <c r="V208" s="180" t="s">
        <v>50</v>
      </c>
      <c r="W208" s="180" t="s">
        <v>50</v>
      </c>
      <c r="X208" s="180" t="s">
        <v>50</v>
      </c>
      <c r="Y208" s="180" t="s">
        <v>50</v>
      </c>
      <c r="Z208" s="180" t="s">
        <v>50</v>
      </c>
      <c r="AA208" s="180" t="s">
        <v>50</v>
      </c>
      <c r="AB208" s="180" t="s">
        <v>50</v>
      </c>
      <c r="AC208" s="180" t="s">
        <v>50</v>
      </c>
      <c r="AD208" s="180"/>
      <c r="AE208" s="180" t="s">
        <v>50</v>
      </c>
      <c r="AF208" s="180" t="s">
        <v>51</v>
      </c>
      <c r="AG208" s="180" t="s">
        <v>50</v>
      </c>
      <c r="AH208" s="180" t="s">
        <v>50</v>
      </c>
      <c r="AI208" s="180" t="s">
        <v>50</v>
      </c>
      <c r="AJ208" s="180" t="s">
        <v>50</v>
      </c>
      <c r="AK208" s="180" t="s">
        <v>50</v>
      </c>
      <c r="AL208" s="180" t="s">
        <v>50</v>
      </c>
      <c r="AM208" s="180" t="s">
        <v>50</v>
      </c>
      <c r="AN208" s="180" t="s">
        <v>50</v>
      </c>
      <c r="AO208" s="180" t="s">
        <v>50</v>
      </c>
      <c r="AP208" s="180" t="s">
        <v>50</v>
      </c>
      <c r="AQ208" s="180" t="s">
        <v>50</v>
      </c>
      <c r="AR208" s="180" t="s">
        <v>50</v>
      </c>
      <c r="AS208" s="180" t="s">
        <v>50</v>
      </c>
      <c r="AT208" s="180" t="s">
        <v>50</v>
      </c>
      <c r="AU208" s="180" t="s">
        <v>50</v>
      </c>
      <c r="AV208" s="180" t="s">
        <v>50</v>
      </c>
      <c r="AW208" s="180" t="s">
        <v>50</v>
      </c>
      <c r="AX208" s="180" t="s">
        <v>50</v>
      </c>
      <c r="AY208" s="180" t="s">
        <v>50</v>
      </c>
      <c r="AZ208" s="180" t="s">
        <v>50</v>
      </c>
      <c r="BA208" s="180" t="s">
        <v>50</v>
      </c>
      <c r="BB208" s="180" t="s">
        <v>50</v>
      </c>
      <c r="BC208" s="180" t="s">
        <v>50</v>
      </c>
      <c r="BD208" s="180" t="s">
        <v>50</v>
      </c>
      <c r="BE208" s="180" t="s">
        <v>50</v>
      </c>
      <c r="BF208" s="180" t="s">
        <v>50</v>
      </c>
      <c r="BG208" s="180" t="s">
        <v>50</v>
      </c>
      <c r="BH208" s="180" t="s">
        <v>50</v>
      </c>
      <c r="BI208" s="180" t="s">
        <v>50</v>
      </c>
      <c r="BJ208" s="180" t="s">
        <v>50</v>
      </c>
      <c r="BK208" s="180" t="s">
        <v>50</v>
      </c>
      <c r="BL208" s="180" t="s">
        <v>50</v>
      </c>
      <c r="BM208" s="180" t="s">
        <v>50</v>
      </c>
      <c r="BN208" s="180" t="s">
        <v>50</v>
      </c>
      <c r="BO208" s="180" t="s">
        <v>50</v>
      </c>
      <c r="BP208" s="180" t="s">
        <v>50</v>
      </c>
      <c r="BQ208" s="180" t="s">
        <v>50</v>
      </c>
      <c r="BR208" s="180" t="s">
        <v>50</v>
      </c>
      <c r="BS208" s="180" t="s">
        <v>50</v>
      </c>
      <c r="BT208" s="180" t="s">
        <v>50</v>
      </c>
      <c r="BU208" s="180" t="s">
        <v>50</v>
      </c>
      <c r="BV208" s="180" t="s">
        <v>50</v>
      </c>
      <c r="BW208" s="180" t="s">
        <v>50</v>
      </c>
      <c r="BX208" s="180"/>
      <c r="BY208" s="180"/>
      <c r="BZ208" s="180" t="s">
        <v>50</v>
      </c>
      <c r="CA208" s="180" t="s">
        <v>50</v>
      </c>
      <c r="CB208" s="180"/>
      <c r="CC208" s="180" t="s">
        <v>50</v>
      </c>
      <c r="CD208" s="180" t="s">
        <v>50</v>
      </c>
      <c r="CE208" s="180" t="s">
        <v>50</v>
      </c>
      <c r="CF208" s="180" t="s">
        <v>50</v>
      </c>
      <c r="CG208" s="180" t="s">
        <v>50</v>
      </c>
      <c r="CH208" s="180" t="s">
        <v>50</v>
      </c>
      <c r="CI208" s="180" t="s">
        <v>50</v>
      </c>
      <c r="CJ208" s="180" t="s">
        <v>50</v>
      </c>
      <c r="CK208" s="180" t="s">
        <v>50</v>
      </c>
      <c r="CL208" s="180" t="s">
        <v>50</v>
      </c>
      <c r="CM208" s="180" t="s">
        <v>50</v>
      </c>
      <c r="CN208" s="180" t="s">
        <v>51</v>
      </c>
      <c r="CO208" s="180" t="s">
        <v>50</v>
      </c>
      <c r="CP208" s="180" t="s">
        <v>50</v>
      </c>
      <c r="CQ208" s="180" t="s">
        <v>50</v>
      </c>
      <c r="CR208" s="180" t="s">
        <v>50</v>
      </c>
      <c r="CS208" s="180" t="s">
        <v>50</v>
      </c>
      <c r="CT208" s="180"/>
      <c r="CU208" s="180"/>
    </row>
    <row r="209" spans="1:99" s="557" customFormat="1" x14ac:dyDescent="0.3">
      <c r="A209" s="556">
        <v>951</v>
      </c>
      <c r="B209" s="557" t="s">
        <v>983</v>
      </c>
      <c r="D209" s="557">
        <v>2</v>
      </c>
      <c r="E209" s="557">
        <v>2</v>
      </c>
      <c r="F209" s="557">
        <v>2</v>
      </c>
      <c r="G209" s="557">
        <v>2</v>
      </c>
      <c r="H209" s="557">
        <v>2</v>
      </c>
      <c r="I209" s="557">
        <v>2</v>
      </c>
      <c r="J209" s="557">
        <v>2</v>
      </c>
      <c r="L209" s="557">
        <v>2</v>
      </c>
      <c r="M209" s="557">
        <v>2</v>
      </c>
      <c r="O209" s="557">
        <v>2</v>
      </c>
      <c r="P209" s="557">
        <v>2</v>
      </c>
      <c r="Q209" s="557">
        <v>2</v>
      </c>
      <c r="R209" s="557">
        <v>2</v>
      </c>
      <c r="S209" s="557">
        <v>2</v>
      </c>
      <c r="T209" s="557">
        <v>2</v>
      </c>
      <c r="U209" s="557">
        <v>2</v>
      </c>
      <c r="V209" s="557">
        <v>2</v>
      </c>
      <c r="W209" s="557">
        <v>2</v>
      </c>
      <c r="X209" s="557">
        <v>2</v>
      </c>
      <c r="Y209" s="557">
        <v>2</v>
      </c>
      <c r="Z209" s="557">
        <v>2</v>
      </c>
      <c r="AA209" s="557">
        <v>2</v>
      </c>
      <c r="AB209" s="557">
        <v>2</v>
      </c>
      <c r="AC209" s="557">
        <v>2</v>
      </c>
      <c r="AE209" s="557">
        <v>2</v>
      </c>
      <c r="AF209" s="557">
        <v>2</v>
      </c>
      <c r="AG209" s="557">
        <v>2</v>
      </c>
      <c r="AH209" s="557">
        <v>2</v>
      </c>
      <c r="AI209" s="557">
        <v>2</v>
      </c>
      <c r="AJ209" s="557">
        <v>2</v>
      </c>
      <c r="AK209" s="557">
        <v>2</v>
      </c>
      <c r="AL209" s="557">
        <v>2</v>
      </c>
      <c r="AM209" s="557">
        <v>2</v>
      </c>
      <c r="AN209" s="557">
        <v>2</v>
      </c>
      <c r="AO209" s="557">
        <v>2</v>
      </c>
      <c r="AP209" s="557">
        <v>2</v>
      </c>
      <c r="AQ209" s="557">
        <v>2</v>
      </c>
      <c r="AR209" s="557">
        <v>2</v>
      </c>
      <c r="AS209" s="557">
        <v>1</v>
      </c>
      <c r="AT209" s="557">
        <v>2</v>
      </c>
      <c r="AU209" s="557">
        <v>2</v>
      </c>
      <c r="AV209" s="557">
        <v>1</v>
      </c>
      <c r="AW209" s="557">
        <v>1</v>
      </c>
      <c r="AX209" s="557">
        <v>2</v>
      </c>
      <c r="AY209" s="557">
        <v>2</v>
      </c>
      <c r="AZ209" s="557">
        <v>2</v>
      </c>
      <c r="BA209" s="557">
        <v>2</v>
      </c>
      <c r="BB209" s="557">
        <v>2</v>
      </c>
      <c r="BC209" s="557">
        <v>2</v>
      </c>
      <c r="BD209" s="557">
        <v>2</v>
      </c>
      <c r="BE209" s="557">
        <v>2</v>
      </c>
      <c r="BF209" s="557">
        <v>2</v>
      </c>
      <c r="BG209" s="557">
        <v>1</v>
      </c>
      <c r="BH209" s="557">
        <v>2</v>
      </c>
      <c r="BI209" s="557">
        <v>2</v>
      </c>
      <c r="BJ209" s="557">
        <v>2</v>
      </c>
      <c r="BK209" s="557">
        <v>2</v>
      </c>
      <c r="BL209" s="557">
        <v>2</v>
      </c>
      <c r="BM209" s="557">
        <v>2</v>
      </c>
      <c r="BN209" s="557">
        <v>2</v>
      </c>
      <c r="BO209" s="557">
        <v>2</v>
      </c>
      <c r="BP209" s="557">
        <v>2</v>
      </c>
      <c r="BQ209" s="557">
        <v>2</v>
      </c>
      <c r="BR209" s="557">
        <v>2</v>
      </c>
      <c r="BS209" s="557">
        <v>2</v>
      </c>
      <c r="BT209" s="557">
        <v>2</v>
      </c>
      <c r="BU209" s="557">
        <v>2</v>
      </c>
      <c r="BV209" s="557">
        <v>2</v>
      </c>
      <c r="BW209" s="557">
        <v>2</v>
      </c>
      <c r="BZ209" s="557">
        <v>2</v>
      </c>
      <c r="CA209" s="557">
        <v>2</v>
      </c>
      <c r="CC209" s="557">
        <v>2</v>
      </c>
      <c r="CD209" s="557">
        <v>2</v>
      </c>
      <c r="CE209" s="557">
        <v>2</v>
      </c>
      <c r="CF209" s="557">
        <v>2</v>
      </c>
      <c r="CG209" s="557">
        <v>2</v>
      </c>
      <c r="CH209" s="557">
        <v>2</v>
      </c>
      <c r="CI209" s="557">
        <v>2</v>
      </c>
      <c r="CJ209" s="557">
        <v>2</v>
      </c>
      <c r="CK209" s="557">
        <v>2</v>
      </c>
      <c r="CL209" s="557">
        <v>2</v>
      </c>
      <c r="CM209" s="557">
        <v>2</v>
      </c>
      <c r="CN209" s="557">
        <v>2</v>
      </c>
      <c r="CO209" s="557">
        <v>2</v>
      </c>
      <c r="CP209" s="557">
        <v>2</v>
      </c>
      <c r="CQ209" s="557">
        <v>2</v>
      </c>
      <c r="CR209" s="557">
        <v>2</v>
      </c>
      <c r="CS209" s="557">
        <v>2</v>
      </c>
    </row>
    <row r="210" spans="1:99" s="562" customFormat="1" x14ac:dyDescent="0.3">
      <c r="A210" s="561">
        <v>952</v>
      </c>
      <c r="B210" s="562" t="s">
        <v>984</v>
      </c>
      <c r="F210" s="562" t="s">
        <v>2314</v>
      </c>
      <c r="G210" s="562" t="s">
        <v>2068</v>
      </c>
      <c r="H210" s="562" t="s">
        <v>2315</v>
      </c>
      <c r="L210" s="562" t="s">
        <v>2317</v>
      </c>
      <c r="P210" s="562" t="s">
        <v>2319</v>
      </c>
      <c r="Q210" s="562" t="s">
        <v>2080</v>
      </c>
      <c r="R210" s="562" t="s">
        <v>2320</v>
      </c>
      <c r="S210" s="562" t="s">
        <v>2321</v>
      </c>
      <c r="T210" s="562" t="s">
        <v>2713</v>
      </c>
      <c r="U210" s="562" t="s">
        <v>2322</v>
      </c>
      <c r="V210" s="562" t="s">
        <v>1989</v>
      </c>
      <c r="W210" s="562" t="s">
        <v>986</v>
      </c>
      <c r="X210" s="562" t="s">
        <v>2070</v>
      </c>
      <c r="Y210" s="562" t="s">
        <v>2069</v>
      </c>
      <c r="Z210" s="562" t="s">
        <v>2014</v>
      </c>
      <c r="AA210" s="562" t="s">
        <v>2323</v>
      </c>
      <c r="AB210" s="562" t="s">
        <v>2324</v>
      </c>
      <c r="AG210" s="562" t="s">
        <v>2327</v>
      </c>
      <c r="AI210" s="562" t="s">
        <v>2329</v>
      </c>
      <c r="AL210" s="562" t="s">
        <v>2138</v>
      </c>
      <c r="AN210" s="562" t="s">
        <v>2331</v>
      </c>
      <c r="AP210" s="562" t="s">
        <v>2332</v>
      </c>
      <c r="AQ210" s="562" t="s">
        <v>2333</v>
      </c>
      <c r="AR210" s="562" t="s">
        <v>2714</v>
      </c>
      <c r="AS210" s="562" t="s">
        <v>2335</v>
      </c>
      <c r="AT210" s="562" t="s">
        <v>2109</v>
      </c>
      <c r="AU210" s="562" t="s">
        <v>2015</v>
      </c>
      <c r="AW210" s="562" t="s">
        <v>2328</v>
      </c>
      <c r="AX210" s="562" t="s">
        <v>2336</v>
      </c>
      <c r="AY210" s="562" t="s">
        <v>2112</v>
      </c>
      <c r="AZ210" s="562" t="s">
        <v>2066</v>
      </c>
      <c r="BA210" s="562" t="s">
        <v>2338</v>
      </c>
      <c r="BB210" s="562" t="s">
        <v>1988</v>
      </c>
      <c r="BC210" s="562" t="s">
        <v>2136</v>
      </c>
      <c r="BD210" s="562" t="s">
        <v>1986</v>
      </c>
      <c r="BE210" s="562" t="s">
        <v>2340</v>
      </c>
      <c r="BF210" s="562" t="s">
        <v>2360</v>
      </c>
      <c r="BG210" s="562" t="s">
        <v>2341</v>
      </c>
      <c r="BI210" s="562" t="s">
        <v>2342</v>
      </c>
      <c r="BJ210" s="562" t="s">
        <v>2715</v>
      </c>
      <c r="BK210" s="562" t="s">
        <v>2344</v>
      </c>
      <c r="BL210" s="562" t="s">
        <v>2345</v>
      </c>
      <c r="BM210" s="562" t="s">
        <v>2147</v>
      </c>
      <c r="BN210" s="562" t="s">
        <v>1006</v>
      </c>
      <c r="BP210" s="562" t="s">
        <v>2347</v>
      </c>
      <c r="BQ210" s="562" t="s">
        <v>2328</v>
      </c>
      <c r="BR210" s="562" t="s">
        <v>2348</v>
      </c>
      <c r="BS210" s="562" t="s">
        <v>2074</v>
      </c>
      <c r="BT210" s="562" t="s">
        <v>2350</v>
      </c>
      <c r="BU210" s="562" t="s">
        <v>2068</v>
      </c>
      <c r="BV210" s="562" t="s">
        <v>2351</v>
      </c>
      <c r="BW210" s="562" t="s">
        <v>1990</v>
      </c>
      <c r="BZ210" s="562" t="s">
        <v>2354</v>
      </c>
      <c r="CC210" s="562" t="s">
        <v>1677</v>
      </c>
      <c r="CD210" s="562" t="s">
        <v>2716</v>
      </c>
      <c r="CE210" s="562" t="s">
        <v>2356</v>
      </c>
      <c r="CF210" s="562" t="s">
        <v>1988</v>
      </c>
      <c r="CG210" s="562" t="s">
        <v>2357</v>
      </c>
      <c r="CI210" s="562" t="s">
        <v>2071</v>
      </c>
      <c r="CJ210" s="562" t="s">
        <v>1677</v>
      </c>
      <c r="CK210" s="562" t="s">
        <v>1990</v>
      </c>
      <c r="CM210" s="562" t="s">
        <v>2361</v>
      </c>
      <c r="CO210" s="562" t="s">
        <v>2717</v>
      </c>
      <c r="CP210" s="562" t="s">
        <v>986</v>
      </c>
      <c r="CR210" s="562" t="s">
        <v>2363</v>
      </c>
      <c r="CS210" s="562" t="s">
        <v>2364</v>
      </c>
    </row>
    <row r="211" spans="1:99" s="557" customFormat="1" x14ac:dyDescent="0.3">
      <c r="A211" s="556">
        <v>953</v>
      </c>
      <c r="B211" s="557" t="s">
        <v>987</v>
      </c>
      <c r="D211" s="557">
        <v>2</v>
      </c>
      <c r="E211" s="557">
        <v>2</v>
      </c>
      <c r="F211" s="557">
        <v>2</v>
      </c>
      <c r="G211" s="557">
        <v>2</v>
      </c>
      <c r="H211" s="557">
        <v>2</v>
      </c>
      <c r="I211" s="557">
        <v>2</v>
      </c>
      <c r="J211" s="557">
        <v>2</v>
      </c>
      <c r="L211" s="557">
        <v>2</v>
      </c>
      <c r="M211" s="557">
        <v>2</v>
      </c>
      <c r="O211" s="557">
        <v>2</v>
      </c>
      <c r="P211" s="557">
        <v>2</v>
      </c>
      <c r="Q211" s="557">
        <v>2</v>
      </c>
      <c r="R211" s="557">
        <v>2</v>
      </c>
      <c r="S211" s="557">
        <v>2</v>
      </c>
      <c r="T211" s="557">
        <v>2</v>
      </c>
      <c r="U211" s="557">
        <v>2</v>
      </c>
      <c r="V211" s="557">
        <v>2</v>
      </c>
      <c r="W211" s="557">
        <v>2</v>
      </c>
      <c r="X211" s="557">
        <v>2</v>
      </c>
      <c r="Y211" s="557">
        <v>2</v>
      </c>
      <c r="Z211" s="557">
        <v>2</v>
      </c>
      <c r="AA211" s="557">
        <v>2</v>
      </c>
      <c r="AB211" s="557">
        <v>2</v>
      </c>
      <c r="AC211" s="557">
        <v>2</v>
      </c>
      <c r="AE211" s="557">
        <v>2</v>
      </c>
      <c r="AF211" s="557">
        <v>2</v>
      </c>
      <c r="AG211" s="557">
        <v>2</v>
      </c>
      <c r="AH211" s="557">
        <v>2</v>
      </c>
      <c r="AI211" s="557">
        <v>2</v>
      </c>
      <c r="AJ211" s="557">
        <v>2</v>
      </c>
      <c r="AK211" s="557">
        <v>2</v>
      </c>
      <c r="AL211" s="557">
        <v>2</v>
      </c>
      <c r="AM211" s="557">
        <v>2</v>
      </c>
      <c r="AN211" s="557">
        <v>2</v>
      </c>
      <c r="AO211" s="557">
        <v>2</v>
      </c>
      <c r="AP211" s="557">
        <v>2</v>
      </c>
      <c r="AQ211" s="557">
        <v>2</v>
      </c>
      <c r="AR211" s="557">
        <v>2</v>
      </c>
      <c r="AS211" s="557">
        <v>2</v>
      </c>
      <c r="AT211" s="557">
        <v>2</v>
      </c>
      <c r="AU211" s="557">
        <v>2</v>
      </c>
      <c r="AV211" s="557">
        <v>2</v>
      </c>
      <c r="AW211" s="557">
        <v>2</v>
      </c>
      <c r="AX211" s="557">
        <v>2</v>
      </c>
      <c r="AY211" s="557">
        <v>2</v>
      </c>
      <c r="AZ211" s="557">
        <v>2</v>
      </c>
      <c r="BA211" s="557">
        <v>2</v>
      </c>
      <c r="BB211" s="557">
        <v>2</v>
      </c>
      <c r="BC211" s="557">
        <v>2</v>
      </c>
      <c r="BD211" s="557">
        <v>2</v>
      </c>
      <c r="BE211" s="557">
        <v>2</v>
      </c>
      <c r="BF211" s="557">
        <v>2</v>
      </c>
      <c r="BG211" s="557">
        <v>2</v>
      </c>
      <c r="BH211" s="557">
        <v>2</v>
      </c>
      <c r="BI211" s="557">
        <v>2</v>
      </c>
      <c r="BJ211" s="557">
        <v>2</v>
      </c>
      <c r="BK211" s="557">
        <v>2</v>
      </c>
      <c r="BL211" s="557">
        <v>2</v>
      </c>
      <c r="BM211" s="557">
        <v>2</v>
      </c>
      <c r="BN211" s="557">
        <v>2</v>
      </c>
      <c r="BO211" s="557">
        <v>2</v>
      </c>
      <c r="BP211" s="557">
        <v>2</v>
      </c>
      <c r="BQ211" s="557">
        <v>2</v>
      </c>
      <c r="BR211" s="557">
        <v>2</v>
      </c>
      <c r="BS211" s="557">
        <v>2</v>
      </c>
      <c r="BT211" s="557">
        <v>2</v>
      </c>
      <c r="BU211" s="557">
        <v>2</v>
      </c>
      <c r="BV211" s="557">
        <v>2</v>
      </c>
      <c r="BW211" s="557">
        <v>2</v>
      </c>
      <c r="BZ211" s="557">
        <v>2</v>
      </c>
      <c r="CA211" s="557">
        <v>2</v>
      </c>
      <c r="CC211" s="557">
        <v>2</v>
      </c>
      <c r="CD211" s="557">
        <v>2</v>
      </c>
      <c r="CE211" s="557">
        <v>2</v>
      </c>
      <c r="CF211" s="557">
        <v>2</v>
      </c>
      <c r="CG211" s="557">
        <v>2</v>
      </c>
      <c r="CH211" s="557">
        <v>2</v>
      </c>
      <c r="CI211" s="557">
        <v>2</v>
      </c>
      <c r="CJ211" s="557">
        <v>2</v>
      </c>
      <c r="CK211" s="557">
        <v>2</v>
      </c>
      <c r="CL211" s="557">
        <v>2</v>
      </c>
      <c r="CM211" s="557">
        <v>2</v>
      </c>
      <c r="CN211" s="557">
        <v>2</v>
      </c>
      <c r="CO211" s="557">
        <v>2</v>
      </c>
      <c r="CP211" s="557">
        <v>2</v>
      </c>
      <c r="CQ211" s="557">
        <v>2</v>
      </c>
      <c r="CR211" s="557">
        <v>2</v>
      </c>
      <c r="CS211" s="557">
        <v>2</v>
      </c>
    </row>
    <row r="212" spans="1:99" s="562" customFormat="1" x14ac:dyDescent="0.3">
      <c r="A212" s="561">
        <v>954</v>
      </c>
      <c r="B212" s="562" t="s">
        <v>411</v>
      </c>
      <c r="D212" s="562" t="s">
        <v>50</v>
      </c>
      <c r="E212" s="562" t="s">
        <v>50</v>
      </c>
      <c r="F212" s="562" t="s">
        <v>50</v>
      </c>
      <c r="G212" s="562" t="s">
        <v>50</v>
      </c>
      <c r="H212" s="562" t="s">
        <v>50</v>
      </c>
      <c r="I212" s="562" t="s">
        <v>50</v>
      </c>
      <c r="J212" s="562" t="s">
        <v>50</v>
      </c>
      <c r="L212" s="562" t="s">
        <v>50</v>
      </c>
      <c r="M212" s="562" t="s">
        <v>50</v>
      </c>
      <c r="O212" s="562" t="s">
        <v>50</v>
      </c>
      <c r="P212" s="562" t="s">
        <v>50</v>
      </c>
      <c r="Q212" s="562" t="s">
        <v>50</v>
      </c>
      <c r="R212" s="562" t="s">
        <v>50</v>
      </c>
      <c r="S212" s="562" t="s">
        <v>50</v>
      </c>
      <c r="T212" s="562" t="s">
        <v>50</v>
      </c>
      <c r="U212" s="562" t="s">
        <v>50</v>
      </c>
      <c r="V212" s="562" t="s">
        <v>50</v>
      </c>
      <c r="W212" s="562" t="s">
        <v>50</v>
      </c>
      <c r="X212" s="562" t="s">
        <v>50</v>
      </c>
      <c r="Y212" s="562" t="s">
        <v>50</v>
      </c>
      <c r="Z212" s="562" t="s">
        <v>50</v>
      </c>
      <c r="AA212" s="562" t="s">
        <v>50</v>
      </c>
      <c r="AB212" s="562" t="s">
        <v>50</v>
      </c>
      <c r="AC212" s="562" t="s">
        <v>50</v>
      </c>
      <c r="AE212" s="562" t="s">
        <v>50</v>
      </c>
      <c r="AF212" s="562" t="s">
        <v>50</v>
      </c>
      <c r="AG212" s="562" t="s">
        <v>50</v>
      </c>
      <c r="AH212" s="562" t="s">
        <v>50</v>
      </c>
      <c r="AI212" s="562" t="s">
        <v>50</v>
      </c>
      <c r="AJ212" s="562" t="s">
        <v>50</v>
      </c>
      <c r="AK212" s="562" t="s">
        <v>50</v>
      </c>
      <c r="AL212" s="562" t="s">
        <v>50</v>
      </c>
      <c r="AM212" s="562" t="s">
        <v>50</v>
      </c>
      <c r="AN212" s="562" t="s">
        <v>50</v>
      </c>
      <c r="AO212" s="562" t="s">
        <v>50</v>
      </c>
      <c r="AP212" s="562" t="s">
        <v>50</v>
      </c>
      <c r="AQ212" s="562" t="s">
        <v>50</v>
      </c>
      <c r="AR212" s="562" t="s">
        <v>50</v>
      </c>
      <c r="AS212" s="562" t="s">
        <v>50</v>
      </c>
      <c r="AT212" s="562" t="s">
        <v>50</v>
      </c>
      <c r="AU212" s="562" t="s">
        <v>50</v>
      </c>
      <c r="AV212" s="562" t="s">
        <v>51</v>
      </c>
      <c r="AW212" s="562" t="s">
        <v>50</v>
      </c>
      <c r="AX212" s="562" t="s">
        <v>50</v>
      </c>
      <c r="AY212" s="562" t="s">
        <v>50</v>
      </c>
      <c r="AZ212" s="562" t="s">
        <v>50</v>
      </c>
      <c r="BA212" s="562" t="s">
        <v>50</v>
      </c>
      <c r="BB212" s="562" t="s">
        <v>50</v>
      </c>
      <c r="BC212" s="562" t="s">
        <v>50</v>
      </c>
      <c r="BD212" s="562" t="s">
        <v>50</v>
      </c>
      <c r="BE212" s="562" t="s">
        <v>50</v>
      </c>
      <c r="BF212" s="562" t="s">
        <v>50</v>
      </c>
      <c r="BG212" s="562" t="s">
        <v>50</v>
      </c>
      <c r="BH212" s="562" t="s">
        <v>50</v>
      </c>
      <c r="BI212" s="562" t="s">
        <v>50</v>
      </c>
      <c r="BJ212" s="562" t="s">
        <v>50</v>
      </c>
      <c r="BK212" s="562" t="s">
        <v>50</v>
      </c>
      <c r="BL212" s="562" t="s">
        <v>50</v>
      </c>
      <c r="BM212" s="562" t="s">
        <v>50</v>
      </c>
      <c r="BN212" s="562" t="s">
        <v>50</v>
      </c>
      <c r="BO212" s="562" t="s">
        <v>50</v>
      </c>
      <c r="BP212" s="562" t="s">
        <v>50</v>
      </c>
      <c r="BQ212" s="562" t="s">
        <v>50</v>
      </c>
      <c r="BR212" s="562" t="s">
        <v>50</v>
      </c>
      <c r="BS212" s="562" t="s">
        <v>50</v>
      </c>
      <c r="BT212" s="562" t="s">
        <v>50</v>
      </c>
      <c r="BU212" s="562" t="s">
        <v>50</v>
      </c>
      <c r="BV212" s="562" t="s">
        <v>50</v>
      </c>
      <c r="BW212" s="562" t="s">
        <v>50</v>
      </c>
      <c r="BZ212" s="562" t="s">
        <v>50</v>
      </c>
      <c r="CA212" s="562" t="s">
        <v>50</v>
      </c>
      <c r="CC212" s="562" t="s">
        <v>50</v>
      </c>
      <c r="CD212" s="562" t="s">
        <v>50</v>
      </c>
      <c r="CE212" s="562" t="s">
        <v>50</v>
      </c>
      <c r="CF212" s="562" t="s">
        <v>50</v>
      </c>
      <c r="CG212" s="562" t="s">
        <v>50</v>
      </c>
      <c r="CH212" s="562" t="s">
        <v>50</v>
      </c>
      <c r="CI212" s="562" t="s">
        <v>50</v>
      </c>
      <c r="CJ212" s="562" t="s">
        <v>50</v>
      </c>
      <c r="CK212" s="562" t="s">
        <v>50</v>
      </c>
      <c r="CL212" s="562" t="s">
        <v>50</v>
      </c>
      <c r="CM212" s="562" t="s">
        <v>50</v>
      </c>
      <c r="CN212" s="562" t="s">
        <v>50</v>
      </c>
      <c r="CO212" s="562" t="s">
        <v>50</v>
      </c>
      <c r="CP212" s="562" t="s">
        <v>50</v>
      </c>
      <c r="CQ212" s="562" t="s">
        <v>50</v>
      </c>
      <c r="CR212" s="562" t="s">
        <v>50</v>
      </c>
      <c r="CS212" s="562" t="s">
        <v>50</v>
      </c>
    </row>
    <row r="213" spans="1:99" s="557" customFormat="1" x14ac:dyDescent="0.3">
      <c r="A213" s="556">
        <v>955</v>
      </c>
      <c r="B213" s="557" t="s">
        <v>988</v>
      </c>
      <c r="D213" s="557">
        <v>0</v>
      </c>
      <c r="E213" s="557">
        <v>0</v>
      </c>
      <c r="F213" s="557">
        <v>0</v>
      </c>
      <c r="G213" s="557">
        <v>3</v>
      </c>
      <c r="H213" s="557">
        <v>0</v>
      </c>
      <c r="I213" s="557">
        <v>0</v>
      </c>
      <c r="J213" s="557">
        <v>0</v>
      </c>
      <c r="L213" s="557">
        <v>2</v>
      </c>
      <c r="M213" s="557">
        <v>0</v>
      </c>
      <c r="O213" s="557">
        <v>0</v>
      </c>
      <c r="P213" s="557">
        <v>1</v>
      </c>
      <c r="Q213" s="557">
        <v>0</v>
      </c>
      <c r="R213" s="557">
        <v>1</v>
      </c>
      <c r="S213" s="557">
        <v>0</v>
      </c>
      <c r="T213" s="557">
        <v>0</v>
      </c>
      <c r="U213" s="557">
        <v>0</v>
      </c>
      <c r="V213" s="557">
        <v>0</v>
      </c>
      <c r="W213" s="557">
        <v>0</v>
      </c>
      <c r="X213" s="557">
        <v>0</v>
      </c>
      <c r="Y213" s="557">
        <v>0</v>
      </c>
      <c r="Z213" s="557">
        <v>0</v>
      </c>
      <c r="AA213" s="557">
        <v>0</v>
      </c>
      <c r="AB213" s="557">
        <v>0</v>
      </c>
      <c r="AC213" s="557">
        <v>0</v>
      </c>
      <c r="AE213" s="557">
        <v>2</v>
      </c>
      <c r="AF213" s="557">
        <v>0</v>
      </c>
      <c r="AG213" s="557">
        <v>0</v>
      </c>
      <c r="AH213" s="557">
        <v>0</v>
      </c>
      <c r="AI213" s="557">
        <v>0</v>
      </c>
      <c r="AJ213" s="557">
        <v>0</v>
      </c>
      <c r="AK213" s="557">
        <v>0</v>
      </c>
      <c r="AL213" s="557">
        <v>0</v>
      </c>
      <c r="AM213" s="557">
        <v>1</v>
      </c>
      <c r="AN213" s="557">
        <v>2</v>
      </c>
      <c r="AO213" s="557">
        <v>0</v>
      </c>
      <c r="AP213" s="557">
        <v>0</v>
      </c>
      <c r="AQ213" s="557">
        <v>0</v>
      </c>
      <c r="AR213" s="557">
        <v>0</v>
      </c>
      <c r="AS213" s="557">
        <v>2</v>
      </c>
      <c r="AT213" s="557">
        <v>0</v>
      </c>
      <c r="AU213" s="557">
        <v>0</v>
      </c>
      <c r="AV213" s="557">
        <v>1</v>
      </c>
      <c r="AW213" s="557">
        <v>0</v>
      </c>
      <c r="AX213" s="557">
        <v>0</v>
      </c>
      <c r="AY213" s="557">
        <v>0</v>
      </c>
      <c r="AZ213" s="557">
        <v>0</v>
      </c>
      <c r="BA213" s="557">
        <v>0</v>
      </c>
      <c r="BB213" s="557">
        <v>0</v>
      </c>
      <c r="BC213" s="557">
        <v>1</v>
      </c>
      <c r="BD213" s="557">
        <v>0</v>
      </c>
      <c r="BE213" s="557">
        <v>0</v>
      </c>
      <c r="BF213" s="557">
        <v>0</v>
      </c>
      <c r="BG213" s="557">
        <v>0</v>
      </c>
      <c r="BH213" s="557">
        <v>0</v>
      </c>
      <c r="BI213" s="557">
        <v>0</v>
      </c>
      <c r="BJ213" s="557">
        <v>0</v>
      </c>
      <c r="BK213" s="557">
        <v>0</v>
      </c>
      <c r="BL213" s="557">
        <v>0</v>
      </c>
      <c r="BM213" s="557">
        <v>1</v>
      </c>
      <c r="BN213" s="557">
        <v>0</v>
      </c>
      <c r="BO213" s="557">
        <v>0</v>
      </c>
      <c r="BP213" s="557">
        <v>1</v>
      </c>
      <c r="BQ213" s="557">
        <v>0</v>
      </c>
      <c r="BR213" s="557">
        <v>1</v>
      </c>
      <c r="BS213" s="557">
        <v>0</v>
      </c>
      <c r="BT213" s="557">
        <v>0</v>
      </c>
      <c r="BU213" s="557">
        <v>0</v>
      </c>
      <c r="BV213" s="557">
        <v>0</v>
      </c>
      <c r="BW213" s="557">
        <v>1</v>
      </c>
      <c r="BZ213" s="557">
        <v>2</v>
      </c>
      <c r="CA213" s="557">
        <v>0</v>
      </c>
      <c r="CC213" s="557">
        <v>2</v>
      </c>
      <c r="CD213" s="557">
        <v>0</v>
      </c>
      <c r="CE213" s="557">
        <v>0</v>
      </c>
      <c r="CF213" s="557">
        <v>0</v>
      </c>
      <c r="CG213" s="557">
        <v>1</v>
      </c>
      <c r="CH213" s="557">
        <v>1</v>
      </c>
      <c r="CI213" s="557">
        <v>0</v>
      </c>
      <c r="CJ213" s="557">
        <v>0</v>
      </c>
      <c r="CK213" s="557">
        <v>2</v>
      </c>
      <c r="CL213" s="557">
        <v>0</v>
      </c>
      <c r="CM213" s="557">
        <v>0</v>
      </c>
      <c r="CN213" s="557">
        <v>1</v>
      </c>
      <c r="CO213" s="557">
        <v>0</v>
      </c>
      <c r="CP213" s="557">
        <v>0</v>
      </c>
      <c r="CQ213" s="557">
        <v>0</v>
      </c>
      <c r="CR213" s="557">
        <v>0</v>
      </c>
      <c r="CS213" s="557">
        <v>0</v>
      </c>
    </row>
    <row r="214" spans="1:99" s="562" customFormat="1" x14ac:dyDescent="0.3">
      <c r="A214" s="561">
        <v>956</v>
      </c>
      <c r="B214" s="562" t="s">
        <v>412</v>
      </c>
      <c r="D214" s="562" t="s">
        <v>50</v>
      </c>
      <c r="E214" s="562" t="s">
        <v>50</v>
      </c>
      <c r="F214" s="562" t="s">
        <v>50</v>
      </c>
      <c r="G214" s="562" t="s">
        <v>50</v>
      </c>
      <c r="H214" s="562" t="s">
        <v>50</v>
      </c>
      <c r="I214" s="562" t="s">
        <v>50</v>
      </c>
      <c r="J214" s="562" t="s">
        <v>50</v>
      </c>
      <c r="L214" s="562" t="s">
        <v>50</v>
      </c>
      <c r="M214" s="562" t="s">
        <v>50</v>
      </c>
      <c r="O214" s="562" t="s">
        <v>50</v>
      </c>
      <c r="P214" s="562" t="s">
        <v>50</v>
      </c>
      <c r="Q214" s="562" t="s">
        <v>50</v>
      </c>
      <c r="R214" s="562" t="s">
        <v>50</v>
      </c>
      <c r="S214" s="562" t="s">
        <v>50</v>
      </c>
      <c r="T214" s="562" t="s">
        <v>50</v>
      </c>
      <c r="U214" s="562" t="s">
        <v>50</v>
      </c>
      <c r="V214" s="562" t="s">
        <v>50</v>
      </c>
      <c r="W214" s="562" t="s">
        <v>50</v>
      </c>
      <c r="X214" s="562" t="s">
        <v>50</v>
      </c>
      <c r="Y214" s="562" t="s">
        <v>50</v>
      </c>
      <c r="Z214" s="562" t="s">
        <v>50</v>
      </c>
      <c r="AA214" s="562" t="s">
        <v>50</v>
      </c>
      <c r="AB214" s="562" t="s">
        <v>50</v>
      </c>
      <c r="AC214" s="562" t="s">
        <v>50</v>
      </c>
      <c r="AE214" s="562" t="s">
        <v>50</v>
      </c>
      <c r="AF214" s="562" t="s">
        <v>50</v>
      </c>
      <c r="AG214" s="562" t="s">
        <v>50</v>
      </c>
      <c r="AH214" s="562" t="s">
        <v>50</v>
      </c>
      <c r="AI214" s="562" t="s">
        <v>50</v>
      </c>
      <c r="AJ214" s="562" t="s">
        <v>50</v>
      </c>
      <c r="AK214" s="562" t="s">
        <v>50</v>
      </c>
      <c r="AL214" s="562" t="s">
        <v>50</v>
      </c>
      <c r="AM214" s="562" t="s">
        <v>50</v>
      </c>
      <c r="AN214" s="562" t="s">
        <v>50</v>
      </c>
      <c r="AO214" s="562" t="s">
        <v>50</v>
      </c>
      <c r="AP214" s="562" t="s">
        <v>50</v>
      </c>
      <c r="AQ214" s="562" t="s">
        <v>50</v>
      </c>
      <c r="AR214" s="562" t="s">
        <v>50</v>
      </c>
      <c r="AS214" s="562" t="s">
        <v>51</v>
      </c>
      <c r="AT214" s="562" t="s">
        <v>50</v>
      </c>
      <c r="AU214" s="562" t="s">
        <v>50</v>
      </c>
      <c r="AV214" s="562" t="s">
        <v>50</v>
      </c>
      <c r="AW214" s="562" t="s">
        <v>50</v>
      </c>
      <c r="AX214" s="562" t="s">
        <v>50</v>
      </c>
      <c r="AY214" s="562" t="s">
        <v>50</v>
      </c>
      <c r="AZ214" s="562" t="s">
        <v>50</v>
      </c>
      <c r="BA214" s="562" t="s">
        <v>50</v>
      </c>
      <c r="BB214" s="562" t="s">
        <v>50</v>
      </c>
      <c r="BC214" s="562" t="s">
        <v>50</v>
      </c>
      <c r="BD214" s="562" t="s">
        <v>50</v>
      </c>
      <c r="BE214" s="562" t="s">
        <v>50</v>
      </c>
      <c r="BF214" s="562" t="s">
        <v>50</v>
      </c>
      <c r="BG214" s="562" t="s">
        <v>50</v>
      </c>
      <c r="BH214" s="562" t="s">
        <v>50</v>
      </c>
      <c r="BI214" s="562" t="s">
        <v>50</v>
      </c>
      <c r="BJ214" s="562" t="s">
        <v>50</v>
      </c>
      <c r="BK214" s="562" t="s">
        <v>50</v>
      </c>
      <c r="BL214" s="562" t="s">
        <v>50</v>
      </c>
      <c r="BM214" s="562" t="s">
        <v>50</v>
      </c>
      <c r="BN214" s="562" t="s">
        <v>50</v>
      </c>
      <c r="BO214" s="562" t="s">
        <v>50</v>
      </c>
      <c r="BP214" s="562" t="s">
        <v>50</v>
      </c>
      <c r="BQ214" s="562" t="s">
        <v>50</v>
      </c>
      <c r="BR214" s="562" t="s">
        <v>50</v>
      </c>
      <c r="BS214" s="562" t="s">
        <v>50</v>
      </c>
      <c r="BT214" s="562" t="s">
        <v>50</v>
      </c>
      <c r="BU214" s="562" t="s">
        <v>50</v>
      </c>
      <c r="BV214" s="562" t="s">
        <v>50</v>
      </c>
      <c r="BW214" s="562" t="s">
        <v>50</v>
      </c>
      <c r="BZ214" s="562" t="s">
        <v>50</v>
      </c>
      <c r="CA214" s="562" t="s">
        <v>50</v>
      </c>
      <c r="CC214" s="562" t="s">
        <v>50</v>
      </c>
      <c r="CD214" s="562" t="s">
        <v>50</v>
      </c>
      <c r="CE214" s="562" t="s">
        <v>50</v>
      </c>
      <c r="CF214" s="562" t="s">
        <v>50</v>
      </c>
      <c r="CG214" s="562" t="s">
        <v>50</v>
      </c>
      <c r="CH214" s="562" t="s">
        <v>50</v>
      </c>
      <c r="CI214" s="562" t="s">
        <v>50</v>
      </c>
      <c r="CJ214" s="562" t="s">
        <v>50</v>
      </c>
      <c r="CK214" s="562" t="s">
        <v>50</v>
      </c>
      <c r="CL214" s="562" t="s">
        <v>50</v>
      </c>
      <c r="CM214" s="562" t="s">
        <v>50</v>
      </c>
      <c r="CN214" s="562" t="s">
        <v>50</v>
      </c>
      <c r="CO214" s="562" t="s">
        <v>50</v>
      </c>
      <c r="CP214" s="562" t="s">
        <v>50</v>
      </c>
      <c r="CQ214" s="562" t="s">
        <v>50</v>
      </c>
      <c r="CR214" s="562" t="s">
        <v>50</v>
      </c>
      <c r="CS214" s="562" t="s">
        <v>50</v>
      </c>
    </row>
    <row r="215" spans="1:99" s="557" customFormat="1" x14ac:dyDescent="0.3">
      <c r="A215" s="556">
        <v>957</v>
      </c>
      <c r="B215" s="557" t="s">
        <v>989</v>
      </c>
      <c r="D215" s="557">
        <v>0</v>
      </c>
      <c r="E215" s="557">
        <v>0</v>
      </c>
      <c r="F215" s="557">
        <v>0</v>
      </c>
      <c r="G215" s="557">
        <v>0</v>
      </c>
      <c r="H215" s="557">
        <v>0</v>
      </c>
      <c r="I215" s="557">
        <v>0</v>
      </c>
      <c r="J215" s="557">
        <v>0</v>
      </c>
      <c r="L215" s="557">
        <v>0</v>
      </c>
      <c r="M215" s="557">
        <v>0</v>
      </c>
      <c r="O215" s="557">
        <v>0</v>
      </c>
      <c r="P215" s="557">
        <v>0</v>
      </c>
      <c r="Q215" s="557">
        <v>2</v>
      </c>
      <c r="R215" s="557">
        <v>0</v>
      </c>
      <c r="S215" s="557">
        <v>0</v>
      </c>
      <c r="T215" s="557">
        <v>0</v>
      </c>
      <c r="U215" s="557">
        <v>0</v>
      </c>
      <c r="V215" s="557">
        <v>0</v>
      </c>
      <c r="W215" s="557">
        <v>0</v>
      </c>
      <c r="X215" s="557">
        <v>0</v>
      </c>
      <c r="Y215" s="557">
        <v>0</v>
      </c>
      <c r="Z215" s="557">
        <v>0</v>
      </c>
      <c r="AA215" s="557">
        <v>0</v>
      </c>
      <c r="AB215" s="557">
        <v>0</v>
      </c>
      <c r="AC215" s="557">
        <v>0</v>
      </c>
      <c r="AE215" s="557">
        <v>0</v>
      </c>
      <c r="AF215" s="557">
        <v>0</v>
      </c>
      <c r="AG215" s="557">
        <v>0</v>
      </c>
      <c r="AH215" s="557">
        <v>0</v>
      </c>
      <c r="AI215" s="557">
        <v>0</v>
      </c>
      <c r="AJ215" s="557">
        <v>0</v>
      </c>
      <c r="AK215" s="557">
        <v>2</v>
      </c>
      <c r="AL215" s="557">
        <v>0</v>
      </c>
      <c r="AM215" s="557">
        <v>1</v>
      </c>
      <c r="AN215" s="557">
        <v>0</v>
      </c>
      <c r="AO215" s="557">
        <v>2</v>
      </c>
      <c r="AP215" s="557">
        <v>0</v>
      </c>
      <c r="AQ215" s="557">
        <v>0</v>
      </c>
      <c r="AR215" s="557">
        <v>0</v>
      </c>
      <c r="AS215" s="557">
        <v>3</v>
      </c>
      <c r="AT215" s="557">
        <v>0</v>
      </c>
      <c r="AU215" s="557">
        <v>0</v>
      </c>
      <c r="AV215" s="557">
        <v>1</v>
      </c>
      <c r="AW215" s="557">
        <v>0</v>
      </c>
      <c r="AX215" s="557">
        <v>1</v>
      </c>
      <c r="AY215" s="557">
        <v>0</v>
      </c>
      <c r="AZ215" s="557">
        <v>1</v>
      </c>
      <c r="BA215" s="557">
        <v>0</v>
      </c>
      <c r="BB215" s="557">
        <v>0</v>
      </c>
      <c r="BC215" s="557">
        <v>0</v>
      </c>
      <c r="BD215" s="557">
        <v>0</v>
      </c>
      <c r="BE215" s="557">
        <v>0</v>
      </c>
      <c r="BF215" s="557">
        <v>0</v>
      </c>
      <c r="BG215" s="557">
        <v>2</v>
      </c>
      <c r="BH215" s="557">
        <v>0</v>
      </c>
      <c r="BI215" s="557">
        <v>0</v>
      </c>
      <c r="BJ215" s="557">
        <v>0</v>
      </c>
      <c r="BK215" s="557">
        <v>0</v>
      </c>
      <c r="BL215" s="557">
        <v>0</v>
      </c>
      <c r="BM215" s="557">
        <v>1</v>
      </c>
      <c r="BN215" s="557">
        <v>1</v>
      </c>
      <c r="BO215" s="557">
        <v>0</v>
      </c>
      <c r="BP215" s="557">
        <v>0</v>
      </c>
      <c r="BQ215" s="557">
        <v>0</v>
      </c>
      <c r="BR215" s="557">
        <v>0</v>
      </c>
      <c r="BS215" s="557">
        <v>0</v>
      </c>
      <c r="BT215" s="557">
        <v>0</v>
      </c>
      <c r="BU215" s="557">
        <v>0</v>
      </c>
      <c r="BV215" s="557">
        <v>0</v>
      </c>
      <c r="BW215" s="557">
        <v>0</v>
      </c>
      <c r="BZ215" s="557">
        <v>0</v>
      </c>
      <c r="CA215" s="557">
        <v>2</v>
      </c>
      <c r="CC215" s="557">
        <v>0</v>
      </c>
      <c r="CD215" s="557">
        <v>0</v>
      </c>
      <c r="CE215" s="557">
        <v>0</v>
      </c>
      <c r="CF215" s="557">
        <v>0</v>
      </c>
      <c r="CG215" s="557">
        <v>2</v>
      </c>
      <c r="CH215" s="557">
        <v>0</v>
      </c>
      <c r="CI215" s="557">
        <v>0</v>
      </c>
      <c r="CJ215" s="557">
        <v>0</v>
      </c>
      <c r="CK215" s="557">
        <v>0</v>
      </c>
      <c r="CL215" s="557">
        <v>0</v>
      </c>
      <c r="CM215" s="557">
        <v>0</v>
      </c>
      <c r="CN215" s="557">
        <v>1</v>
      </c>
      <c r="CO215" s="557">
        <v>1</v>
      </c>
      <c r="CP215" s="557">
        <v>0</v>
      </c>
      <c r="CQ215" s="557">
        <v>3</v>
      </c>
      <c r="CR215" s="557">
        <v>0</v>
      </c>
      <c r="CS215" s="557">
        <v>0</v>
      </c>
    </row>
    <row r="216" spans="1:99" s="562" customFormat="1" x14ac:dyDescent="0.3">
      <c r="A216" s="561">
        <v>958</v>
      </c>
      <c r="B216" s="562" t="s">
        <v>990</v>
      </c>
      <c r="D216" s="562" t="s">
        <v>50</v>
      </c>
      <c r="E216" s="562" t="s">
        <v>50</v>
      </c>
      <c r="F216" s="562" t="s">
        <v>50</v>
      </c>
      <c r="G216" s="562" t="s">
        <v>50</v>
      </c>
      <c r="H216" s="562" t="s">
        <v>50</v>
      </c>
      <c r="I216" s="562" t="s">
        <v>50</v>
      </c>
      <c r="J216" s="562" t="s">
        <v>50</v>
      </c>
      <c r="L216" s="562" t="s">
        <v>50</v>
      </c>
      <c r="M216" s="562" t="s">
        <v>50</v>
      </c>
      <c r="O216" s="562" t="s">
        <v>50</v>
      </c>
      <c r="P216" s="562" t="s">
        <v>50</v>
      </c>
      <c r="Q216" s="562" t="s">
        <v>50</v>
      </c>
      <c r="R216" s="562" t="s">
        <v>50</v>
      </c>
      <c r="S216" s="562" t="s">
        <v>50</v>
      </c>
      <c r="T216" s="562" t="s">
        <v>50</v>
      </c>
      <c r="U216" s="562" t="s">
        <v>50</v>
      </c>
      <c r="V216" s="562" t="s">
        <v>50</v>
      </c>
      <c r="W216" s="562" t="s">
        <v>50</v>
      </c>
      <c r="X216" s="562" t="s">
        <v>50</v>
      </c>
      <c r="Y216" s="562" t="s">
        <v>50</v>
      </c>
      <c r="Z216" s="562" t="s">
        <v>50</v>
      </c>
      <c r="AA216" s="562" t="s">
        <v>50</v>
      </c>
      <c r="AB216" s="562" t="s">
        <v>50</v>
      </c>
      <c r="AC216" s="562" t="s">
        <v>50</v>
      </c>
      <c r="AE216" s="562" t="s">
        <v>50</v>
      </c>
      <c r="AF216" s="562" t="s">
        <v>50</v>
      </c>
      <c r="AG216" s="562" t="s">
        <v>50</v>
      </c>
      <c r="AH216" s="562" t="s">
        <v>50</v>
      </c>
      <c r="AI216" s="562" t="s">
        <v>50</v>
      </c>
      <c r="AJ216" s="562" t="s">
        <v>50</v>
      </c>
      <c r="AK216" s="562" t="s">
        <v>50</v>
      </c>
      <c r="AL216" s="562" t="s">
        <v>50</v>
      </c>
      <c r="AM216" s="562" t="s">
        <v>50</v>
      </c>
      <c r="AN216" s="562" t="s">
        <v>50</v>
      </c>
      <c r="AO216" s="562" t="s">
        <v>50</v>
      </c>
      <c r="AP216" s="562" t="s">
        <v>50</v>
      </c>
      <c r="AQ216" s="562" t="s">
        <v>50</v>
      </c>
      <c r="AR216" s="562" t="s">
        <v>50</v>
      </c>
      <c r="AS216" s="562" t="s">
        <v>51</v>
      </c>
      <c r="AT216" s="562" t="s">
        <v>50</v>
      </c>
      <c r="AU216" s="562" t="s">
        <v>50</v>
      </c>
      <c r="AV216" s="562" t="s">
        <v>50</v>
      </c>
      <c r="AW216" s="562" t="s">
        <v>50</v>
      </c>
      <c r="AX216" s="562" t="s">
        <v>50</v>
      </c>
      <c r="AY216" s="562" t="s">
        <v>50</v>
      </c>
      <c r="AZ216" s="562" t="s">
        <v>50</v>
      </c>
      <c r="BA216" s="562" t="s">
        <v>50</v>
      </c>
      <c r="BB216" s="562" t="s">
        <v>50</v>
      </c>
      <c r="BC216" s="562" t="s">
        <v>50</v>
      </c>
      <c r="BD216" s="562" t="s">
        <v>50</v>
      </c>
      <c r="BE216" s="562" t="s">
        <v>50</v>
      </c>
      <c r="BF216" s="562" t="s">
        <v>50</v>
      </c>
      <c r="BG216" s="562" t="s">
        <v>50</v>
      </c>
      <c r="BH216" s="562" t="s">
        <v>50</v>
      </c>
      <c r="BI216" s="562" t="s">
        <v>50</v>
      </c>
      <c r="BJ216" s="562" t="s">
        <v>50</v>
      </c>
      <c r="BK216" s="562" t="s">
        <v>50</v>
      </c>
      <c r="BL216" s="562" t="s">
        <v>50</v>
      </c>
      <c r="BM216" s="562" t="s">
        <v>50</v>
      </c>
      <c r="BN216" s="562" t="s">
        <v>50</v>
      </c>
      <c r="BO216" s="562" t="s">
        <v>50</v>
      </c>
      <c r="BP216" s="562" t="s">
        <v>50</v>
      </c>
      <c r="BQ216" s="562" t="s">
        <v>50</v>
      </c>
      <c r="BR216" s="562" t="s">
        <v>51</v>
      </c>
      <c r="BS216" s="562" t="s">
        <v>50</v>
      </c>
      <c r="BT216" s="562" t="s">
        <v>50</v>
      </c>
      <c r="BU216" s="562" t="s">
        <v>50</v>
      </c>
      <c r="BV216" s="562" t="s">
        <v>50</v>
      </c>
      <c r="BW216" s="562" t="s">
        <v>50</v>
      </c>
      <c r="BZ216" s="562" t="s">
        <v>50</v>
      </c>
      <c r="CA216" s="562" t="s">
        <v>50</v>
      </c>
      <c r="CC216" s="562" t="s">
        <v>51</v>
      </c>
      <c r="CD216" s="562" t="s">
        <v>50</v>
      </c>
      <c r="CE216" s="562" t="s">
        <v>50</v>
      </c>
      <c r="CF216" s="562" t="s">
        <v>50</v>
      </c>
      <c r="CG216" s="562" t="s">
        <v>50</v>
      </c>
      <c r="CH216" s="562" t="s">
        <v>50</v>
      </c>
      <c r="CI216" s="562" t="s">
        <v>50</v>
      </c>
      <c r="CJ216" s="562" t="s">
        <v>50</v>
      </c>
      <c r="CK216" s="562" t="s">
        <v>50</v>
      </c>
      <c r="CL216" s="562" t="s">
        <v>51</v>
      </c>
      <c r="CM216" s="562" t="s">
        <v>50</v>
      </c>
      <c r="CN216" s="562" t="s">
        <v>50</v>
      </c>
      <c r="CO216" s="562" t="s">
        <v>50</v>
      </c>
      <c r="CP216" s="562" t="s">
        <v>50</v>
      </c>
      <c r="CQ216" s="562" t="s">
        <v>50</v>
      </c>
      <c r="CR216" s="562" t="s">
        <v>50</v>
      </c>
      <c r="CS216" s="562" t="s">
        <v>50</v>
      </c>
    </row>
    <row r="217" spans="1:99" s="557" customFormat="1" x14ac:dyDescent="0.3">
      <c r="A217" s="556">
        <v>959</v>
      </c>
      <c r="B217" s="557" t="s">
        <v>991</v>
      </c>
      <c r="D217" s="557">
        <v>2</v>
      </c>
      <c r="E217" s="557">
        <v>2</v>
      </c>
      <c r="F217" s="557">
        <v>2</v>
      </c>
      <c r="G217" s="557">
        <v>3</v>
      </c>
      <c r="H217" s="557">
        <v>2</v>
      </c>
      <c r="I217" s="557">
        <v>2</v>
      </c>
      <c r="J217" s="557">
        <v>2</v>
      </c>
      <c r="L217" s="557">
        <v>2</v>
      </c>
      <c r="M217" s="557">
        <v>2</v>
      </c>
      <c r="O217" s="557">
        <v>2</v>
      </c>
      <c r="P217" s="557">
        <v>2</v>
      </c>
      <c r="Q217" s="557">
        <v>2</v>
      </c>
      <c r="R217" s="557">
        <v>3</v>
      </c>
      <c r="S217" s="557">
        <v>2</v>
      </c>
      <c r="T217" s="557">
        <v>3</v>
      </c>
      <c r="U217" s="557">
        <v>3</v>
      </c>
      <c r="V217" s="557">
        <v>2</v>
      </c>
      <c r="W217" s="557">
        <v>2</v>
      </c>
      <c r="X217" s="557">
        <v>2</v>
      </c>
      <c r="Y217" s="557">
        <v>3</v>
      </c>
      <c r="Z217" s="557">
        <v>2</v>
      </c>
      <c r="AA217" s="557">
        <v>2</v>
      </c>
      <c r="AB217" s="557">
        <v>3</v>
      </c>
      <c r="AC217" s="557">
        <v>2</v>
      </c>
      <c r="AE217" s="557">
        <v>2</v>
      </c>
      <c r="AF217" s="557">
        <v>2</v>
      </c>
      <c r="AG217" s="557">
        <v>2</v>
      </c>
      <c r="AH217" s="557">
        <v>3</v>
      </c>
      <c r="AI217" s="557">
        <v>2</v>
      </c>
      <c r="AJ217" s="557">
        <v>3</v>
      </c>
      <c r="AK217" s="557">
        <v>3</v>
      </c>
      <c r="AL217" s="557">
        <v>2</v>
      </c>
      <c r="AM217" s="557">
        <v>3</v>
      </c>
      <c r="AN217" s="557">
        <v>2</v>
      </c>
      <c r="AO217" s="557">
        <v>2</v>
      </c>
      <c r="AP217" s="557">
        <v>2</v>
      </c>
      <c r="AQ217" s="557">
        <v>3</v>
      </c>
      <c r="AR217" s="557">
        <v>2</v>
      </c>
      <c r="AS217" s="557">
        <v>2</v>
      </c>
      <c r="AT217" s="557">
        <v>2</v>
      </c>
      <c r="AU217" s="557">
        <v>3</v>
      </c>
      <c r="AV217" s="557">
        <v>2</v>
      </c>
      <c r="AW217" s="557">
        <v>3</v>
      </c>
      <c r="AX217" s="557">
        <v>2</v>
      </c>
      <c r="AY217" s="557">
        <v>2</v>
      </c>
      <c r="AZ217" s="557">
        <v>2</v>
      </c>
      <c r="BA217" s="557">
        <v>2</v>
      </c>
      <c r="BB217" s="557">
        <v>3</v>
      </c>
      <c r="BC217" s="557">
        <v>2</v>
      </c>
      <c r="BD217" s="557">
        <v>2</v>
      </c>
      <c r="BE217" s="557">
        <v>2</v>
      </c>
      <c r="BF217" s="557">
        <v>3</v>
      </c>
      <c r="BG217" s="557">
        <v>2</v>
      </c>
      <c r="BH217" s="557">
        <v>2</v>
      </c>
      <c r="BI217" s="557">
        <v>2</v>
      </c>
      <c r="BJ217" s="557">
        <v>2</v>
      </c>
      <c r="BK217" s="557">
        <v>2</v>
      </c>
      <c r="BL217" s="557">
        <v>2</v>
      </c>
      <c r="BM217" s="557">
        <v>2</v>
      </c>
      <c r="BN217" s="557">
        <v>2</v>
      </c>
      <c r="BO217" s="557">
        <v>2</v>
      </c>
      <c r="BP217" s="557">
        <v>3</v>
      </c>
      <c r="BQ217" s="557">
        <v>2</v>
      </c>
      <c r="BR217" s="557">
        <v>3</v>
      </c>
      <c r="BS217" s="557">
        <v>2</v>
      </c>
      <c r="BT217" s="557">
        <v>2</v>
      </c>
      <c r="BU217" s="557">
        <v>2</v>
      </c>
      <c r="BV217" s="557">
        <v>2</v>
      </c>
      <c r="BW217" s="557">
        <v>2</v>
      </c>
      <c r="BZ217" s="557">
        <v>3</v>
      </c>
      <c r="CA217" s="557">
        <v>3</v>
      </c>
      <c r="CC217" s="557">
        <v>2</v>
      </c>
      <c r="CD217" s="557">
        <v>2</v>
      </c>
      <c r="CE217" s="557">
        <v>2</v>
      </c>
      <c r="CF217" s="557">
        <v>2</v>
      </c>
      <c r="CG217" s="557">
        <v>2</v>
      </c>
      <c r="CH217" s="557">
        <v>2</v>
      </c>
      <c r="CI217" s="557">
        <v>2</v>
      </c>
      <c r="CJ217" s="557">
        <v>2</v>
      </c>
      <c r="CK217" s="557">
        <v>2</v>
      </c>
      <c r="CL217" s="557">
        <v>2</v>
      </c>
      <c r="CM217" s="557">
        <v>2</v>
      </c>
      <c r="CN217" s="557">
        <v>2</v>
      </c>
      <c r="CO217" s="557">
        <v>3</v>
      </c>
      <c r="CP217" s="557">
        <v>2</v>
      </c>
      <c r="CQ217" s="557">
        <v>2</v>
      </c>
      <c r="CR217" s="557">
        <v>2</v>
      </c>
      <c r="CS217" s="557">
        <v>2</v>
      </c>
    </row>
    <row r="218" spans="1:99" x14ac:dyDescent="0.3">
      <c r="A218" s="155">
        <v>960</v>
      </c>
      <c r="B218" s="180" t="s">
        <v>992</v>
      </c>
      <c r="C218" s="180"/>
      <c r="D218" s="180" t="s">
        <v>2718</v>
      </c>
      <c r="E218" s="180" t="s">
        <v>2719</v>
      </c>
      <c r="F218" s="180" t="s">
        <v>2720</v>
      </c>
      <c r="G218" s="180" t="s">
        <v>2368</v>
      </c>
      <c r="H218" s="180" t="s">
        <v>2852</v>
      </c>
      <c r="I218" s="180" t="s">
        <v>2370</v>
      </c>
      <c r="J218" s="180" t="s">
        <v>2371</v>
      </c>
      <c r="K218" s="180"/>
      <c r="L218" s="180" t="s">
        <v>2373</v>
      </c>
      <c r="M218" s="180" t="s">
        <v>2721</v>
      </c>
      <c r="N218" s="180"/>
      <c r="O218" s="180" t="s">
        <v>2722</v>
      </c>
      <c r="P218" s="180" t="s">
        <v>2377</v>
      </c>
      <c r="Q218" s="180" t="s">
        <v>2723</v>
      </c>
      <c r="R218" s="180" t="s">
        <v>2379</v>
      </c>
      <c r="S218" s="180" t="s">
        <v>2724</v>
      </c>
      <c r="T218" s="180" t="s">
        <v>979</v>
      </c>
      <c r="U218" s="180" t="s">
        <v>2382</v>
      </c>
      <c r="V218" s="180" t="s">
        <v>2725</v>
      </c>
      <c r="W218" s="180" t="s">
        <v>2384</v>
      </c>
      <c r="X218" s="180" t="s">
        <v>2385</v>
      </c>
      <c r="Y218" s="180" t="s">
        <v>2386</v>
      </c>
      <c r="Z218" s="180" t="s">
        <v>2726</v>
      </c>
      <c r="AA218" s="180" t="s">
        <v>2388</v>
      </c>
      <c r="AB218" s="180" t="s">
        <v>2389</v>
      </c>
      <c r="AC218" s="180" t="s">
        <v>2390</v>
      </c>
      <c r="AD218" s="180"/>
      <c r="AE218" s="180" t="s">
        <v>2392</v>
      </c>
      <c r="AF218" s="180" t="s">
        <v>2393</v>
      </c>
      <c r="AG218" s="180" t="s">
        <v>2394</v>
      </c>
      <c r="AH218" s="180" t="s">
        <v>2395</v>
      </c>
      <c r="AI218" s="180" t="s">
        <v>2396</v>
      </c>
      <c r="AJ218" s="180" t="s">
        <v>2727</v>
      </c>
      <c r="AK218" s="180" t="s">
        <v>2398</v>
      </c>
      <c r="AL218" s="180" t="s">
        <v>2113</v>
      </c>
      <c r="AM218" s="180" t="s">
        <v>2400</v>
      </c>
      <c r="AN218" s="180" t="s">
        <v>2728</v>
      </c>
      <c r="AO218" s="180" t="s">
        <v>2729</v>
      </c>
      <c r="AP218" s="180" t="s">
        <v>2403</v>
      </c>
      <c r="AQ218" s="180" t="s">
        <v>2404</v>
      </c>
      <c r="AR218" s="180" t="s">
        <v>2405</v>
      </c>
      <c r="AS218" s="180" t="s">
        <v>2406</v>
      </c>
      <c r="AT218" s="180" t="s">
        <v>2407</v>
      </c>
      <c r="AU218" s="180" t="s">
        <v>2408</v>
      </c>
      <c r="AV218" s="180" t="s">
        <v>2409</v>
      </c>
      <c r="AW218" s="180" t="s">
        <v>2410</v>
      </c>
      <c r="AX218" s="180" t="s">
        <v>2730</v>
      </c>
      <c r="AY218" s="180" t="s">
        <v>2412</v>
      </c>
      <c r="AZ218" s="180" t="s">
        <v>2731</v>
      </c>
      <c r="BA218" s="180" t="s">
        <v>2414</v>
      </c>
      <c r="BB218" s="180" t="s">
        <v>2415</v>
      </c>
      <c r="BC218" s="180" t="s">
        <v>2416</v>
      </c>
      <c r="BD218" s="180" t="s">
        <v>2417</v>
      </c>
      <c r="BE218" s="180" t="s">
        <v>2418</v>
      </c>
      <c r="BF218" s="180" t="s">
        <v>2206</v>
      </c>
      <c r="BG218" s="180" t="s">
        <v>2419</v>
      </c>
      <c r="BH218" s="180" t="s">
        <v>2420</v>
      </c>
      <c r="BI218" s="180" t="s">
        <v>2732</v>
      </c>
      <c r="BJ218" s="180" t="s">
        <v>2733</v>
      </c>
      <c r="BK218" s="180" t="s">
        <v>2423</v>
      </c>
      <c r="BL218" s="180" t="s">
        <v>2424</v>
      </c>
      <c r="BM218" s="180" t="s">
        <v>2734</v>
      </c>
      <c r="BN218" s="180" t="s">
        <v>2426</v>
      </c>
      <c r="BO218" s="180" t="s">
        <v>2735</v>
      </c>
      <c r="BP218" s="180" t="s">
        <v>2428</v>
      </c>
      <c r="BQ218" s="180" t="s">
        <v>2429</v>
      </c>
      <c r="BR218" s="180" t="s">
        <v>2430</v>
      </c>
      <c r="BS218" s="180" t="s">
        <v>2736</v>
      </c>
      <c r="BT218" s="180" t="s">
        <v>2432</v>
      </c>
      <c r="BU218" s="180" t="s">
        <v>2737</v>
      </c>
      <c r="BV218" s="180" t="s">
        <v>2434</v>
      </c>
      <c r="BW218" s="180" t="s">
        <v>2435</v>
      </c>
      <c r="BX218" s="180"/>
      <c r="BY218" s="180"/>
      <c r="BZ218" s="180" t="s">
        <v>2437</v>
      </c>
      <c r="CA218" s="180" t="s">
        <v>2438</v>
      </c>
      <c r="CB218" s="180"/>
      <c r="CC218" s="180" t="s">
        <v>2738</v>
      </c>
      <c r="CD218" s="180" t="s">
        <v>2441</v>
      </c>
      <c r="CE218" s="180" t="s">
        <v>2442</v>
      </c>
      <c r="CF218" s="180" t="s">
        <v>2443</v>
      </c>
      <c r="CG218" s="180" t="s">
        <v>2444</v>
      </c>
      <c r="CH218" s="180" t="s">
        <v>2739</v>
      </c>
      <c r="CI218" s="180" t="s">
        <v>2446</v>
      </c>
      <c r="CJ218" s="180" t="s">
        <v>2740</v>
      </c>
      <c r="CK218" s="180" t="s">
        <v>2741</v>
      </c>
      <c r="CL218" s="180" t="s">
        <v>2449</v>
      </c>
      <c r="CM218" s="180" t="s">
        <v>2450</v>
      </c>
      <c r="CN218" s="180" t="s">
        <v>2451</v>
      </c>
      <c r="CO218" s="180" t="s">
        <v>2742</v>
      </c>
      <c r="CP218" s="180" t="s">
        <v>2453</v>
      </c>
      <c r="CQ218" s="180" t="s">
        <v>2454</v>
      </c>
      <c r="CR218" s="180" t="s">
        <v>2743</v>
      </c>
      <c r="CS218" s="180" t="s">
        <v>2456</v>
      </c>
      <c r="CT218" s="180"/>
      <c r="CU218" s="180"/>
    </row>
    <row r="219" spans="1:99" x14ac:dyDescent="0.3">
      <c r="A219" s="155">
        <v>962</v>
      </c>
      <c r="B219" s="180" t="s">
        <v>993</v>
      </c>
      <c r="C219" s="180"/>
      <c r="D219" s="180" t="s">
        <v>997</v>
      </c>
      <c r="E219" s="180" t="s">
        <v>994</v>
      </c>
      <c r="F219" s="180" t="s">
        <v>995</v>
      </c>
      <c r="G219" s="180" t="s">
        <v>997</v>
      </c>
      <c r="H219" s="180" t="s">
        <v>995</v>
      </c>
      <c r="I219" s="180" t="s">
        <v>995</v>
      </c>
      <c r="J219" s="180" t="s">
        <v>994</v>
      </c>
      <c r="K219" s="180"/>
      <c r="L219" s="180" t="s">
        <v>452</v>
      </c>
      <c r="M219" s="180" t="s">
        <v>2114</v>
      </c>
      <c r="N219" s="180"/>
      <c r="O219" s="180" t="s">
        <v>2744</v>
      </c>
      <c r="P219" s="180" t="s">
        <v>995</v>
      </c>
      <c r="Q219" s="180" t="s">
        <v>2458</v>
      </c>
      <c r="R219" s="180" t="s">
        <v>995</v>
      </c>
      <c r="S219" s="180" t="s">
        <v>2745</v>
      </c>
      <c r="T219" s="180" t="s">
        <v>2106</v>
      </c>
      <c r="U219" s="180" t="s">
        <v>995</v>
      </c>
      <c r="V219" s="180" t="s">
        <v>994</v>
      </c>
      <c r="W219" s="180" t="s">
        <v>994</v>
      </c>
      <c r="X219" s="180" t="s">
        <v>994</v>
      </c>
      <c r="Y219" s="180" t="s">
        <v>995</v>
      </c>
      <c r="Z219" s="180" t="s">
        <v>995</v>
      </c>
      <c r="AA219" s="180" t="s">
        <v>2037</v>
      </c>
      <c r="AB219" s="180" t="s">
        <v>996</v>
      </c>
      <c r="AC219" s="180" t="s">
        <v>995</v>
      </c>
      <c r="AD219" s="180"/>
      <c r="AE219" s="180" t="s">
        <v>995</v>
      </c>
      <c r="AF219" s="180" t="s">
        <v>2464</v>
      </c>
      <c r="AG219" s="180" t="s">
        <v>994</v>
      </c>
      <c r="AH219" s="180" t="s">
        <v>2465</v>
      </c>
      <c r="AI219" s="180" t="s">
        <v>995</v>
      </c>
      <c r="AJ219" s="180" t="s">
        <v>995</v>
      </c>
      <c r="AK219" s="180" t="s">
        <v>995</v>
      </c>
      <c r="AL219" s="180" t="s">
        <v>994</v>
      </c>
      <c r="AM219" s="180" t="s">
        <v>994</v>
      </c>
      <c r="AN219" s="180" t="s">
        <v>2467</v>
      </c>
      <c r="AO219" s="180" t="s">
        <v>2037</v>
      </c>
      <c r="AP219" s="180" t="s">
        <v>2467</v>
      </c>
      <c r="AQ219" s="180" t="s">
        <v>994</v>
      </c>
      <c r="AR219" s="180" t="s">
        <v>2468</v>
      </c>
      <c r="AS219" s="180" t="s">
        <v>997</v>
      </c>
      <c r="AT219" s="180" t="s">
        <v>995</v>
      </c>
      <c r="AU219" s="180" t="s">
        <v>995</v>
      </c>
      <c r="AV219" s="180" t="s">
        <v>996</v>
      </c>
      <c r="AW219" s="180" t="s">
        <v>2469</v>
      </c>
      <c r="AX219" s="180" t="s">
        <v>997</v>
      </c>
      <c r="AY219" s="180" t="s">
        <v>2081</v>
      </c>
      <c r="AZ219" s="180" t="s">
        <v>995</v>
      </c>
      <c r="BA219" s="180" t="s">
        <v>1991</v>
      </c>
      <c r="BB219" s="180" t="s">
        <v>995</v>
      </c>
      <c r="BC219" s="180" t="s">
        <v>995</v>
      </c>
      <c r="BD219" s="180" t="s">
        <v>995</v>
      </c>
      <c r="BE219" s="180" t="s">
        <v>998</v>
      </c>
      <c r="BF219" s="180" t="s">
        <v>997</v>
      </c>
      <c r="BG219" s="180" t="s">
        <v>2471</v>
      </c>
      <c r="BH219" s="180" t="s">
        <v>995</v>
      </c>
      <c r="BI219" s="180" t="s">
        <v>996</v>
      </c>
      <c r="BJ219" s="180" t="s">
        <v>2746</v>
      </c>
      <c r="BK219" s="180" t="s">
        <v>997</v>
      </c>
      <c r="BL219" s="180" t="s">
        <v>995</v>
      </c>
      <c r="BM219" s="180" t="s">
        <v>994</v>
      </c>
      <c r="BN219" s="180" t="s">
        <v>994</v>
      </c>
      <c r="BO219" s="180" t="s">
        <v>995</v>
      </c>
      <c r="BP219" s="180" t="s">
        <v>995</v>
      </c>
      <c r="BQ219" s="180" t="s">
        <v>995</v>
      </c>
      <c r="BR219" s="180" t="s">
        <v>995</v>
      </c>
      <c r="BS219" s="180" t="s">
        <v>994</v>
      </c>
      <c r="BT219" s="180" t="s">
        <v>2473</v>
      </c>
      <c r="BU219" s="180" t="s">
        <v>995</v>
      </c>
      <c r="BV219" s="180" t="s">
        <v>996</v>
      </c>
      <c r="BW219" s="180" t="s">
        <v>994</v>
      </c>
      <c r="BX219" s="180"/>
      <c r="BY219" s="180"/>
      <c r="BZ219" s="180" t="s">
        <v>994</v>
      </c>
      <c r="CA219" s="180" t="s">
        <v>995</v>
      </c>
      <c r="CB219" s="180"/>
      <c r="CC219" s="180" t="s">
        <v>1992</v>
      </c>
      <c r="CD219" s="180" t="s">
        <v>994</v>
      </c>
      <c r="CE219" s="180" t="s">
        <v>1991</v>
      </c>
      <c r="CF219" s="180" t="s">
        <v>995</v>
      </c>
      <c r="CG219" s="180" t="s">
        <v>1136</v>
      </c>
      <c r="CH219" s="180" t="s">
        <v>995</v>
      </c>
      <c r="CI219" s="180" t="s">
        <v>995</v>
      </c>
      <c r="CJ219" s="180" t="s">
        <v>1991</v>
      </c>
      <c r="CK219" s="180" t="s">
        <v>994</v>
      </c>
      <c r="CL219" s="180" t="s">
        <v>995</v>
      </c>
      <c r="CM219" s="180" t="s">
        <v>995</v>
      </c>
      <c r="CN219" s="180" t="s">
        <v>998</v>
      </c>
      <c r="CO219" s="180" t="s">
        <v>995</v>
      </c>
      <c r="CP219" s="180" t="s">
        <v>2747</v>
      </c>
      <c r="CQ219" s="180" t="s">
        <v>2748</v>
      </c>
      <c r="CR219" s="180" t="s">
        <v>995</v>
      </c>
      <c r="CS219" s="180" t="s">
        <v>994</v>
      </c>
      <c r="CT219" s="180"/>
      <c r="CU219" s="180"/>
    </row>
    <row r="220" spans="1:99" x14ac:dyDescent="0.3">
      <c r="A220" s="155">
        <v>964</v>
      </c>
      <c r="B220" s="180" t="s">
        <v>999</v>
      </c>
      <c r="C220" s="180"/>
      <c r="D220" s="180" t="s">
        <v>1684</v>
      </c>
      <c r="E220" s="180" t="s">
        <v>2749</v>
      </c>
      <c r="F220" s="180" t="s">
        <v>2054</v>
      </c>
      <c r="G220" s="180" t="s">
        <v>1688</v>
      </c>
      <c r="H220" s="180" t="s">
        <v>2151</v>
      </c>
      <c r="I220" s="180" t="s">
        <v>1681</v>
      </c>
      <c r="J220" s="180" t="s">
        <v>2161</v>
      </c>
      <c r="K220" s="180"/>
      <c r="L220" s="180" t="s">
        <v>1696</v>
      </c>
      <c r="M220" s="180" t="s">
        <v>2750</v>
      </c>
      <c r="N220" s="180"/>
      <c r="O220" s="180" t="s">
        <v>2002</v>
      </c>
      <c r="P220" s="180" t="s">
        <v>1693</v>
      </c>
      <c r="Q220" s="180" t="s">
        <v>1679</v>
      </c>
      <c r="R220" s="180" t="s">
        <v>2080</v>
      </c>
      <c r="S220" s="180" t="s">
        <v>1695</v>
      </c>
      <c r="T220" s="180" t="s">
        <v>2080</v>
      </c>
      <c r="U220" s="180" t="s">
        <v>2085</v>
      </c>
      <c r="V220" s="180" t="s">
        <v>2053</v>
      </c>
      <c r="W220" s="180" t="s">
        <v>1686</v>
      </c>
      <c r="X220" s="180" t="s">
        <v>1685</v>
      </c>
      <c r="Y220" s="180" t="s">
        <v>2147</v>
      </c>
      <c r="Z220" s="180" t="s">
        <v>1993</v>
      </c>
      <c r="AA220" s="180" t="s">
        <v>1692</v>
      </c>
      <c r="AB220" s="180" t="s">
        <v>1681</v>
      </c>
      <c r="AC220" s="180" t="s">
        <v>1682</v>
      </c>
      <c r="AD220" s="180"/>
      <c r="AE220" s="180" t="s">
        <v>2146</v>
      </c>
      <c r="AF220" s="180" t="s">
        <v>1684</v>
      </c>
      <c r="AG220" s="180" t="s">
        <v>2751</v>
      </c>
      <c r="AH220" s="180" t="s">
        <v>1680</v>
      </c>
      <c r="AI220" s="180" t="s">
        <v>2051</v>
      </c>
      <c r="AJ220" s="180" t="s">
        <v>2053</v>
      </c>
      <c r="AK220" s="180" t="s">
        <v>2752</v>
      </c>
      <c r="AL220" s="180" t="s">
        <v>2026</v>
      </c>
      <c r="AM220" s="180" t="s">
        <v>2150</v>
      </c>
      <c r="AN220" s="180" t="s">
        <v>2753</v>
      </c>
      <c r="AO220" s="180" t="s">
        <v>2754</v>
      </c>
      <c r="AP220" s="180" t="s">
        <v>1684</v>
      </c>
      <c r="AQ220" s="180" t="s">
        <v>2149</v>
      </c>
      <c r="AR220" s="180" t="s">
        <v>2751</v>
      </c>
      <c r="AS220" s="180" t="s">
        <v>2146</v>
      </c>
      <c r="AT220" s="180" t="s">
        <v>1684</v>
      </c>
      <c r="AU220" s="180" t="s">
        <v>1694</v>
      </c>
      <c r="AV220" s="180" t="s">
        <v>1681</v>
      </c>
      <c r="AW220" s="180" t="s">
        <v>1685</v>
      </c>
      <c r="AX220" s="180" t="s">
        <v>2755</v>
      </c>
      <c r="AY220" s="180" t="s">
        <v>2756</v>
      </c>
      <c r="AZ220" s="180" t="s">
        <v>2757</v>
      </c>
      <c r="BA220" s="180" t="s">
        <v>2001</v>
      </c>
      <c r="BB220" s="180" t="s">
        <v>2758</v>
      </c>
      <c r="BC220" s="180" t="s">
        <v>2759</v>
      </c>
      <c r="BD220" s="180" t="s">
        <v>2760</v>
      </c>
      <c r="BE220" s="180" t="s">
        <v>2156</v>
      </c>
      <c r="BF220" s="180" t="s">
        <v>1687</v>
      </c>
      <c r="BG220" s="180" t="s">
        <v>2152</v>
      </c>
      <c r="BH220" s="180" t="s">
        <v>2001</v>
      </c>
      <c r="BI220" s="180" t="s">
        <v>2026</v>
      </c>
      <c r="BJ220" s="180" t="s">
        <v>2761</v>
      </c>
      <c r="BK220" s="180" t="s">
        <v>2051</v>
      </c>
      <c r="BL220" s="180" t="s">
        <v>2762</v>
      </c>
      <c r="BM220" s="180" t="s">
        <v>1691</v>
      </c>
      <c r="BN220" s="180" t="s">
        <v>1681</v>
      </c>
      <c r="BO220" s="180" t="s">
        <v>1681</v>
      </c>
      <c r="BP220" s="180" t="s">
        <v>1684</v>
      </c>
      <c r="BQ220" s="180" t="s">
        <v>2763</v>
      </c>
      <c r="BR220" s="180" t="s">
        <v>2764</v>
      </c>
      <c r="BS220" s="180" t="s">
        <v>2074</v>
      </c>
      <c r="BT220" s="180" t="s">
        <v>2761</v>
      </c>
      <c r="BU220" s="180" t="s">
        <v>1687</v>
      </c>
      <c r="BV220" s="180" t="s">
        <v>1687</v>
      </c>
      <c r="BW220" s="180" t="s">
        <v>1990</v>
      </c>
      <c r="BX220" s="180"/>
      <c r="BY220" s="180"/>
      <c r="BZ220" s="180" t="s">
        <v>1687</v>
      </c>
      <c r="CA220" s="180" t="s">
        <v>1680</v>
      </c>
      <c r="CB220" s="180"/>
      <c r="CC220" s="180" t="s">
        <v>2159</v>
      </c>
      <c r="CD220" s="180" t="s">
        <v>1680</v>
      </c>
      <c r="CE220" s="180" t="s">
        <v>2084</v>
      </c>
      <c r="CF220" s="180" t="s">
        <v>2052</v>
      </c>
      <c r="CG220" s="180" t="s">
        <v>2002</v>
      </c>
      <c r="CH220" s="180" t="s">
        <v>2023</v>
      </c>
      <c r="CI220" s="180" t="s">
        <v>1685</v>
      </c>
      <c r="CJ220" s="180" t="s">
        <v>2051</v>
      </c>
      <c r="CK220" s="180" t="s">
        <v>2151</v>
      </c>
      <c r="CL220" s="180" t="s">
        <v>2153</v>
      </c>
      <c r="CM220" s="180" t="s">
        <v>2158</v>
      </c>
      <c r="CN220" s="180" t="s">
        <v>2091</v>
      </c>
      <c r="CO220" s="180" t="s">
        <v>1688</v>
      </c>
      <c r="CP220" s="180" t="s">
        <v>2765</v>
      </c>
      <c r="CQ220" s="180" t="s">
        <v>2003</v>
      </c>
      <c r="CR220" s="180" t="s">
        <v>2766</v>
      </c>
      <c r="CS220" s="180" t="s">
        <v>2001</v>
      </c>
      <c r="CT220" s="180"/>
      <c r="CU220" s="180"/>
    </row>
    <row r="221" spans="1:99" x14ac:dyDescent="0.3">
      <c r="A221" s="155">
        <v>966</v>
      </c>
      <c r="B221" s="180" t="s">
        <v>1010</v>
      </c>
      <c r="C221" s="180"/>
      <c r="D221" s="180" t="s">
        <v>2489</v>
      </c>
      <c r="E221" s="180" t="s">
        <v>2490</v>
      </c>
      <c r="F221" s="180" t="s">
        <v>2491</v>
      </c>
      <c r="G221" s="180" t="s">
        <v>2492</v>
      </c>
      <c r="H221" s="180" t="s">
        <v>2493</v>
      </c>
      <c r="I221" s="180" t="s">
        <v>2494</v>
      </c>
      <c r="J221" s="180" t="s">
        <v>2767</v>
      </c>
      <c r="K221" s="180"/>
      <c r="L221" s="180" t="s">
        <v>2497</v>
      </c>
      <c r="M221" s="180" t="s">
        <v>2768</v>
      </c>
      <c r="N221" s="180"/>
      <c r="O221" s="180" t="s">
        <v>2500</v>
      </c>
      <c r="P221" s="180" t="s">
        <v>2501</v>
      </c>
      <c r="Q221" s="180" t="s">
        <v>2502</v>
      </c>
      <c r="R221" s="180" t="s">
        <v>2503</v>
      </c>
      <c r="S221" s="180" t="s">
        <v>2769</v>
      </c>
      <c r="T221" s="180" t="s">
        <v>2770</v>
      </c>
      <c r="U221" s="180" t="s">
        <v>2505</v>
      </c>
      <c r="V221" s="180" t="s">
        <v>2771</v>
      </c>
      <c r="W221" s="180" t="s">
        <v>2772</v>
      </c>
      <c r="X221" s="180" t="s">
        <v>2508</v>
      </c>
      <c r="Y221" s="180" t="s">
        <v>2509</v>
      </c>
      <c r="Z221" s="180" t="s">
        <v>2510</v>
      </c>
      <c r="AA221" s="180" t="s">
        <v>2511</v>
      </c>
      <c r="AB221" s="180" t="s">
        <v>2512</v>
      </c>
      <c r="AC221" s="180" t="s">
        <v>2513</v>
      </c>
      <c r="AD221" s="180"/>
      <c r="AE221" s="180" t="s">
        <v>2515</v>
      </c>
      <c r="AF221" s="180" t="s">
        <v>2516</v>
      </c>
      <c r="AG221" s="180" t="s">
        <v>2517</v>
      </c>
      <c r="AH221" s="180" t="s">
        <v>2518</v>
      </c>
      <c r="AI221" s="180" t="s">
        <v>2519</v>
      </c>
      <c r="AJ221" s="180" t="s">
        <v>2520</v>
      </c>
      <c r="AK221" s="180" t="s">
        <v>2773</v>
      </c>
      <c r="AL221" s="180" t="s">
        <v>2774</v>
      </c>
      <c r="AM221" s="180" t="s">
        <v>2523</v>
      </c>
      <c r="AN221" s="180" t="s">
        <v>2524</v>
      </c>
      <c r="AO221" s="180" t="s">
        <v>2775</v>
      </c>
      <c r="AP221" s="180" t="s">
        <v>2526</v>
      </c>
      <c r="AQ221" s="180" t="s">
        <v>2527</v>
      </c>
      <c r="AR221" s="180" t="s">
        <v>2528</v>
      </c>
      <c r="AS221" s="180" t="s">
        <v>2529</v>
      </c>
      <c r="AT221" s="180" t="s">
        <v>2530</v>
      </c>
      <c r="AU221" s="180" t="s">
        <v>2531</v>
      </c>
      <c r="AV221" s="180" t="s">
        <v>2776</v>
      </c>
      <c r="AW221" s="180" t="s">
        <v>2533</v>
      </c>
      <c r="AX221" s="180" t="s">
        <v>2534</v>
      </c>
      <c r="AY221" s="180" t="s">
        <v>2535</v>
      </c>
      <c r="AZ221" s="180" t="s">
        <v>2536</v>
      </c>
      <c r="BA221" s="180" t="s">
        <v>2537</v>
      </c>
      <c r="BB221" s="180" t="s">
        <v>2538</v>
      </c>
      <c r="BC221" s="180" t="s">
        <v>2539</v>
      </c>
      <c r="BD221" s="180" t="s">
        <v>2540</v>
      </c>
      <c r="BE221" s="180" t="s">
        <v>2541</v>
      </c>
      <c r="BF221" s="180" t="s">
        <v>2542</v>
      </c>
      <c r="BG221" s="180" t="s">
        <v>2543</v>
      </c>
      <c r="BH221" s="180" t="s">
        <v>2777</v>
      </c>
      <c r="BI221" s="180" t="s">
        <v>2545</v>
      </c>
      <c r="BJ221" s="180" t="s">
        <v>2546</v>
      </c>
      <c r="BK221" s="180" t="s">
        <v>2547</v>
      </c>
      <c r="BL221" s="180" t="s">
        <v>2548</v>
      </c>
      <c r="BM221" s="180" t="s">
        <v>2778</v>
      </c>
      <c r="BN221" s="180" t="s">
        <v>2779</v>
      </c>
      <c r="BO221" s="180" t="s">
        <v>2551</v>
      </c>
      <c r="BP221" s="180" t="s">
        <v>2552</v>
      </c>
      <c r="BQ221" s="180" t="s">
        <v>2553</v>
      </c>
      <c r="BR221" s="180" t="s">
        <v>2554</v>
      </c>
      <c r="BS221" s="180" t="s">
        <v>2780</v>
      </c>
      <c r="BT221" s="180" t="s">
        <v>2556</v>
      </c>
      <c r="BU221" s="180" t="s">
        <v>2557</v>
      </c>
      <c r="BV221" s="180" t="s">
        <v>2558</v>
      </c>
      <c r="BW221" s="180" t="s">
        <v>2781</v>
      </c>
      <c r="BX221" s="180"/>
      <c r="BY221" s="180"/>
      <c r="BZ221" s="180" t="s">
        <v>2782</v>
      </c>
      <c r="CA221" s="180" t="s">
        <v>2783</v>
      </c>
      <c r="CB221" s="180"/>
      <c r="CC221" s="180" t="s">
        <v>2564</v>
      </c>
      <c r="CD221" s="180"/>
      <c r="CE221" s="180" t="s">
        <v>2565</v>
      </c>
      <c r="CF221" s="180" t="s">
        <v>2566</v>
      </c>
      <c r="CG221" s="180" t="s">
        <v>2567</v>
      </c>
      <c r="CH221" s="180" t="s">
        <v>2784</v>
      </c>
      <c r="CI221" s="180" t="s">
        <v>2569</v>
      </c>
      <c r="CJ221" s="180" t="s">
        <v>2785</v>
      </c>
      <c r="CK221" s="180" t="s">
        <v>2786</v>
      </c>
      <c r="CL221" s="180" t="s">
        <v>2787</v>
      </c>
      <c r="CM221" s="180" t="s">
        <v>2573</v>
      </c>
      <c r="CN221" s="180" t="s">
        <v>2574</v>
      </c>
      <c r="CO221" s="180" t="s">
        <v>2788</v>
      </c>
      <c r="CP221" s="180" t="s">
        <v>2576</v>
      </c>
      <c r="CQ221" s="180" t="s">
        <v>2577</v>
      </c>
      <c r="CR221" s="180" t="s">
        <v>2578</v>
      </c>
      <c r="CS221" s="180" t="s">
        <v>2579</v>
      </c>
      <c r="CT221" s="180"/>
      <c r="CU221" s="180"/>
    </row>
    <row r="222" spans="1:99" x14ac:dyDescent="0.3">
      <c r="A222" s="155">
        <v>968</v>
      </c>
      <c r="B222" s="180" t="s">
        <v>1011</v>
      </c>
      <c r="C222" s="180"/>
      <c r="D222" s="180" t="s">
        <v>2580</v>
      </c>
      <c r="E222" s="180" t="s">
        <v>2789</v>
      </c>
      <c r="F222" s="180" t="s">
        <v>2582</v>
      </c>
      <c r="G222" s="180" t="s">
        <v>2790</v>
      </c>
      <c r="H222" s="180" t="s">
        <v>2584</v>
      </c>
      <c r="I222" s="180" t="s">
        <v>2585</v>
      </c>
      <c r="J222" s="180" t="s">
        <v>2586</v>
      </c>
      <c r="K222" s="180"/>
      <c r="L222" s="180" t="s">
        <v>2588</v>
      </c>
      <c r="M222" s="180" t="s">
        <v>2791</v>
      </c>
      <c r="N222" s="180"/>
      <c r="O222" s="180" t="s">
        <v>2591</v>
      </c>
      <c r="P222" s="180" t="s">
        <v>2592</v>
      </c>
      <c r="Q222" s="180" t="s">
        <v>2792</v>
      </c>
      <c r="R222" s="180" t="s">
        <v>2594</v>
      </c>
      <c r="S222" s="180" t="s">
        <v>2793</v>
      </c>
      <c r="T222" s="180" t="s">
        <v>2596</v>
      </c>
      <c r="U222" s="180" t="s">
        <v>2597</v>
      </c>
      <c r="V222" s="180" t="s">
        <v>2598</v>
      </c>
      <c r="W222" s="180" t="s">
        <v>2599</v>
      </c>
      <c r="X222" s="180" t="s">
        <v>2600</v>
      </c>
      <c r="Y222" s="180" t="s">
        <v>2601</v>
      </c>
      <c r="Z222" s="180" t="s">
        <v>2794</v>
      </c>
      <c r="AA222" s="180" t="s">
        <v>2603</v>
      </c>
      <c r="AB222" s="180" t="s">
        <v>2604</v>
      </c>
      <c r="AC222" s="180" t="s">
        <v>2605</v>
      </c>
      <c r="AD222" s="180"/>
      <c r="AE222" s="180" t="s">
        <v>2795</v>
      </c>
      <c r="AF222" s="180" t="s">
        <v>2608</v>
      </c>
      <c r="AG222" s="180" t="s">
        <v>2609</v>
      </c>
      <c r="AH222" s="180" t="s">
        <v>2610</v>
      </c>
      <c r="AI222" s="180" t="s">
        <v>2611</v>
      </c>
      <c r="AJ222" s="180" t="s">
        <v>2796</v>
      </c>
      <c r="AK222" s="180" t="s">
        <v>2613</v>
      </c>
      <c r="AL222" s="180" t="s">
        <v>2797</v>
      </c>
      <c r="AM222" s="180" t="s">
        <v>2798</v>
      </c>
      <c r="AN222" s="180" t="s">
        <v>2616</v>
      </c>
      <c r="AO222" s="180" t="s">
        <v>2617</v>
      </c>
      <c r="AP222" s="180" t="s">
        <v>2618</v>
      </c>
      <c r="AQ222" s="180" t="s">
        <v>2619</v>
      </c>
      <c r="AR222" s="180" t="s">
        <v>2620</v>
      </c>
      <c r="AS222" s="180" t="s">
        <v>2621</v>
      </c>
      <c r="AT222" s="180" t="s">
        <v>2622</v>
      </c>
      <c r="AU222" s="180" t="s">
        <v>2623</v>
      </c>
      <c r="AV222" s="180" t="s">
        <v>2624</v>
      </c>
      <c r="AW222" s="180" t="s">
        <v>2625</v>
      </c>
      <c r="AX222" s="180" t="s">
        <v>2626</v>
      </c>
      <c r="AY222" s="180" t="s">
        <v>2627</v>
      </c>
      <c r="AZ222" s="180" t="s">
        <v>2628</v>
      </c>
      <c r="BA222" s="180" t="s">
        <v>2629</v>
      </c>
      <c r="BB222" s="180" t="s">
        <v>2630</v>
      </c>
      <c r="BC222" s="180" t="s">
        <v>2631</v>
      </c>
      <c r="BD222" s="180" t="s">
        <v>2632</v>
      </c>
      <c r="BE222" s="180" t="s">
        <v>2633</v>
      </c>
      <c r="BF222" s="180" t="s">
        <v>2634</v>
      </c>
      <c r="BG222" s="180" t="s">
        <v>2635</v>
      </c>
      <c r="BH222" s="180" t="s">
        <v>2636</v>
      </c>
      <c r="BI222" s="180" t="s">
        <v>2799</v>
      </c>
      <c r="BJ222" s="180" t="s">
        <v>2800</v>
      </c>
      <c r="BK222" s="180" t="s">
        <v>2801</v>
      </c>
      <c r="BL222" s="180" t="s">
        <v>2640</v>
      </c>
      <c r="BM222" s="180" t="s">
        <v>2802</v>
      </c>
      <c r="BN222" s="180" t="s">
        <v>2642</v>
      </c>
      <c r="BO222" s="180" t="s">
        <v>2803</v>
      </c>
      <c r="BP222" s="180" t="s">
        <v>2644</v>
      </c>
      <c r="BQ222" s="180" t="s">
        <v>2645</v>
      </c>
      <c r="BR222" s="180" t="s">
        <v>2646</v>
      </c>
      <c r="BS222" s="180" t="s">
        <v>2804</v>
      </c>
      <c r="BT222" s="180" t="s">
        <v>2805</v>
      </c>
      <c r="BU222" s="180" t="s">
        <v>2649</v>
      </c>
      <c r="BV222" s="180" t="s">
        <v>2650</v>
      </c>
      <c r="BW222" s="180" t="s">
        <v>2651</v>
      </c>
      <c r="BX222" s="180"/>
      <c r="BY222" s="180"/>
      <c r="BZ222" s="180" t="s">
        <v>2653</v>
      </c>
      <c r="CA222" s="180" t="s">
        <v>2654</v>
      </c>
      <c r="CB222" s="180"/>
      <c r="CC222" s="180" t="s">
        <v>2806</v>
      </c>
      <c r="CD222" s="180" t="s">
        <v>2657</v>
      </c>
      <c r="CE222" s="180" t="s">
        <v>2658</v>
      </c>
      <c r="CF222" s="180" t="s">
        <v>2659</v>
      </c>
      <c r="CG222" s="180" t="s">
        <v>2660</v>
      </c>
      <c r="CH222" s="180" t="s">
        <v>2807</v>
      </c>
      <c r="CI222" s="180" t="s">
        <v>2662</v>
      </c>
      <c r="CJ222" s="180" t="s">
        <v>2808</v>
      </c>
      <c r="CK222" s="180" t="s">
        <v>2809</v>
      </c>
      <c r="CL222" s="180" t="s">
        <v>2665</v>
      </c>
      <c r="CM222" s="180" t="s">
        <v>2666</v>
      </c>
      <c r="CN222" s="180" t="s">
        <v>2667</v>
      </c>
      <c r="CO222" s="180" t="s">
        <v>2810</v>
      </c>
      <c r="CP222" s="180" t="s">
        <v>2669</v>
      </c>
      <c r="CQ222" s="180" t="s">
        <v>2670</v>
      </c>
      <c r="CR222" s="180" t="s">
        <v>2811</v>
      </c>
      <c r="CS222" s="180" t="s">
        <v>2672</v>
      </c>
      <c r="CT222" s="180"/>
      <c r="CU222" s="180"/>
    </row>
    <row r="223" spans="1:99" s="557" customFormat="1" x14ac:dyDescent="0.3">
      <c r="A223" s="556">
        <v>973</v>
      </c>
      <c r="B223" s="557" t="s">
        <v>1690</v>
      </c>
      <c r="D223" s="557">
        <v>0</v>
      </c>
      <c r="E223" s="557">
        <v>0</v>
      </c>
      <c r="F223" s="557">
        <v>0</v>
      </c>
      <c r="G223" s="557">
        <v>0</v>
      </c>
      <c r="H223" s="557">
        <v>0</v>
      </c>
      <c r="I223" s="557">
        <v>0</v>
      </c>
      <c r="J223" s="557">
        <v>0</v>
      </c>
      <c r="L223" s="557">
        <v>0</v>
      </c>
      <c r="M223" s="557">
        <v>0</v>
      </c>
      <c r="O223" s="557">
        <v>0</v>
      </c>
      <c r="P223" s="557">
        <v>0</v>
      </c>
      <c r="Q223" s="557">
        <v>0</v>
      </c>
      <c r="R223" s="557">
        <v>0</v>
      </c>
      <c r="S223" s="557">
        <v>0</v>
      </c>
      <c r="T223" s="557">
        <v>0</v>
      </c>
      <c r="U223" s="557">
        <v>0</v>
      </c>
      <c r="V223" s="557">
        <v>0</v>
      </c>
      <c r="W223" s="557">
        <v>0</v>
      </c>
      <c r="X223" s="557">
        <v>0</v>
      </c>
      <c r="Y223" s="557">
        <v>0</v>
      </c>
      <c r="Z223" s="557">
        <v>0</v>
      </c>
      <c r="AA223" s="557">
        <v>0</v>
      </c>
      <c r="AB223" s="557">
        <v>0</v>
      </c>
      <c r="AC223" s="557">
        <v>0</v>
      </c>
      <c r="AE223" s="557">
        <v>0</v>
      </c>
      <c r="AF223" s="557">
        <v>0</v>
      </c>
      <c r="AG223" s="557">
        <v>0</v>
      </c>
      <c r="AH223" s="557">
        <v>0</v>
      </c>
      <c r="AI223" s="557">
        <v>0</v>
      </c>
      <c r="AJ223" s="557">
        <v>0</v>
      </c>
      <c r="AK223" s="557">
        <v>0</v>
      </c>
      <c r="AL223" s="557">
        <v>0</v>
      </c>
      <c r="AM223" s="557">
        <v>0</v>
      </c>
      <c r="AN223" s="557">
        <v>0</v>
      </c>
      <c r="AO223" s="557">
        <v>1</v>
      </c>
      <c r="AP223" s="557">
        <v>0</v>
      </c>
      <c r="AQ223" s="557">
        <v>0</v>
      </c>
      <c r="AR223" s="557">
        <v>0</v>
      </c>
      <c r="AS223" s="557">
        <v>0</v>
      </c>
      <c r="AT223" s="557">
        <v>0</v>
      </c>
      <c r="AU223" s="557">
        <v>0</v>
      </c>
      <c r="AV223" s="557">
        <v>0</v>
      </c>
      <c r="AW223" s="557">
        <v>0</v>
      </c>
      <c r="AX223" s="557">
        <v>0</v>
      </c>
      <c r="AY223" s="557">
        <v>1</v>
      </c>
      <c r="AZ223" s="557">
        <v>0</v>
      </c>
      <c r="BA223" s="557">
        <v>0</v>
      </c>
      <c r="BB223" s="557">
        <v>0</v>
      </c>
      <c r="BC223" s="557">
        <v>0</v>
      </c>
      <c r="BD223" s="557">
        <v>0</v>
      </c>
      <c r="BE223" s="557">
        <v>0</v>
      </c>
      <c r="BF223" s="557">
        <v>0</v>
      </c>
      <c r="BG223" s="557">
        <v>1</v>
      </c>
      <c r="BH223" s="557">
        <v>0</v>
      </c>
      <c r="BI223" s="557">
        <v>0</v>
      </c>
      <c r="BJ223" s="557">
        <v>0</v>
      </c>
      <c r="BK223" s="557">
        <v>0</v>
      </c>
      <c r="BL223" s="557">
        <v>0</v>
      </c>
      <c r="BM223" s="557">
        <v>0</v>
      </c>
      <c r="BN223" s="557">
        <v>0</v>
      </c>
      <c r="BO223" s="557">
        <v>0</v>
      </c>
      <c r="BP223" s="557">
        <v>0</v>
      </c>
      <c r="BQ223" s="557">
        <v>0</v>
      </c>
      <c r="BR223" s="557">
        <v>0</v>
      </c>
      <c r="BS223" s="557">
        <v>0</v>
      </c>
      <c r="BT223" s="557">
        <v>0</v>
      </c>
      <c r="BU223" s="557">
        <v>0</v>
      </c>
      <c r="BV223" s="557">
        <v>0</v>
      </c>
      <c r="BW223" s="557">
        <v>0</v>
      </c>
      <c r="BZ223" s="557">
        <v>0</v>
      </c>
      <c r="CA223" s="557">
        <v>0</v>
      </c>
      <c r="CC223" s="557">
        <v>0</v>
      </c>
      <c r="CD223" s="557">
        <v>0</v>
      </c>
      <c r="CE223" s="557">
        <v>0</v>
      </c>
      <c r="CF223" s="557">
        <v>0</v>
      </c>
      <c r="CG223" s="557">
        <v>0</v>
      </c>
      <c r="CH223" s="557">
        <v>0</v>
      </c>
      <c r="CI223" s="557">
        <v>0</v>
      </c>
      <c r="CJ223" s="557">
        <v>0</v>
      </c>
      <c r="CK223" s="557">
        <v>0</v>
      </c>
      <c r="CL223" s="557">
        <v>0</v>
      </c>
      <c r="CM223" s="557">
        <v>0</v>
      </c>
      <c r="CN223" s="557">
        <v>0</v>
      </c>
      <c r="CO223" s="557">
        <v>0</v>
      </c>
      <c r="CP223" s="557">
        <v>0</v>
      </c>
      <c r="CQ223" s="557">
        <v>0</v>
      </c>
      <c r="CR223" s="557">
        <v>0</v>
      </c>
      <c r="CS223" s="557">
        <v>0</v>
      </c>
    </row>
    <row r="224" spans="1:99" s="557" customFormat="1" x14ac:dyDescent="0.3">
      <c r="A224" s="556">
        <v>974</v>
      </c>
      <c r="B224" s="557" t="s">
        <v>1012</v>
      </c>
      <c r="D224" s="557">
        <v>2</v>
      </c>
      <c r="E224" s="557">
        <v>2</v>
      </c>
      <c r="F224" s="557">
        <v>2</v>
      </c>
      <c r="G224" s="557">
        <v>3</v>
      </c>
      <c r="H224" s="557">
        <v>2</v>
      </c>
      <c r="I224" s="557">
        <v>2</v>
      </c>
      <c r="J224" s="557">
        <v>2</v>
      </c>
      <c r="L224" s="557">
        <v>2</v>
      </c>
      <c r="M224" s="557">
        <v>2</v>
      </c>
      <c r="O224" s="557">
        <v>2</v>
      </c>
      <c r="P224" s="557">
        <v>2</v>
      </c>
      <c r="Q224" s="557">
        <v>2</v>
      </c>
      <c r="R224" s="557">
        <v>3</v>
      </c>
      <c r="S224" s="557">
        <v>2</v>
      </c>
      <c r="T224" s="557">
        <v>3</v>
      </c>
      <c r="U224" s="557">
        <v>3</v>
      </c>
      <c r="V224" s="557">
        <v>2</v>
      </c>
      <c r="W224" s="557">
        <v>2</v>
      </c>
      <c r="X224" s="557">
        <v>2</v>
      </c>
      <c r="Y224" s="557">
        <v>3</v>
      </c>
      <c r="Z224" s="557">
        <v>2</v>
      </c>
      <c r="AA224" s="557">
        <v>2</v>
      </c>
      <c r="AB224" s="557">
        <v>3</v>
      </c>
      <c r="AC224" s="557">
        <v>2</v>
      </c>
      <c r="AE224" s="557">
        <v>1</v>
      </c>
      <c r="AF224" s="557">
        <v>2</v>
      </c>
      <c r="AG224" s="557">
        <v>2</v>
      </c>
      <c r="AH224" s="557">
        <v>3</v>
      </c>
      <c r="AI224" s="557">
        <v>2</v>
      </c>
      <c r="AJ224" s="557">
        <v>3</v>
      </c>
      <c r="AK224" s="557">
        <v>3</v>
      </c>
      <c r="AL224" s="557">
        <v>2</v>
      </c>
      <c r="AM224" s="557">
        <v>3</v>
      </c>
      <c r="AN224" s="557">
        <v>2</v>
      </c>
      <c r="AO224" s="557">
        <v>2</v>
      </c>
      <c r="AP224" s="557">
        <v>2</v>
      </c>
      <c r="AQ224" s="557">
        <v>3</v>
      </c>
      <c r="AR224" s="557">
        <v>2</v>
      </c>
      <c r="AS224" s="557">
        <v>2</v>
      </c>
      <c r="AT224" s="557">
        <v>2</v>
      </c>
      <c r="AU224" s="557">
        <v>3</v>
      </c>
      <c r="AV224" s="557">
        <v>2</v>
      </c>
      <c r="AW224" s="557">
        <v>3</v>
      </c>
      <c r="AX224" s="557">
        <v>2</v>
      </c>
      <c r="AY224" s="557">
        <v>2</v>
      </c>
      <c r="AZ224" s="557">
        <v>2</v>
      </c>
      <c r="BA224" s="557">
        <v>2</v>
      </c>
      <c r="BB224" s="557">
        <v>3</v>
      </c>
      <c r="BC224" s="557">
        <v>2</v>
      </c>
      <c r="BD224" s="557">
        <v>3</v>
      </c>
      <c r="BE224" s="557">
        <v>2</v>
      </c>
      <c r="BF224" s="557">
        <v>3</v>
      </c>
      <c r="BG224" s="557">
        <v>2</v>
      </c>
      <c r="BH224" s="557">
        <v>2</v>
      </c>
      <c r="BI224" s="557">
        <v>2</v>
      </c>
      <c r="BJ224" s="557">
        <v>2</v>
      </c>
      <c r="BK224" s="557">
        <v>2</v>
      </c>
      <c r="BL224" s="557">
        <v>2</v>
      </c>
      <c r="BM224" s="557">
        <v>2</v>
      </c>
      <c r="BN224" s="557">
        <v>2</v>
      </c>
      <c r="BO224" s="557">
        <v>2</v>
      </c>
      <c r="BP224" s="557">
        <v>3</v>
      </c>
      <c r="BQ224" s="557">
        <v>2</v>
      </c>
      <c r="BR224" s="557">
        <v>3</v>
      </c>
      <c r="BS224" s="557">
        <v>2</v>
      </c>
      <c r="BT224" s="557">
        <v>2</v>
      </c>
      <c r="BU224" s="557">
        <v>3</v>
      </c>
      <c r="BV224" s="557">
        <v>2</v>
      </c>
      <c r="BW224" s="557">
        <v>2</v>
      </c>
      <c r="BZ224" s="557">
        <v>2</v>
      </c>
      <c r="CA224" s="557">
        <v>2</v>
      </c>
      <c r="CC224" s="557">
        <v>2</v>
      </c>
      <c r="CD224" s="557">
        <v>2</v>
      </c>
      <c r="CE224" s="557">
        <v>2</v>
      </c>
      <c r="CF224" s="557">
        <v>2</v>
      </c>
      <c r="CG224" s="557">
        <v>2</v>
      </c>
      <c r="CH224" s="557">
        <v>2</v>
      </c>
      <c r="CI224" s="557">
        <v>2</v>
      </c>
      <c r="CJ224" s="557">
        <v>2</v>
      </c>
      <c r="CK224" s="557">
        <v>2</v>
      </c>
      <c r="CL224" s="557">
        <v>2</v>
      </c>
      <c r="CM224" s="557">
        <v>2</v>
      </c>
      <c r="CN224" s="557">
        <v>2</v>
      </c>
      <c r="CO224" s="557">
        <v>3</v>
      </c>
      <c r="CP224" s="557">
        <v>2</v>
      </c>
      <c r="CQ224" s="557">
        <v>1</v>
      </c>
      <c r="CR224" s="557">
        <v>2</v>
      </c>
      <c r="CS224" s="557">
        <v>2</v>
      </c>
    </row>
    <row r="225" spans="1:99" s="557" customFormat="1" x14ac:dyDescent="0.3">
      <c r="A225" s="556">
        <v>975</v>
      </c>
      <c r="B225" s="557" t="s">
        <v>606</v>
      </c>
      <c r="D225" s="557">
        <v>1</v>
      </c>
      <c r="E225" s="557">
        <v>2</v>
      </c>
      <c r="F225" s="557">
        <v>1</v>
      </c>
      <c r="G225" s="557">
        <v>1</v>
      </c>
      <c r="H225" s="557">
        <v>1</v>
      </c>
      <c r="I225" s="557">
        <v>2</v>
      </c>
      <c r="J225" s="557">
        <v>1</v>
      </c>
      <c r="L225" s="557">
        <v>1</v>
      </c>
      <c r="M225" s="557">
        <v>1</v>
      </c>
      <c r="O225" s="557">
        <v>1</v>
      </c>
      <c r="P225" s="557">
        <v>1</v>
      </c>
      <c r="Q225" s="557">
        <v>1</v>
      </c>
      <c r="R225" s="557">
        <v>1</v>
      </c>
      <c r="S225" s="557">
        <v>1</v>
      </c>
      <c r="T225" s="557">
        <v>1</v>
      </c>
      <c r="U225" s="557">
        <v>1</v>
      </c>
      <c r="V225" s="557">
        <v>2</v>
      </c>
      <c r="W225" s="557">
        <v>2</v>
      </c>
      <c r="X225" s="557">
        <v>2</v>
      </c>
      <c r="Y225" s="557">
        <v>2</v>
      </c>
      <c r="Z225" s="557">
        <v>2</v>
      </c>
      <c r="AA225" s="557">
        <v>1</v>
      </c>
      <c r="AB225" s="557">
        <v>2</v>
      </c>
      <c r="AC225" s="557">
        <v>1</v>
      </c>
      <c r="AE225" s="557">
        <v>1</v>
      </c>
      <c r="AF225" s="557">
        <v>1</v>
      </c>
      <c r="AG225" s="557">
        <v>2</v>
      </c>
      <c r="AH225" s="557">
        <v>2</v>
      </c>
      <c r="AI225" s="557">
        <v>1</v>
      </c>
      <c r="AJ225" s="557">
        <v>2</v>
      </c>
      <c r="AK225" s="557">
        <v>1</v>
      </c>
      <c r="AL225" s="557">
        <v>1</v>
      </c>
      <c r="AM225" s="557">
        <v>1</v>
      </c>
      <c r="AN225" s="557">
        <v>1</v>
      </c>
      <c r="AO225" s="557">
        <v>1</v>
      </c>
      <c r="AP225" s="557">
        <v>1</v>
      </c>
      <c r="AQ225" s="557">
        <v>1</v>
      </c>
      <c r="AR225" s="557">
        <v>2</v>
      </c>
      <c r="AS225" s="557">
        <v>1</v>
      </c>
      <c r="AT225" s="557">
        <v>2</v>
      </c>
      <c r="AU225" s="557">
        <v>1</v>
      </c>
      <c r="AV225" s="557">
        <v>1</v>
      </c>
      <c r="AW225" s="557">
        <v>1</v>
      </c>
      <c r="AX225" s="557">
        <v>1</v>
      </c>
      <c r="AY225" s="557">
        <v>1</v>
      </c>
      <c r="AZ225" s="557">
        <v>1</v>
      </c>
      <c r="BA225" s="557">
        <v>1</v>
      </c>
      <c r="BB225" s="557">
        <v>1</v>
      </c>
      <c r="BC225" s="557">
        <v>1</v>
      </c>
      <c r="BD225" s="557">
        <v>2</v>
      </c>
      <c r="BE225" s="557">
        <v>1</v>
      </c>
      <c r="BF225" s="557">
        <v>1</v>
      </c>
      <c r="BG225" s="557">
        <v>1</v>
      </c>
      <c r="BH225" s="557">
        <v>1</v>
      </c>
      <c r="BI225" s="557">
        <v>2</v>
      </c>
      <c r="BJ225" s="557">
        <v>2</v>
      </c>
      <c r="BK225" s="557">
        <v>2</v>
      </c>
      <c r="BL225" s="557">
        <v>2</v>
      </c>
      <c r="BM225" s="557">
        <v>1</v>
      </c>
      <c r="BN225" s="557">
        <v>1</v>
      </c>
      <c r="BO225" s="557">
        <v>2</v>
      </c>
      <c r="BP225" s="557">
        <v>1</v>
      </c>
      <c r="BQ225" s="557">
        <v>1</v>
      </c>
      <c r="BR225" s="557">
        <v>1</v>
      </c>
      <c r="BS225" s="557">
        <v>1</v>
      </c>
      <c r="BT225" s="557">
        <v>2</v>
      </c>
      <c r="BU225" s="557">
        <v>2</v>
      </c>
      <c r="BV225" s="557">
        <v>1</v>
      </c>
      <c r="BW225" s="557">
        <v>1</v>
      </c>
      <c r="BZ225" s="557">
        <v>1</v>
      </c>
      <c r="CA225" s="557">
        <v>1</v>
      </c>
      <c r="CC225" s="557">
        <v>1</v>
      </c>
      <c r="CD225" s="557">
        <v>2</v>
      </c>
      <c r="CE225" s="557">
        <v>2</v>
      </c>
      <c r="CF225" s="557">
        <v>2</v>
      </c>
      <c r="CG225" s="557">
        <v>1</v>
      </c>
      <c r="CH225" s="557">
        <v>1</v>
      </c>
      <c r="CI225" s="557">
        <v>2</v>
      </c>
      <c r="CJ225" s="557">
        <v>2</v>
      </c>
      <c r="CK225" s="557">
        <v>1</v>
      </c>
      <c r="CL225" s="557">
        <v>1</v>
      </c>
      <c r="CM225" s="557">
        <v>2</v>
      </c>
      <c r="CN225" s="557">
        <v>1</v>
      </c>
      <c r="CO225" s="557">
        <v>1</v>
      </c>
      <c r="CP225" s="557">
        <v>1</v>
      </c>
      <c r="CQ225" s="557">
        <v>1</v>
      </c>
      <c r="CR225" s="557">
        <v>2</v>
      </c>
      <c r="CS225" s="557">
        <v>1</v>
      </c>
    </row>
    <row r="226" spans="1:99" s="557" customFormat="1" x14ac:dyDescent="0.3">
      <c r="A226" s="556">
        <v>979</v>
      </c>
      <c r="B226" s="557" t="s">
        <v>1014</v>
      </c>
      <c r="D226" s="557">
        <v>1</v>
      </c>
      <c r="E226" s="557">
        <v>1</v>
      </c>
      <c r="F226" s="557">
        <v>1</v>
      </c>
      <c r="G226" s="557">
        <v>1</v>
      </c>
      <c r="H226" s="557">
        <v>1</v>
      </c>
      <c r="I226" s="557">
        <v>1</v>
      </c>
      <c r="J226" s="557">
        <v>2</v>
      </c>
      <c r="L226" s="557">
        <v>1</v>
      </c>
      <c r="M226" s="557">
        <v>2</v>
      </c>
      <c r="O226" s="557">
        <v>2</v>
      </c>
      <c r="P226" s="557">
        <v>1</v>
      </c>
      <c r="Q226" s="557">
        <v>1</v>
      </c>
      <c r="R226" s="557">
        <v>1</v>
      </c>
      <c r="S226" s="557">
        <v>2</v>
      </c>
      <c r="T226" s="557">
        <v>1</v>
      </c>
      <c r="U226" s="557">
        <v>2</v>
      </c>
      <c r="V226" s="557">
        <v>1</v>
      </c>
      <c r="W226" s="557">
        <v>1</v>
      </c>
      <c r="X226" s="557">
        <v>1</v>
      </c>
      <c r="Y226" s="557">
        <v>1</v>
      </c>
      <c r="Z226" s="557">
        <v>1</v>
      </c>
      <c r="AA226" s="557">
        <v>2</v>
      </c>
      <c r="AB226" s="557">
        <v>1</v>
      </c>
      <c r="AC226" s="557">
        <v>2</v>
      </c>
      <c r="AE226" s="557">
        <v>2</v>
      </c>
      <c r="AF226" s="557">
        <v>1</v>
      </c>
      <c r="AG226" s="557">
        <v>1</v>
      </c>
      <c r="AH226" s="557">
        <v>1</v>
      </c>
      <c r="AI226" s="557">
        <v>1</v>
      </c>
      <c r="AJ226" s="557">
        <v>1</v>
      </c>
      <c r="AK226" s="557">
        <v>2</v>
      </c>
      <c r="AL226" s="557">
        <v>1</v>
      </c>
      <c r="AM226" s="557">
        <v>2</v>
      </c>
      <c r="AN226" s="557">
        <v>2</v>
      </c>
      <c r="AO226" s="557">
        <v>2</v>
      </c>
      <c r="AP226" s="557">
        <v>1</v>
      </c>
      <c r="AQ226" s="557">
        <v>2</v>
      </c>
      <c r="AR226" s="557">
        <v>1</v>
      </c>
      <c r="AS226" s="557">
        <v>2</v>
      </c>
      <c r="AT226" s="557">
        <v>1</v>
      </c>
      <c r="AU226" s="557">
        <v>2</v>
      </c>
      <c r="AV226" s="557">
        <v>1</v>
      </c>
      <c r="AW226" s="557">
        <v>1</v>
      </c>
      <c r="AX226" s="557">
        <v>1</v>
      </c>
      <c r="AY226" s="557">
        <v>2</v>
      </c>
      <c r="AZ226" s="557">
        <v>1</v>
      </c>
      <c r="BA226" s="557">
        <v>2</v>
      </c>
      <c r="BB226" s="557">
        <v>2</v>
      </c>
      <c r="BC226" s="557">
        <v>2</v>
      </c>
      <c r="BD226" s="557">
        <v>1</v>
      </c>
      <c r="BE226" s="557">
        <v>2</v>
      </c>
      <c r="BF226" s="557">
        <v>1</v>
      </c>
      <c r="BG226" s="557">
        <v>2</v>
      </c>
      <c r="BH226" s="557">
        <v>2</v>
      </c>
      <c r="BI226" s="557">
        <v>1</v>
      </c>
      <c r="BJ226" s="557">
        <v>1</v>
      </c>
      <c r="BK226" s="557">
        <v>1</v>
      </c>
      <c r="BL226" s="557">
        <v>1</v>
      </c>
      <c r="BM226" s="557">
        <v>1</v>
      </c>
      <c r="BN226" s="557">
        <v>1</v>
      </c>
      <c r="BO226" s="557">
        <v>1</v>
      </c>
      <c r="BP226" s="557">
        <v>1</v>
      </c>
      <c r="BQ226" s="557">
        <v>2</v>
      </c>
      <c r="BR226" s="557">
        <v>2</v>
      </c>
      <c r="BS226" s="557">
        <v>2</v>
      </c>
      <c r="BT226" s="557">
        <v>1</v>
      </c>
      <c r="BU226" s="557">
        <v>1</v>
      </c>
      <c r="BV226" s="557">
        <v>1</v>
      </c>
      <c r="BW226" s="557">
        <v>1</v>
      </c>
      <c r="BZ226" s="557">
        <v>1</v>
      </c>
      <c r="CA226" s="557">
        <v>1</v>
      </c>
      <c r="CC226" s="557">
        <v>2</v>
      </c>
      <c r="CD226" s="557">
        <v>1</v>
      </c>
      <c r="CE226" s="557">
        <v>1</v>
      </c>
      <c r="CF226" s="557">
        <v>1</v>
      </c>
      <c r="CG226" s="557">
        <v>2</v>
      </c>
      <c r="CH226" s="557">
        <v>1</v>
      </c>
      <c r="CI226" s="557">
        <v>1</v>
      </c>
      <c r="CJ226" s="557">
        <v>1</v>
      </c>
      <c r="CK226" s="557">
        <v>1</v>
      </c>
      <c r="CL226" s="557">
        <v>1</v>
      </c>
      <c r="CM226" s="557">
        <v>1</v>
      </c>
      <c r="CN226" s="557">
        <v>2</v>
      </c>
      <c r="CO226" s="557">
        <v>1</v>
      </c>
      <c r="CP226" s="557">
        <v>2</v>
      </c>
      <c r="CQ226" s="557">
        <v>1</v>
      </c>
      <c r="CR226" s="557">
        <v>1</v>
      </c>
      <c r="CS226" s="557">
        <v>2</v>
      </c>
    </row>
    <row r="227" spans="1:99" x14ac:dyDescent="0.3">
      <c r="A227" s="155">
        <v>980</v>
      </c>
      <c r="B227" s="180" t="s">
        <v>592</v>
      </c>
      <c r="C227" s="180"/>
      <c r="D227" s="180" t="s">
        <v>2086</v>
      </c>
      <c r="E227" s="180" t="s">
        <v>2027</v>
      </c>
      <c r="F227" s="180" t="s">
        <v>2001</v>
      </c>
      <c r="G227" s="180" t="s">
        <v>1692</v>
      </c>
      <c r="H227" s="180" t="s">
        <v>1694</v>
      </c>
      <c r="I227" s="180" t="s">
        <v>2054</v>
      </c>
      <c r="J227" s="180" t="s">
        <v>2028</v>
      </c>
      <c r="K227" s="180"/>
      <c r="L227" s="180" t="s">
        <v>1694</v>
      </c>
      <c r="M227" s="180" t="s">
        <v>2812</v>
      </c>
      <c r="N227" s="180"/>
      <c r="O227" s="180" t="s">
        <v>2813</v>
      </c>
      <c r="P227" s="180" t="s">
        <v>1689</v>
      </c>
      <c r="Q227" s="180" t="s">
        <v>2148</v>
      </c>
      <c r="R227" s="180" t="s">
        <v>1691</v>
      </c>
      <c r="S227" s="180" t="s">
        <v>2146</v>
      </c>
      <c r="T227" s="180" t="s">
        <v>1693</v>
      </c>
      <c r="U227" s="180" t="s">
        <v>2155</v>
      </c>
      <c r="V227" s="180" t="s">
        <v>1681</v>
      </c>
      <c r="W227" s="180" t="s">
        <v>1693</v>
      </c>
      <c r="X227" s="180" t="s">
        <v>1677</v>
      </c>
      <c r="Y227" s="180" t="s">
        <v>1693</v>
      </c>
      <c r="Z227" s="180" t="s">
        <v>1677</v>
      </c>
      <c r="AA227" s="180" t="s">
        <v>1682</v>
      </c>
      <c r="AB227" s="180" t="s">
        <v>1677</v>
      </c>
      <c r="AC227" s="180" t="s">
        <v>2087</v>
      </c>
      <c r="AD227" s="180"/>
      <c r="AE227" s="180" t="s">
        <v>2157</v>
      </c>
      <c r="AF227" s="180" t="s">
        <v>2025</v>
      </c>
      <c r="AG227" s="180" t="s">
        <v>1677</v>
      </c>
      <c r="AH227" s="180" t="s">
        <v>1677</v>
      </c>
      <c r="AI227" s="180" t="s">
        <v>2043</v>
      </c>
      <c r="AJ227" s="180" t="s">
        <v>1677</v>
      </c>
      <c r="AK227" s="180" t="s">
        <v>2056</v>
      </c>
      <c r="AL227" s="180" t="s">
        <v>1694</v>
      </c>
      <c r="AM227" s="180" t="s">
        <v>2055</v>
      </c>
      <c r="AN227" s="180" t="s">
        <v>2088</v>
      </c>
      <c r="AO227" s="180" t="s">
        <v>2764</v>
      </c>
      <c r="AP227" s="180" t="s">
        <v>2004</v>
      </c>
      <c r="AQ227" s="180" t="s">
        <v>2814</v>
      </c>
      <c r="AR227" s="180" t="s">
        <v>1677</v>
      </c>
      <c r="AS227" s="180" t="s">
        <v>2154</v>
      </c>
      <c r="AT227" s="180" t="s">
        <v>2145</v>
      </c>
      <c r="AU227" s="180" t="s">
        <v>2004</v>
      </c>
      <c r="AV227" s="180" t="s">
        <v>1679</v>
      </c>
      <c r="AW227" s="180" t="s">
        <v>2150</v>
      </c>
      <c r="AX227" s="180" t="s">
        <v>2053</v>
      </c>
      <c r="AY227" s="180" t="s">
        <v>2815</v>
      </c>
      <c r="AZ227" s="180" t="s">
        <v>1683</v>
      </c>
      <c r="BA227" s="180" t="s">
        <v>1682</v>
      </c>
      <c r="BB227" s="180" t="s">
        <v>2816</v>
      </c>
      <c r="BC227" s="180" t="s">
        <v>2056</v>
      </c>
      <c r="BD227" s="180" t="s">
        <v>2148</v>
      </c>
      <c r="BE227" s="180" t="s">
        <v>2159</v>
      </c>
      <c r="BF227" s="180" t="s">
        <v>2027</v>
      </c>
      <c r="BG227" s="180" t="s">
        <v>2089</v>
      </c>
      <c r="BH227" s="180" t="s">
        <v>2004</v>
      </c>
      <c r="BI227" s="180" t="s">
        <v>2090</v>
      </c>
      <c r="BJ227" s="180" t="s">
        <v>1679</v>
      </c>
      <c r="BK227" s="180" t="s">
        <v>1679</v>
      </c>
      <c r="BL227" s="180" t="s">
        <v>1694</v>
      </c>
      <c r="BM227" s="180" t="s">
        <v>1692</v>
      </c>
      <c r="BN227" s="180" t="s">
        <v>1691</v>
      </c>
      <c r="BO227" s="180" t="s">
        <v>1677</v>
      </c>
      <c r="BP227" s="180" t="s">
        <v>2024</v>
      </c>
      <c r="BQ227" s="180" t="s">
        <v>2004</v>
      </c>
      <c r="BR227" s="180" t="s">
        <v>2817</v>
      </c>
      <c r="BS227" s="180" t="s">
        <v>2818</v>
      </c>
      <c r="BT227" s="180" t="s">
        <v>1677</v>
      </c>
      <c r="BU227" s="180" t="s">
        <v>1677</v>
      </c>
      <c r="BV227" s="180" t="s">
        <v>2090</v>
      </c>
      <c r="BW227" s="180" t="s">
        <v>1691</v>
      </c>
      <c r="BX227" s="180"/>
      <c r="BY227" s="180"/>
      <c r="BZ227" s="180" t="s">
        <v>1691</v>
      </c>
      <c r="CA227" s="180" t="s">
        <v>1691</v>
      </c>
      <c r="CB227" s="180"/>
      <c r="CC227" s="180" t="s">
        <v>2815</v>
      </c>
      <c r="CD227" s="180" t="s">
        <v>1677</v>
      </c>
      <c r="CE227" s="180" t="s">
        <v>1677</v>
      </c>
      <c r="CF227" s="180" t="s">
        <v>2144</v>
      </c>
      <c r="CG227" s="180" t="s">
        <v>2160</v>
      </c>
      <c r="CH227" s="180" t="s">
        <v>2001</v>
      </c>
      <c r="CI227" s="180" t="s">
        <v>1682</v>
      </c>
      <c r="CJ227" s="180" t="s">
        <v>1694</v>
      </c>
      <c r="CK227" s="180" t="s">
        <v>1694</v>
      </c>
      <c r="CL227" s="180" t="s">
        <v>2080</v>
      </c>
      <c r="CM227" s="180" t="s">
        <v>1677</v>
      </c>
      <c r="CN227" s="180" t="s">
        <v>2819</v>
      </c>
      <c r="CO227" s="180" t="s">
        <v>1694</v>
      </c>
      <c r="CP227" s="180" t="s">
        <v>2154</v>
      </c>
      <c r="CQ227" s="180" t="s">
        <v>2083</v>
      </c>
      <c r="CR227" s="180" t="s">
        <v>1689</v>
      </c>
      <c r="CS227" s="180" t="s">
        <v>2001</v>
      </c>
      <c r="CT227" s="180"/>
      <c r="CU227" s="180"/>
    </row>
    <row r="228" spans="1:99" x14ac:dyDescent="0.3">
      <c r="A228" s="155">
        <v>984</v>
      </c>
      <c r="B228" s="180" t="s">
        <v>1024</v>
      </c>
      <c r="C228" s="180"/>
      <c r="D228" s="180">
        <v>40558</v>
      </c>
      <c r="E228" s="180">
        <v>1326346</v>
      </c>
      <c r="F228" s="180">
        <v>1650312</v>
      </c>
      <c r="G228" s="180">
        <v>27872</v>
      </c>
      <c r="H228" s="180">
        <v>4747089</v>
      </c>
      <c r="I228" s="180">
        <v>558759</v>
      </c>
      <c r="J228" s="180">
        <v>2014014</v>
      </c>
      <c r="K228" s="180"/>
      <c r="L228" s="180">
        <v>311119</v>
      </c>
      <c r="M228" s="180">
        <v>19460616</v>
      </c>
      <c r="N228" s="180"/>
      <c r="O228" s="180">
        <v>336223</v>
      </c>
      <c r="P228" s="180">
        <v>0</v>
      </c>
      <c r="Q228" s="180">
        <v>619942</v>
      </c>
      <c r="R228" s="180">
        <v>35239</v>
      </c>
      <c r="S228" s="180">
        <v>90559</v>
      </c>
      <c r="T228" s="180">
        <v>1325666</v>
      </c>
      <c r="U228" s="180">
        <v>458589</v>
      </c>
      <c r="V228" s="180">
        <v>2887407</v>
      </c>
      <c r="W228" s="180">
        <v>6774790</v>
      </c>
      <c r="X228" s="180">
        <v>1895353</v>
      </c>
      <c r="Y228" s="180">
        <v>0</v>
      </c>
      <c r="Z228" s="180">
        <v>2307470</v>
      </c>
      <c r="AA228" s="180">
        <v>1097498</v>
      </c>
      <c r="AB228" s="180">
        <v>27412</v>
      </c>
      <c r="AC228" s="180">
        <v>3855630</v>
      </c>
      <c r="AD228" s="180"/>
      <c r="AE228" s="180">
        <v>643920</v>
      </c>
      <c r="AF228" s="180">
        <v>124555</v>
      </c>
      <c r="AG228" s="180">
        <v>13635055</v>
      </c>
      <c r="AH228" s="180">
        <v>126437</v>
      </c>
      <c r="AI228" s="180">
        <v>1874029</v>
      </c>
      <c r="AJ228" s="180">
        <v>1047193</v>
      </c>
      <c r="AK228" s="180">
        <v>74270</v>
      </c>
      <c r="AL228" s="180">
        <v>676787</v>
      </c>
      <c r="AM228" s="180">
        <v>3471661</v>
      </c>
      <c r="AN228" s="180">
        <v>1242222</v>
      </c>
      <c r="AO228" s="180">
        <v>1033628</v>
      </c>
      <c r="AP228" s="180">
        <v>29847</v>
      </c>
      <c r="AQ228" s="180">
        <v>161674</v>
      </c>
      <c r="AR228" s="180">
        <v>2387436</v>
      </c>
      <c r="AS228" s="180">
        <v>311869</v>
      </c>
      <c r="AT228" s="180">
        <v>56155</v>
      </c>
      <c r="AU228" s="180">
        <v>29464</v>
      </c>
      <c r="AV228" s="180">
        <v>553456</v>
      </c>
      <c r="AW228" s="180">
        <v>36960</v>
      </c>
      <c r="AX228" s="180">
        <v>140977</v>
      </c>
      <c r="AY228" s="180">
        <v>1962250</v>
      </c>
      <c r="AZ228" s="180">
        <v>193202</v>
      </c>
      <c r="BA228" s="180">
        <v>35310244</v>
      </c>
      <c r="BB228" s="180">
        <v>1261900</v>
      </c>
      <c r="BC228" s="180">
        <v>1650098</v>
      </c>
      <c r="BD228" s="180">
        <v>173277</v>
      </c>
      <c r="BE228" s="180">
        <v>554926</v>
      </c>
      <c r="BF228" s="180">
        <v>844182</v>
      </c>
      <c r="BG228" s="180">
        <v>64593</v>
      </c>
      <c r="BH228" s="180">
        <v>483044</v>
      </c>
      <c r="BI228" s="180">
        <v>1283659</v>
      </c>
      <c r="BJ228" s="180">
        <v>4856445</v>
      </c>
      <c r="BK228" s="180">
        <v>156810</v>
      </c>
      <c r="BL228" s="180">
        <v>4007</v>
      </c>
      <c r="BM228" s="180">
        <v>11855597</v>
      </c>
      <c r="BN228" s="180">
        <v>7072307</v>
      </c>
      <c r="BO228" s="180">
        <v>3975822</v>
      </c>
      <c r="BP228" s="180">
        <v>81516</v>
      </c>
      <c r="BQ228" s="180">
        <v>1559025</v>
      </c>
      <c r="BR228" s="180">
        <v>632366</v>
      </c>
      <c r="BS228" s="180">
        <v>5819026</v>
      </c>
      <c r="BT228" s="180">
        <v>0</v>
      </c>
      <c r="BU228" s="180">
        <v>199272</v>
      </c>
      <c r="BV228" s="180">
        <v>953817</v>
      </c>
      <c r="BW228" s="180">
        <v>3075057</v>
      </c>
      <c r="BX228" s="180"/>
      <c r="BY228" s="180"/>
      <c r="BZ228" s="180">
        <v>2568546</v>
      </c>
      <c r="CA228" s="180">
        <v>91156</v>
      </c>
      <c r="CB228" s="180"/>
      <c r="CC228" s="180">
        <v>3538957</v>
      </c>
      <c r="CD228" s="180">
        <v>67093255</v>
      </c>
      <c r="CE228" s="180">
        <v>26366401</v>
      </c>
      <c r="CF228" s="180">
        <v>1031036</v>
      </c>
      <c r="CG228" s="180">
        <v>211179</v>
      </c>
      <c r="CH228" s="180">
        <v>254949</v>
      </c>
      <c r="CI228" s="180">
        <v>629209</v>
      </c>
      <c r="CJ228" s="180">
        <v>123965621</v>
      </c>
      <c r="CK228" s="180">
        <v>4673299</v>
      </c>
      <c r="CL228" s="180">
        <v>229934</v>
      </c>
      <c r="CM228" s="180">
        <v>3927225</v>
      </c>
      <c r="CN228" s="180">
        <v>184768</v>
      </c>
      <c r="CO228" s="180">
        <v>3504671</v>
      </c>
      <c r="CP228" s="180">
        <v>1280782</v>
      </c>
      <c r="CQ228" s="180">
        <v>0</v>
      </c>
      <c r="CR228" s="180">
        <v>2079971</v>
      </c>
      <c r="CS228" s="180">
        <v>8207454</v>
      </c>
      <c r="CT228" s="180"/>
      <c r="CU228" s="180"/>
    </row>
    <row r="229" spans="1:99" x14ac:dyDescent="0.3">
      <c r="A229" s="155">
        <v>985</v>
      </c>
      <c r="B229" s="180" t="s">
        <v>1025</v>
      </c>
      <c r="C229" s="180"/>
      <c r="D229" s="180">
        <v>49017</v>
      </c>
      <c r="E229" s="180">
        <v>1294000</v>
      </c>
      <c r="F229" s="180">
        <v>1688900</v>
      </c>
      <c r="G229" s="180">
        <v>24000</v>
      </c>
      <c r="H229" s="180">
        <v>4716660</v>
      </c>
      <c r="I229" s="180">
        <v>459050</v>
      </c>
      <c r="J229" s="180">
        <v>2051500</v>
      </c>
      <c r="K229" s="180"/>
      <c r="L229" s="180">
        <v>297200</v>
      </c>
      <c r="M229" s="180">
        <v>19014000</v>
      </c>
      <c r="N229" s="180"/>
      <c r="O229" s="180">
        <v>328500</v>
      </c>
      <c r="P229" s="180">
        <v>0</v>
      </c>
      <c r="Q229" s="180">
        <v>581300</v>
      </c>
      <c r="R229" s="180">
        <v>35150</v>
      </c>
      <c r="S229" s="180">
        <v>95370</v>
      </c>
      <c r="T229" s="180">
        <v>1310085</v>
      </c>
      <c r="U229" s="180">
        <v>446000</v>
      </c>
      <c r="V229" s="180">
        <v>2854575</v>
      </c>
      <c r="W229" s="180">
        <v>6418421</v>
      </c>
      <c r="X229" s="180">
        <v>1869122</v>
      </c>
      <c r="Y229" s="180">
        <v>0</v>
      </c>
      <c r="Z229" s="180">
        <v>2196560</v>
      </c>
      <c r="AA229" s="180">
        <v>1083741</v>
      </c>
      <c r="AB229" s="180">
        <v>26905</v>
      </c>
      <c r="AC229" s="180">
        <v>3882250</v>
      </c>
      <c r="AD229" s="180"/>
      <c r="AE229" s="180">
        <v>636050</v>
      </c>
      <c r="AF229" s="180">
        <v>106922</v>
      </c>
      <c r="AG229" s="180">
        <v>12875606</v>
      </c>
      <c r="AH229" s="180">
        <v>125331</v>
      </c>
      <c r="AI229" s="180">
        <v>1826000</v>
      </c>
      <c r="AJ229" s="180">
        <v>996141</v>
      </c>
      <c r="AK229" s="180">
        <v>54156</v>
      </c>
      <c r="AL229" s="180">
        <v>626200</v>
      </c>
      <c r="AM229" s="180">
        <v>3427326</v>
      </c>
      <c r="AN229" s="180">
        <v>1216000</v>
      </c>
      <c r="AO229" s="180">
        <v>1033606</v>
      </c>
      <c r="AP229" s="180">
        <v>26420</v>
      </c>
      <c r="AQ229" s="180">
        <v>159000</v>
      </c>
      <c r="AR229" s="180">
        <v>2266102</v>
      </c>
      <c r="AS229" s="180">
        <v>296690</v>
      </c>
      <c r="AT229" s="180">
        <v>54000</v>
      </c>
      <c r="AU229" s="180">
        <v>25565</v>
      </c>
      <c r="AV229" s="180">
        <v>551305</v>
      </c>
      <c r="AW229" s="180">
        <v>37286</v>
      </c>
      <c r="AX229" s="180">
        <v>138095</v>
      </c>
      <c r="AY229" s="180">
        <v>1950000</v>
      </c>
      <c r="AZ229" s="180">
        <v>163500</v>
      </c>
      <c r="BA229" s="180">
        <v>35086880</v>
      </c>
      <c r="BB229" s="180">
        <v>1233414</v>
      </c>
      <c r="BC229" s="180">
        <v>1668419</v>
      </c>
      <c r="BD229" s="180">
        <v>140000</v>
      </c>
      <c r="BE229" s="180">
        <v>552686</v>
      </c>
      <c r="BF229" s="180">
        <v>809000</v>
      </c>
      <c r="BG229" s="180">
        <v>63900</v>
      </c>
      <c r="BH229" s="180">
        <v>450186</v>
      </c>
      <c r="BI229" s="180">
        <v>1296400</v>
      </c>
      <c r="BJ229" s="180">
        <v>4618638</v>
      </c>
      <c r="BK229" s="180">
        <v>0</v>
      </c>
      <c r="BL229" s="180">
        <v>3000</v>
      </c>
      <c r="BM229" s="180">
        <v>9876200</v>
      </c>
      <c r="BN229" s="180">
        <v>6437457</v>
      </c>
      <c r="BO229" s="180">
        <v>3646056</v>
      </c>
      <c r="BP229" s="180">
        <v>72300</v>
      </c>
      <c r="BQ229" s="180">
        <v>1549610</v>
      </c>
      <c r="BR229" s="180">
        <v>634290</v>
      </c>
      <c r="BS229" s="180">
        <v>5417066</v>
      </c>
      <c r="BT229" s="180">
        <v>0</v>
      </c>
      <c r="BU229" s="180">
        <v>194270</v>
      </c>
      <c r="BV229" s="180">
        <v>923500</v>
      </c>
      <c r="BW229" s="180">
        <v>2982785</v>
      </c>
      <c r="BX229" s="180"/>
      <c r="BY229" s="180"/>
      <c r="BZ229" s="180">
        <v>2782908</v>
      </c>
      <c r="CA229" s="180">
        <v>93000</v>
      </c>
      <c r="CB229" s="180"/>
      <c r="CC229" s="180">
        <v>3390407</v>
      </c>
      <c r="CD229" s="180">
        <v>66782516</v>
      </c>
      <c r="CE229" s="180">
        <v>24676300</v>
      </c>
      <c r="CF229" s="180">
        <v>998395</v>
      </c>
      <c r="CG229" s="180">
        <v>207000</v>
      </c>
      <c r="CH229" s="180">
        <v>267670</v>
      </c>
      <c r="CI229" s="180">
        <v>603300</v>
      </c>
      <c r="CJ229" s="180">
        <v>122298370</v>
      </c>
      <c r="CK229" s="180">
        <v>4516332</v>
      </c>
      <c r="CL229" s="180">
        <v>239500</v>
      </c>
      <c r="CM229" s="180">
        <v>3741950</v>
      </c>
      <c r="CN229" s="180">
        <v>168522</v>
      </c>
      <c r="CO229" s="180">
        <v>3505000</v>
      </c>
      <c r="CP229" s="180">
        <v>1224747</v>
      </c>
      <c r="CQ229" s="180">
        <v>0</v>
      </c>
      <c r="CR229" s="180">
        <v>2057617</v>
      </c>
      <c r="CS229" s="180">
        <v>7628000</v>
      </c>
      <c r="CT229" s="180"/>
      <c r="CU229" s="180"/>
    </row>
    <row r="230" spans="1:99" x14ac:dyDescent="0.3">
      <c r="A230" s="155">
        <v>986</v>
      </c>
      <c r="B230" s="180" t="s">
        <v>594</v>
      </c>
      <c r="C230" s="180"/>
      <c r="D230" s="180">
        <v>0</v>
      </c>
      <c r="E230" s="180">
        <v>0</v>
      </c>
      <c r="F230" s="180">
        <v>0</v>
      </c>
      <c r="G230" s="180">
        <v>0</v>
      </c>
      <c r="H230" s="180">
        <v>0</v>
      </c>
      <c r="I230" s="180">
        <v>0</v>
      </c>
      <c r="J230" s="180">
        <v>0</v>
      </c>
      <c r="K230" s="180"/>
      <c r="L230" s="180">
        <v>0</v>
      </c>
      <c r="M230" s="180">
        <v>0</v>
      </c>
      <c r="N230" s="180"/>
      <c r="O230" s="180">
        <v>0</v>
      </c>
      <c r="P230" s="180">
        <v>0</v>
      </c>
      <c r="Q230" s="180">
        <v>0</v>
      </c>
      <c r="R230" s="180">
        <v>0</v>
      </c>
      <c r="S230" s="180">
        <v>0</v>
      </c>
      <c r="T230" s="180">
        <v>0</v>
      </c>
      <c r="U230" s="180">
        <v>0</v>
      </c>
      <c r="V230" s="180">
        <v>0</v>
      </c>
      <c r="W230" s="180">
        <v>0</v>
      </c>
      <c r="X230" s="180">
        <v>0</v>
      </c>
      <c r="Y230" s="180">
        <v>0</v>
      </c>
      <c r="Z230" s="180">
        <v>0</v>
      </c>
      <c r="AA230" s="180">
        <v>0</v>
      </c>
      <c r="AB230" s="180">
        <v>0</v>
      </c>
      <c r="AC230" s="180">
        <v>0</v>
      </c>
      <c r="AD230" s="180"/>
      <c r="AE230" s="180">
        <v>0</v>
      </c>
      <c r="AF230" s="180">
        <v>0</v>
      </c>
      <c r="AG230" s="180">
        <v>166124</v>
      </c>
      <c r="AH230" s="180">
        <v>0</v>
      </c>
      <c r="AI230" s="180">
        <v>0</v>
      </c>
      <c r="AJ230" s="180">
        <v>0</v>
      </c>
      <c r="AK230" s="180">
        <v>0</v>
      </c>
      <c r="AL230" s="180">
        <v>1377413</v>
      </c>
      <c r="AM230" s="180">
        <v>0</v>
      </c>
      <c r="AN230" s="180">
        <v>0</v>
      </c>
      <c r="AO230" s="180">
        <v>257348</v>
      </c>
      <c r="AP230" s="180">
        <v>0</v>
      </c>
      <c r="AQ230" s="180">
        <v>0</v>
      </c>
      <c r="AR230" s="180">
        <v>0</v>
      </c>
      <c r="AS230" s="180">
        <v>31497</v>
      </c>
      <c r="AT230" s="180">
        <v>0</v>
      </c>
      <c r="AU230" s="180">
        <v>0</v>
      </c>
      <c r="AV230" s="180">
        <v>0</v>
      </c>
      <c r="AW230" s="180">
        <v>0</v>
      </c>
      <c r="AX230" s="180">
        <v>0</v>
      </c>
      <c r="AY230" s="180">
        <v>0</v>
      </c>
      <c r="AZ230" s="180">
        <v>0</v>
      </c>
      <c r="BA230" s="180">
        <v>0</v>
      </c>
      <c r="BB230" s="180">
        <v>0</v>
      </c>
      <c r="BC230" s="180">
        <v>0</v>
      </c>
      <c r="BD230" s="180">
        <v>0</v>
      </c>
      <c r="BE230" s="180">
        <v>0</v>
      </c>
      <c r="BF230" s="180">
        <v>0</v>
      </c>
      <c r="BG230" s="180">
        <v>0</v>
      </c>
      <c r="BH230" s="180">
        <v>0</v>
      </c>
      <c r="BI230" s="180">
        <v>0</v>
      </c>
      <c r="BJ230" s="180">
        <v>0</v>
      </c>
      <c r="BK230" s="180">
        <v>0</v>
      </c>
      <c r="BL230" s="180">
        <v>0</v>
      </c>
      <c r="BM230" s="180">
        <v>0</v>
      </c>
      <c r="BN230" s="180">
        <v>0</v>
      </c>
      <c r="BO230" s="180">
        <v>0</v>
      </c>
      <c r="BP230" s="180">
        <v>0</v>
      </c>
      <c r="BQ230" s="180">
        <v>0</v>
      </c>
      <c r="BR230" s="180">
        <v>0</v>
      </c>
      <c r="BS230" s="180">
        <v>0</v>
      </c>
      <c r="BT230" s="180">
        <v>0</v>
      </c>
      <c r="BU230" s="180">
        <v>0</v>
      </c>
      <c r="BV230" s="180">
        <v>209544</v>
      </c>
      <c r="BW230" s="180">
        <v>0</v>
      </c>
      <c r="BX230" s="180"/>
      <c r="BY230" s="180"/>
      <c r="BZ230" s="180">
        <v>0</v>
      </c>
      <c r="CA230" s="180">
        <v>0</v>
      </c>
      <c r="CB230" s="180"/>
      <c r="CC230" s="180">
        <v>0</v>
      </c>
      <c r="CD230" s="180">
        <v>0</v>
      </c>
      <c r="CE230" s="180">
        <v>0</v>
      </c>
      <c r="CF230" s="180">
        <v>0</v>
      </c>
      <c r="CG230" s="180">
        <v>0</v>
      </c>
      <c r="CH230" s="180">
        <v>0</v>
      </c>
      <c r="CI230" s="180">
        <v>0</v>
      </c>
      <c r="CJ230" s="180">
        <v>120720</v>
      </c>
      <c r="CK230" s="180">
        <v>0</v>
      </c>
      <c r="CL230" s="180">
        <v>0</v>
      </c>
      <c r="CM230" s="180">
        <v>0</v>
      </c>
      <c r="CN230" s="180">
        <v>0</v>
      </c>
      <c r="CO230" s="180">
        <v>0</v>
      </c>
      <c r="CP230" s="180">
        <v>0</v>
      </c>
      <c r="CQ230" s="180">
        <v>0</v>
      </c>
      <c r="CR230" s="180">
        <v>0</v>
      </c>
      <c r="CS230" s="180">
        <v>0</v>
      </c>
      <c r="CT230" s="180"/>
      <c r="CU230" s="180"/>
    </row>
    <row r="231" spans="1:99" x14ac:dyDescent="0.3">
      <c r="A231" s="155">
        <v>987</v>
      </c>
      <c r="B231" s="180" t="s">
        <v>1026</v>
      </c>
      <c r="C231" s="180"/>
      <c r="D231" s="180">
        <v>0</v>
      </c>
      <c r="E231" s="180">
        <v>0</v>
      </c>
      <c r="F231" s="180">
        <v>0</v>
      </c>
      <c r="G231" s="180">
        <v>0</v>
      </c>
      <c r="H231" s="180">
        <v>0</v>
      </c>
      <c r="I231" s="180">
        <v>0</v>
      </c>
      <c r="J231" s="180">
        <v>0</v>
      </c>
      <c r="K231" s="180"/>
      <c r="L231" s="180">
        <v>0</v>
      </c>
      <c r="M231" s="180">
        <v>0</v>
      </c>
      <c r="N231" s="180"/>
      <c r="O231" s="180">
        <v>0</v>
      </c>
      <c r="P231" s="180">
        <v>0</v>
      </c>
      <c r="Q231" s="180">
        <v>0</v>
      </c>
      <c r="R231" s="180">
        <v>0</v>
      </c>
      <c r="S231" s="180">
        <v>0</v>
      </c>
      <c r="T231" s="180">
        <v>0</v>
      </c>
      <c r="U231" s="180">
        <v>0</v>
      </c>
      <c r="V231" s="180">
        <v>0</v>
      </c>
      <c r="W231" s="180">
        <v>0</v>
      </c>
      <c r="X231" s="180">
        <v>0</v>
      </c>
      <c r="Y231" s="180">
        <v>0</v>
      </c>
      <c r="Z231" s="180">
        <v>0</v>
      </c>
      <c r="AA231" s="180">
        <v>0</v>
      </c>
      <c r="AB231" s="180">
        <v>0</v>
      </c>
      <c r="AC231" s="180">
        <v>0</v>
      </c>
      <c r="AD231" s="180"/>
      <c r="AE231" s="180">
        <v>0</v>
      </c>
      <c r="AF231" s="180">
        <v>0</v>
      </c>
      <c r="AG231" s="180">
        <v>0</v>
      </c>
      <c r="AH231" s="180">
        <v>0</v>
      </c>
      <c r="AI231" s="180">
        <v>0</v>
      </c>
      <c r="AJ231" s="180">
        <v>0</v>
      </c>
      <c r="AK231" s="180">
        <v>0</v>
      </c>
      <c r="AL231" s="180">
        <v>0</v>
      </c>
      <c r="AM231" s="180">
        <v>0</v>
      </c>
      <c r="AN231" s="180">
        <v>0</v>
      </c>
      <c r="AO231" s="180">
        <v>0</v>
      </c>
      <c r="AP231" s="180">
        <v>0</v>
      </c>
      <c r="AQ231" s="180">
        <v>0</v>
      </c>
      <c r="AR231" s="180">
        <v>0</v>
      </c>
      <c r="AS231" s="180">
        <v>0</v>
      </c>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N231" s="180">
        <v>0</v>
      </c>
      <c r="BO231" s="180">
        <v>0</v>
      </c>
      <c r="BP231" s="180">
        <v>0</v>
      </c>
      <c r="BQ231" s="180">
        <v>0</v>
      </c>
      <c r="BR231" s="180">
        <v>0</v>
      </c>
      <c r="BS231" s="180">
        <v>0</v>
      </c>
      <c r="BT231" s="180">
        <v>0</v>
      </c>
      <c r="BU231" s="180">
        <v>0</v>
      </c>
      <c r="BV231" s="180">
        <v>0</v>
      </c>
      <c r="BW231" s="180">
        <v>0</v>
      </c>
      <c r="BX231" s="180"/>
      <c r="BY231" s="180"/>
      <c r="BZ231" s="180">
        <v>0</v>
      </c>
      <c r="CA231" s="180">
        <v>0</v>
      </c>
      <c r="CB231" s="180"/>
      <c r="CC231" s="180">
        <v>0</v>
      </c>
      <c r="CD231" s="180">
        <v>0</v>
      </c>
      <c r="CE231" s="180">
        <v>0</v>
      </c>
      <c r="CF231" s="180">
        <v>0</v>
      </c>
      <c r="CG231" s="180">
        <v>0</v>
      </c>
      <c r="CH231" s="180">
        <v>0</v>
      </c>
      <c r="CI231" s="180">
        <v>0</v>
      </c>
      <c r="CJ231" s="180">
        <v>0</v>
      </c>
      <c r="CK231" s="180">
        <v>0</v>
      </c>
      <c r="CL231" s="180">
        <v>0</v>
      </c>
      <c r="CM231" s="180">
        <v>0</v>
      </c>
      <c r="CN231" s="180">
        <v>0</v>
      </c>
      <c r="CO231" s="180">
        <v>0</v>
      </c>
      <c r="CP231" s="180">
        <v>0</v>
      </c>
      <c r="CQ231" s="180">
        <v>0</v>
      </c>
      <c r="CR231" s="180">
        <v>0</v>
      </c>
      <c r="CS231" s="180">
        <v>0</v>
      </c>
      <c r="CT231" s="180"/>
      <c r="CU231" s="180"/>
    </row>
    <row r="232" spans="1:99" x14ac:dyDescent="0.3">
      <c r="A232" s="155">
        <v>988</v>
      </c>
      <c r="B232" s="180" t="s">
        <v>1027</v>
      </c>
      <c r="C232" s="180"/>
      <c r="D232" s="180">
        <v>2</v>
      </c>
      <c r="E232" s="180">
        <v>2</v>
      </c>
      <c r="F232" s="180">
        <v>2</v>
      </c>
      <c r="G232" s="180">
        <v>2</v>
      </c>
      <c r="H232" s="180">
        <v>2</v>
      </c>
      <c r="I232" s="180">
        <v>2</v>
      </c>
      <c r="J232" s="180">
        <v>2</v>
      </c>
      <c r="K232" s="180"/>
      <c r="L232" s="180">
        <v>2</v>
      </c>
      <c r="M232" s="180">
        <v>2</v>
      </c>
      <c r="N232" s="180"/>
      <c r="O232" s="180">
        <v>2</v>
      </c>
      <c r="P232" s="180">
        <v>2</v>
      </c>
      <c r="Q232" s="180">
        <v>2</v>
      </c>
      <c r="R232" s="180">
        <v>2</v>
      </c>
      <c r="S232" s="180">
        <v>2</v>
      </c>
      <c r="T232" s="180">
        <v>2</v>
      </c>
      <c r="U232" s="180">
        <v>2</v>
      </c>
      <c r="V232" s="180">
        <v>2</v>
      </c>
      <c r="W232" s="180">
        <v>2</v>
      </c>
      <c r="X232" s="180">
        <v>2</v>
      </c>
      <c r="Y232" s="180">
        <v>2</v>
      </c>
      <c r="Z232" s="180">
        <v>2</v>
      </c>
      <c r="AA232" s="180">
        <v>2</v>
      </c>
      <c r="AB232" s="180">
        <v>2</v>
      </c>
      <c r="AC232" s="180">
        <v>2</v>
      </c>
      <c r="AD232" s="180"/>
      <c r="AE232" s="180">
        <v>2</v>
      </c>
      <c r="AF232" s="180">
        <v>2</v>
      </c>
      <c r="AG232" s="180">
        <v>2</v>
      </c>
      <c r="AH232" s="180">
        <v>2</v>
      </c>
      <c r="AI232" s="180">
        <v>2</v>
      </c>
      <c r="AJ232" s="180">
        <v>2</v>
      </c>
      <c r="AK232" s="180">
        <v>2</v>
      </c>
      <c r="AL232" s="180">
        <v>2</v>
      </c>
      <c r="AM232" s="180">
        <v>0</v>
      </c>
      <c r="AN232" s="180">
        <v>2</v>
      </c>
      <c r="AO232" s="180">
        <v>2</v>
      </c>
      <c r="AP232" s="180">
        <v>2</v>
      </c>
      <c r="AQ232" s="180">
        <v>2</v>
      </c>
      <c r="AR232" s="180">
        <v>2</v>
      </c>
      <c r="AS232" s="180">
        <v>2</v>
      </c>
      <c r="AT232" s="180">
        <v>2</v>
      </c>
      <c r="AU232" s="180">
        <v>2</v>
      </c>
      <c r="AV232" s="180">
        <v>2</v>
      </c>
      <c r="AW232" s="180">
        <v>0</v>
      </c>
      <c r="AX232" s="180">
        <v>2</v>
      </c>
      <c r="AY232" s="180">
        <v>2</v>
      </c>
      <c r="AZ232" s="180">
        <v>2</v>
      </c>
      <c r="BA232" s="180">
        <v>2</v>
      </c>
      <c r="BB232" s="180">
        <v>2</v>
      </c>
      <c r="BC232" s="180">
        <v>2</v>
      </c>
      <c r="BD232" s="180">
        <v>0</v>
      </c>
      <c r="BE232" s="180">
        <v>2</v>
      </c>
      <c r="BF232" s="180">
        <v>2</v>
      </c>
      <c r="BG232" s="180">
        <v>2</v>
      </c>
      <c r="BH232" s="180">
        <v>2</v>
      </c>
      <c r="BI232" s="180">
        <v>2</v>
      </c>
      <c r="BJ232" s="180">
        <v>2</v>
      </c>
      <c r="BK232" s="180">
        <v>2</v>
      </c>
      <c r="BL232" s="180">
        <v>2</v>
      </c>
      <c r="BM232" s="180">
        <v>2</v>
      </c>
      <c r="BN232" s="180">
        <v>2</v>
      </c>
      <c r="BO232" s="180">
        <v>2</v>
      </c>
      <c r="BP232" s="180">
        <v>2</v>
      </c>
      <c r="BQ232" s="180">
        <v>2</v>
      </c>
      <c r="BR232" s="180">
        <v>2</v>
      </c>
      <c r="BS232" s="180">
        <v>2</v>
      </c>
      <c r="BT232" s="180">
        <v>2</v>
      </c>
      <c r="BU232" s="180">
        <v>0</v>
      </c>
      <c r="BV232" s="180">
        <v>2</v>
      </c>
      <c r="BW232" s="180">
        <v>2</v>
      </c>
      <c r="BX232" s="180"/>
      <c r="BY232" s="180"/>
      <c r="BZ232" s="180">
        <v>2</v>
      </c>
      <c r="CA232" s="180">
        <v>2</v>
      </c>
      <c r="CB232" s="180"/>
      <c r="CC232" s="180">
        <v>2</v>
      </c>
      <c r="CD232" s="180">
        <v>2</v>
      </c>
      <c r="CE232" s="180">
        <v>2</v>
      </c>
      <c r="CF232" s="180">
        <v>2</v>
      </c>
      <c r="CG232" s="180">
        <v>2</v>
      </c>
      <c r="CH232" s="180">
        <v>2</v>
      </c>
      <c r="CI232" s="180">
        <v>2</v>
      </c>
      <c r="CJ232" s="180">
        <v>2</v>
      </c>
      <c r="CK232" s="180">
        <v>2</v>
      </c>
      <c r="CL232" s="180">
        <v>2</v>
      </c>
      <c r="CM232" s="180">
        <v>2</v>
      </c>
      <c r="CN232" s="180">
        <v>2</v>
      </c>
      <c r="CO232" s="180">
        <v>2</v>
      </c>
      <c r="CP232" s="180">
        <v>0</v>
      </c>
      <c r="CQ232" s="180">
        <v>2</v>
      </c>
      <c r="CR232" s="180">
        <v>2</v>
      </c>
      <c r="CS232" s="180">
        <v>2</v>
      </c>
      <c r="CT232" s="180"/>
      <c r="CU232" s="180"/>
    </row>
    <row r="233" spans="1:99" x14ac:dyDescent="0.3">
      <c r="A233" s="155">
        <v>989</v>
      </c>
      <c r="B233" s="180" t="s">
        <v>1028</v>
      </c>
      <c r="C233" s="180"/>
      <c r="D233" s="180">
        <v>0</v>
      </c>
      <c r="E233" s="180">
        <v>2</v>
      </c>
      <c r="F233" s="180">
        <v>3</v>
      </c>
      <c r="G233" s="180">
        <v>0</v>
      </c>
      <c r="H233" s="180">
        <v>3</v>
      </c>
      <c r="I233" s="180">
        <v>3</v>
      </c>
      <c r="J233" s="180">
        <v>3</v>
      </c>
      <c r="K233" s="180"/>
      <c r="L233" s="180">
        <v>0</v>
      </c>
      <c r="M233" s="180">
        <v>3</v>
      </c>
      <c r="N233" s="180"/>
      <c r="O233" s="180">
        <v>3</v>
      </c>
      <c r="P233" s="180">
        <v>3</v>
      </c>
      <c r="Q233" s="180">
        <v>3</v>
      </c>
      <c r="R233" s="180">
        <v>3</v>
      </c>
      <c r="S233" s="180">
        <v>3</v>
      </c>
      <c r="T233" s="180">
        <v>3</v>
      </c>
      <c r="U233" s="180">
        <v>3</v>
      </c>
      <c r="V233" s="180">
        <v>3</v>
      </c>
      <c r="W233" s="180">
        <v>3</v>
      </c>
      <c r="X233" s="180">
        <v>3</v>
      </c>
      <c r="Y233" s="180">
        <v>3</v>
      </c>
      <c r="Z233" s="180">
        <v>3</v>
      </c>
      <c r="AA233" s="180">
        <v>3</v>
      </c>
      <c r="AB233" s="180">
        <v>3</v>
      </c>
      <c r="AC233" s="180">
        <v>3</v>
      </c>
      <c r="AD233" s="180"/>
      <c r="AE233" s="180">
        <v>3</v>
      </c>
      <c r="AF233" s="180">
        <v>3</v>
      </c>
      <c r="AG233" s="180">
        <v>3</v>
      </c>
      <c r="AH233" s="180">
        <v>3</v>
      </c>
      <c r="AI233" s="180">
        <v>3</v>
      </c>
      <c r="AJ233" s="180">
        <v>3</v>
      </c>
      <c r="AK233" s="180">
        <v>3</v>
      </c>
      <c r="AL233" s="180">
        <v>3</v>
      </c>
      <c r="AM233" s="180">
        <v>0</v>
      </c>
      <c r="AN233" s="180">
        <v>3</v>
      </c>
      <c r="AO233" s="180">
        <v>3</v>
      </c>
      <c r="AP233" s="180">
        <v>0</v>
      </c>
      <c r="AQ233" s="180">
        <v>0</v>
      </c>
      <c r="AR233" s="180">
        <v>0</v>
      </c>
      <c r="AS233" s="180">
        <v>3</v>
      </c>
      <c r="AT233" s="180">
        <v>3</v>
      </c>
      <c r="AU233" s="180">
        <v>3</v>
      </c>
      <c r="AV233" s="180">
        <v>0</v>
      </c>
      <c r="AW233" s="180">
        <v>0</v>
      </c>
      <c r="AX233" s="180">
        <v>3</v>
      </c>
      <c r="AY233" s="180">
        <v>3</v>
      </c>
      <c r="AZ233" s="180">
        <v>3</v>
      </c>
      <c r="BA233" s="180">
        <v>3</v>
      </c>
      <c r="BB233" s="180">
        <v>3</v>
      </c>
      <c r="BC233" s="180">
        <v>3</v>
      </c>
      <c r="BD233" s="180">
        <v>0</v>
      </c>
      <c r="BE233" s="180">
        <v>3</v>
      </c>
      <c r="BF233" s="180">
        <v>3</v>
      </c>
      <c r="BG233" s="180">
        <v>3</v>
      </c>
      <c r="BH233" s="180">
        <v>3</v>
      </c>
      <c r="BI233" s="180">
        <v>3</v>
      </c>
      <c r="BJ233" s="180">
        <v>3</v>
      </c>
      <c r="BK233" s="180">
        <v>3</v>
      </c>
      <c r="BL233" s="180">
        <v>3</v>
      </c>
      <c r="BM233" s="180">
        <v>3</v>
      </c>
      <c r="BN233" s="180">
        <v>3</v>
      </c>
      <c r="BO233" s="180">
        <v>3</v>
      </c>
      <c r="BP233" s="180">
        <v>3</v>
      </c>
      <c r="BQ233" s="180">
        <v>0</v>
      </c>
      <c r="BR233" s="180">
        <v>3</v>
      </c>
      <c r="BS233" s="180">
        <v>3</v>
      </c>
      <c r="BT233" s="180">
        <v>3</v>
      </c>
      <c r="BU233" s="180">
        <v>0</v>
      </c>
      <c r="BV233" s="180">
        <v>3</v>
      </c>
      <c r="BW233" s="180">
        <v>0</v>
      </c>
      <c r="BX233" s="180"/>
      <c r="BY233" s="180"/>
      <c r="BZ233" s="180">
        <v>0</v>
      </c>
      <c r="CA233" s="180">
        <v>3</v>
      </c>
      <c r="CB233" s="180"/>
      <c r="CC233" s="180">
        <v>3</v>
      </c>
      <c r="CD233" s="180">
        <v>3</v>
      </c>
      <c r="CE233" s="180">
        <v>3</v>
      </c>
      <c r="CF233" s="180">
        <v>3</v>
      </c>
      <c r="CG233" s="180">
        <v>3</v>
      </c>
      <c r="CH233" s="180">
        <v>0</v>
      </c>
      <c r="CI233" s="180">
        <v>3</v>
      </c>
      <c r="CJ233" s="180">
        <v>3</v>
      </c>
      <c r="CK233" s="180">
        <v>3</v>
      </c>
      <c r="CL233" s="180">
        <v>3</v>
      </c>
      <c r="CM233" s="180">
        <v>3</v>
      </c>
      <c r="CN233" s="180">
        <v>3</v>
      </c>
      <c r="CO233" s="180">
        <v>3</v>
      </c>
      <c r="CP233" s="180">
        <v>0</v>
      </c>
      <c r="CQ233" s="180">
        <v>3</v>
      </c>
      <c r="CR233" s="180">
        <v>3</v>
      </c>
      <c r="CS233" s="180">
        <v>3</v>
      </c>
      <c r="CT233" s="180"/>
      <c r="CU233" s="180"/>
    </row>
    <row r="234" spans="1:99" x14ac:dyDescent="0.3">
      <c r="A234" s="155">
        <v>990</v>
      </c>
      <c r="B234" s="180" t="s">
        <v>583</v>
      </c>
      <c r="C234" s="180"/>
      <c r="D234" s="180">
        <v>0</v>
      </c>
      <c r="E234" s="180">
        <v>0</v>
      </c>
      <c r="F234" s="180">
        <v>0</v>
      </c>
      <c r="G234" s="180">
        <v>0</v>
      </c>
      <c r="H234" s="180">
        <v>0</v>
      </c>
      <c r="I234" s="180">
        <v>0</v>
      </c>
      <c r="J234" s="180">
        <v>0</v>
      </c>
      <c r="K234" s="180"/>
      <c r="L234" s="180">
        <v>0</v>
      </c>
      <c r="M234" s="180">
        <v>422177</v>
      </c>
      <c r="N234" s="180"/>
      <c r="O234" s="180">
        <v>0</v>
      </c>
      <c r="P234" s="180">
        <v>0</v>
      </c>
      <c r="Q234" s="180">
        <v>0</v>
      </c>
      <c r="R234" s="180">
        <v>0</v>
      </c>
      <c r="S234" s="180">
        <v>0</v>
      </c>
      <c r="T234" s="180">
        <v>0</v>
      </c>
      <c r="U234" s="180">
        <v>0</v>
      </c>
      <c r="V234" s="180">
        <v>0</v>
      </c>
      <c r="W234" s="180">
        <v>0</v>
      </c>
      <c r="X234" s="180">
        <v>0</v>
      </c>
      <c r="Y234" s="180">
        <v>0</v>
      </c>
      <c r="Z234" s="180">
        <v>0</v>
      </c>
      <c r="AA234" s="180">
        <v>0</v>
      </c>
      <c r="AB234" s="180">
        <v>0</v>
      </c>
      <c r="AC234" s="180">
        <v>226300</v>
      </c>
      <c r="AD234" s="180"/>
      <c r="AE234" s="180">
        <v>0</v>
      </c>
      <c r="AF234" s="180">
        <v>0</v>
      </c>
      <c r="AG234" s="180">
        <v>0</v>
      </c>
      <c r="AH234" s="180">
        <v>0</v>
      </c>
      <c r="AI234" s="180">
        <v>0</v>
      </c>
      <c r="AJ234" s="180">
        <v>0</v>
      </c>
      <c r="AK234" s="180">
        <v>0</v>
      </c>
      <c r="AL234" s="180">
        <v>0</v>
      </c>
      <c r="AM234" s="180">
        <v>0</v>
      </c>
      <c r="AN234" s="180">
        <v>0</v>
      </c>
      <c r="AO234" s="180">
        <v>0</v>
      </c>
      <c r="AP234" s="180">
        <v>0</v>
      </c>
      <c r="AQ234" s="180">
        <v>0</v>
      </c>
      <c r="AR234" s="180">
        <v>0</v>
      </c>
      <c r="AS234" s="180">
        <v>0</v>
      </c>
      <c r="AT234" s="180">
        <v>0</v>
      </c>
      <c r="AU234" s="180">
        <v>0</v>
      </c>
      <c r="AV234" s="180">
        <v>0</v>
      </c>
      <c r="AW234" s="180">
        <v>0</v>
      </c>
      <c r="AX234" s="180">
        <v>0</v>
      </c>
      <c r="AY234" s="180">
        <v>0</v>
      </c>
      <c r="AZ234" s="180">
        <v>0</v>
      </c>
      <c r="BA234" s="180">
        <v>0</v>
      </c>
      <c r="BB234" s="180">
        <v>0</v>
      </c>
      <c r="BC234" s="180">
        <v>0</v>
      </c>
      <c r="BD234" s="180">
        <v>0</v>
      </c>
      <c r="BE234" s="180">
        <v>0</v>
      </c>
      <c r="BF234" s="180">
        <v>0</v>
      </c>
      <c r="BG234" s="180">
        <v>0</v>
      </c>
      <c r="BH234" s="180">
        <v>0</v>
      </c>
      <c r="BI234" s="180">
        <v>0</v>
      </c>
      <c r="BJ234" s="180">
        <v>0</v>
      </c>
      <c r="BK234" s="180">
        <v>0</v>
      </c>
      <c r="BL234" s="180">
        <v>0</v>
      </c>
      <c r="BM234" s="180">
        <v>0</v>
      </c>
      <c r="BN234" s="180">
        <v>1275600</v>
      </c>
      <c r="BO234" s="180">
        <v>0</v>
      </c>
      <c r="BP234" s="180">
        <v>0</v>
      </c>
      <c r="BQ234" s="180">
        <v>0</v>
      </c>
      <c r="BR234" s="180">
        <v>0</v>
      </c>
      <c r="BS234" s="180">
        <v>0</v>
      </c>
      <c r="BT234" s="180">
        <v>0</v>
      </c>
      <c r="BU234" s="180">
        <v>0</v>
      </c>
      <c r="BV234" s="180">
        <v>0</v>
      </c>
      <c r="BW234" s="180">
        <v>0</v>
      </c>
      <c r="BX234" s="180"/>
      <c r="BY234" s="180"/>
      <c r="BZ234" s="180">
        <v>0</v>
      </c>
      <c r="CA234" s="180">
        <v>0</v>
      </c>
      <c r="CB234" s="180"/>
      <c r="CC234" s="180">
        <v>0</v>
      </c>
      <c r="CD234" s="180">
        <v>0</v>
      </c>
      <c r="CE234" s="180">
        <v>697170</v>
      </c>
      <c r="CF234" s="180">
        <v>0</v>
      </c>
      <c r="CG234" s="180">
        <v>0</v>
      </c>
      <c r="CH234" s="180">
        <v>0</v>
      </c>
      <c r="CI234" s="180">
        <v>0</v>
      </c>
      <c r="CJ234" s="180">
        <v>0</v>
      </c>
      <c r="CK234" s="180">
        <v>0</v>
      </c>
      <c r="CL234" s="180">
        <v>0</v>
      </c>
      <c r="CM234" s="180">
        <v>0</v>
      </c>
      <c r="CN234" s="180">
        <v>0</v>
      </c>
      <c r="CO234" s="180">
        <v>0</v>
      </c>
      <c r="CP234" s="180">
        <v>0</v>
      </c>
      <c r="CQ234" s="180">
        <v>0</v>
      </c>
      <c r="CR234" s="180">
        <v>0</v>
      </c>
      <c r="CS234" s="180">
        <v>0</v>
      </c>
      <c r="CT234" s="180"/>
      <c r="CU234" s="180"/>
    </row>
    <row r="235" spans="1:99" x14ac:dyDescent="0.3">
      <c r="A235" s="155">
        <v>991</v>
      </c>
      <c r="B235" s="180" t="s">
        <v>1029</v>
      </c>
      <c r="C235" s="180"/>
      <c r="D235" s="180">
        <v>23</v>
      </c>
      <c r="E235" s="180">
        <v>23</v>
      </c>
      <c r="F235" s="180">
        <v>22</v>
      </c>
      <c r="G235" s="180">
        <v>20</v>
      </c>
      <c r="H235" s="180">
        <v>20</v>
      </c>
      <c r="I235" s="180">
        <v>23</v>
      </c>
      <c r="J235" s="180">
        <v>23</v>
      </c>
      <c r="K235" s="180"/>
      <c r="L235" s="180">
        <v>23</v>
      </c>
      <c r="M235" s="180">
        <v>20</v>
      </c>
      <c r="N235" s="180"/>
      <c r="O235" s="180">
        <v>23</v>
      </c>
      <c r="P235" s="180">
        <v>23</v>
      </c>
      <c r="Q235" s="180">
        <v>22</v>
      </c>
      <c r="R235" s="180">
        <v>23</v>
      </c>
      <c r="S235" s="180">
        <v>22</v>
      </c>
      <c r="T235" s="180">
        <v>20</v>
      </c>
      <c r="U235" s="180">
        <v>23</v>
      </c>
      <c r="V235" s="180">
        <v>20</v>
      </c>
      <c r="W235" s="180">
        <v>23</v>
      </c>
      <c r="X235" s="180">
        <v>23</v>
      </c>
      <c r="Y235" s="180">
        <v>23</v>
      </c>
      <c r="Z235" s="180">
        <v>23</v>
      </c>
      <c r="AA235" s="180">
        <v>23</v>
      </c>
      <c r="AB235" s="180">
        <v>22</v>
      </c>
      <c r="AC235" s="180">
        <v>23</v>
      </c>
      <c r="AD235" s="180"/>
      <c r="AE235" s="180">
        <v>22</v>
      </c>
      <c r="AF235" s="180">
        <v>23</v>
      </c>
      <c r="AG235" s="180">
        <v>23</v>
      </c>
      <c r="AH235" s="180">
        <v>23</v>
      </c>
      <c r="AI235" s="180">
        <v>23</v>
      </c>
      <c r="AJ235" s="180">
        <v>20</v>
      </c>
      <c r="AK235" s="180">
        <v>23</v>
      </c>
      <c r="AL235" s="180">
        <v>20</v>
      </c>
      <c r="AM235" s="180">
        <v>22</v>
      </c>
      <c r="AN235" s="180">
        <v>23</v>
      </c>
      <c r="AO235" s="180">
        <v>22</v>
      </c>
      <c r="AP235" s="180">
        <v>23</v>
      </c>
      <c r="AQ235" s="180">
        <v>23</v>
      </c>
      <c r="AR235" s="180">
        <v>20</v>
      </c>
      <c r="AS235" s="180">
        <v>20</v>
      </c>
      <c r="AT235" s="180">
        <v>23</v>
      </c>
      <c r="AU235" s="180">
        <v>20</v>
      </c>
      <c r="AV235" s="180">
        <v>20</v>
      </c>
      <c r="AW235" s="180">
        <v>23</v>
      </c>
      <c r="AX235" s="180">
        <v>23</v>
      </c>
      <c r="AY235" s="180">
        <v>23</v>
      </c>
      <c r="AZ235" s="180">
        <v>23</v>
      </c>
      <c r="BA235" s="180">
        <v>23</v>
      </c>
      <c r="BB235" s="180">
        <v>23</v>
      </c>
      <c r="BC235" s="180">
        <v>23</v>
      </c>
      <c r="BD235" s="180">
        <v>23</v>
      </c>
      <c r="BE235" s="180">
        <v>23</v>
      </c>
      <c r="BF235" s="180">
        <v>23</v>
      </c>
      <c r="BG235" s="180">
        <v>23</v>
      </c>
      <c r="BH235" s="180">
        <v>23</v>
      </c>
      <c r="BI235" s="180">
        <v>23</v>
      </c>
      <c r="BJ235" s="180">
        <v>23</v>
      </c>
      <c r="BK235" s="180">
        <v>23</v>
      </c>
      <c r="BL235" s="180">
        <v>23</v>
      </c>
      <c r="BM235" s="180">
        <v>23</v>
      </c>
      <c r="BN235" s="180">
        <v>23</v>
      </c>
      <c r="BO235" s="180">
        <v>23</v>
      </c>
      <c r="BP235" s="180">
        <v>23</v>
      </c>
      <c r="BQ235" s="180">
        <v>20</v>
      </c>
      <c r="BR235" s="180">
        <v>23</v>
      </c>
      <c r="BS235" s="180">
        <v>23</v>
      </c>
      <c r="BT235" s="180">
        <v>23</v>
      </c>
      <c r="BU235" s="180">
        <v>23</v>
      </c>
      <c r="BV235" s="180">
        <v>22</v>
      </c>
      <c r="BW235" s="180">
        <v>23</v>
      </c>
      <c r="BX235" s="180"/>
      <c r="BY235" s="180"/>
      <c r="BZ235" s="180">
        <v>23</v>
      </c>
      <c r="CA235" s="180">
        <v>20</v>
      </c>
      <c r="CB235" s="180"/>
      <c r="CC235" s="180">
        <v>23</v>
      </c>
      <c r="CD235" s="180">
        <v>23</v>
      </c>
      <c r="CE235" s="180">
        <v>23</v>
      </c>
      <c r="CF235" s="180">
        <v>23</v>
      </c>
      <c r="CG235" s="180">
        <v>23</v>
      </c>
      <c r="CH235" s="180">
        <v>23</v>
      </c>
      <c r="CI235" s="180">
        <v>23</v>
      </c>
      <c r="CJ235" s="180">
        <v>23</v>
      </c>
      <c r="CK235" s="180">
        <v>23</v>
      </c>
      <c r="CL235" s="180">
        <v>23</v>
      </c>
      <c r="CM235" s="180">
        <v>22</v>
      </c>
      <c r="CN235" s="180">
        <v>22</v>
      </c>
      <c r="CO235" s="180">
        <v>23</v>
      </c>
      <c r="CP235" s="180">
        <v>20</v>
      </c>
      <c r="CQ235" s="180">
        <v>23</v>
      </c>
      <c r="CR235" s="180">
        <v>23</v>
      </c>
      <c r="CS235" s="180">
        <v>23</v>
      </c>
      <c r="CT235" s="180"/>
      <c r="CU235" s="180"/>
    </row>
    <row r="236" spans="1:99" x14ac:dyDescent="0.3">
      <c r="A236" s="155">
        <v>995</v>
      </c>
      <c r="B236" s="180" t="s">
        <v>275</v>
      </c>
      <c r="C236" s="180"/>
      <c r="D236" s="180">
        <v>0</v>
      </c>
      <c r="E236" s="180">
        <v>0</v>
      </c>
      <c r="F236" s="180">
        <v>0</v>
      </c>
      <c r="G236" s="180">
        <v>0</v>
      </c>
      <c r="H236" s="180">
        <v>0</v>
      </c>
      <c r="I236" s="180">
        <v>0</v>
      </c>
      <c r="J236" s="180">
        <v>0</v>
      </c>
      <c r="K236" s="180">
        <v>0.09</v>
      </c>
      <c r="L236" s="180">
        <v>0</v>
      </c>
      <c r="M236" s="180">
        <v>7.0000000000000007E-2</v>
      </c>
      <c r="N236" s="180">
        <v>0</v>
      </c>
      <c r="O236" s="180">
        <v>0</v>
      </c>
      <c r="P236" s="180">
        <v>0</v>
      </c>
      <c r="Q236" s="180">
        <v>0</v>
      </c>
      <c r="R236" s="180">
        <v>0</v>
      </c>
      <c r="S236" s="180">
        <v>0</v>
      </c>
      <c r="T236" s="180">
        <v>0</v>
      </c>
      <c r="U236" s="180">
        <v>0</v>
      </c>
      <c r="V236" s="180">
        <v>0</v>
      </c>
      <c r="W236" s="180">
        <v>0</v>
      </c>
      <c r="X236" s="180">
        <v>0</v>
      </c>
      <c r="Y236" s="180">
        <v>0</v>
      </c>
      <c r="Z236" s="180">
        <v>0</v>
      </c>
      <c r="AA236" s="180">
        <v>0</v>
      </c>
      <c r="AB236" s="180">
        <v>0</v>
      </c>
      <c r="AC236" s="180">
        <v>0.08</v>
      </c>
      <c r="AD236" s="180">
        <v>0</v>
      </c>
      <c r="AE236" s="180">
        <v>0</v>
      </c>
      <c r="AF236" s="180">
        <v>0</v>
      </c>
      <c r="AG236" s="180">
        <v>0</v>
      </c>
      <c r="AH236" s="180">
        <v>0</v>
      </c>
      <c r="AI236" s="180">
        <v>0</v>
      </c>
      <c r="AJ236" s="180">
        <v>0</v>
      </c>
      <c r="AK236" s="180">
        <v>0</v>
      </c>
      <c r="AL236" s="180">
        <v>0</v>
      </c>
      <c r="AM236" s="180">
        <v>0</v>
      </c>
      <c r="AN236" s="180">
        <v>0</v>
      </c>
      <c r="AO236" s="180">
        <v>0</v>
      </c>
      <c r="AP236" s="180">
        <v>0</v>
      </c>
      <c r="AQ236" s="180">
        <v>0</v>
      </c>
      <c r="AR236" s="180">
        <v>0</v>
      </c>
      <c r="AS236" s="180">
        <v>0</v>
      </c>
      <c r="AT236" s="180">
        <v>0</v>
      </c>
      <c r="AU236" s="180">
        <v>0</v>
      </c>
      <c r="AV236" s="180">
        <v>0</v>
      </c>
      <c r="AW236" s="180">
        <v>0</v>
      </c>
      <c r="AX236" s="180">
        <v>0</v>
      </c>
      <c r="AY236" s="180">
        <v>0</v>
      </c>
      <c r="AZ236" s="180">
        <v>0</v>
      </c>
      <c r="BA236" s="180">
        <v>0.08</v>
      </c>
      <c r="BB236" s="180">
        <v>0</v>
      </c>
      <c r="BC236" s="180">
        <v>0</v>
      </c>
      <c r="BD236" s="180">
        <v>0</v>
      </c>
      <c r="BE236" s="180">
        <v>0</v>
      </c>
      <c r="BF236" s="180">
        <v>0</v>
      </c>
      <c r="BG236" s="180">
        <v>0.09</v>
      </c>
      <c r="BH236" s="180">
        <v>0</v>
      </c>
      <c r="BI236" s="180">
        <v>0</v>
      </c>
      <c r="BJ236" s="180">
        <v>0.08</v>
      </c>
      <c r="BK236" s="180">
        <v>0</v>
      </c>
      <c r="BL236" s="180">
        <v>0</v>
      </c>
      <c r="BM236" s="180">
        <v>0</v>
      </c>
      <c r="BN236" s="180">
        <v>0.09</v>
      </c>
      <c r="BO236" s="180">
        <v>0</v>
      </c>
      <c r="BP236" s="180">
        <v>0</v>
      </c>
      <c r="BQ236" s="180">
        <v>0</v>
      </c>
      <c r="BR236" s="180">
        <v>0</v>
      </c>
      <c r="BS236" s="180">
        <v>0</v>
      </c>
      <c r="BT236" s="180">
        <v>0</v>
      </c>
      <c r="BU236" s="180">
        <v>0</v>
      </c>
      <c r="BV236" s="180">
        <v>0</v>
      </c>
      <c r="BW236" s="180">
        <v>0</v>
      </c>
      <c r="BX236" s="180">
        <v>0</v>
      </c>
      <c r="BY236" s="180">
        <v>0</v>
      </c>
      <c r="BZ236" s="180">
        <v>0</v>
      </c>
      <c r="CA236" s="180">
        <v>0</v>
      </c>
      <c r="CB236" s="180">
        <v>0</v>
      </c>
      <c r="CC236" s="180">
        <v>0</v>
      </c>
      <c r="CD236" s="180">
        <v>0</v>
      </c>
      <c r="CE236" s="180">
        <v>0.08</v>
      </c>
      <c r="CF236" s="180">
        <v>0</v>
      </c>
      <c r="CG236" s="180">
        <v>0.09</v>
      </c>
      <c r="CH236" s="180">
        <v>0</v>
      </c>
      <c r="CI236" s="180">
        <v>0</v>
      </c>
      <c r="CJ236" s="180">
        <v>0</v>
      </c>
      <c r="CK236" s="180">
        <v>0.09</v>
      </c>
      <c r="CL236" s="180">
        <v>0</v>
      </c>
      <c r="CM236" s="180">
        <v>0</v>
      </c>
      <c r="CN236" s="180">
        <v>0</v>
      </c>
      <c r="CO236" s="180">
        <v>0</v>
      </c>
      <c r="CP236" s="180">
        <v>0</v>
      </c>
      <c r="CQ236" s="180">
        <v>0</v>
      </c>
      <c r="CR236" s="180">
        <v>0</v>
      </c>
      <c r="CS236" s="180">
        <v>0</v>
      </c>
      <c r="CT236" s="180"/>
      <c r="CU236" s="180"/>
    </row>
    <row r="237" spans="1:99" x14ac:dyDescent="0.3">
      <c r="A237" s="155">
        <v>996</v>
      </c>
      <c r="B237" s="180" t="s">
        <v>276</v>
      </c>
      <c r="C237" s="180"/>
      <c r="D237" s="180">
        <v>0</v>
      </c>
      <c r="E237" s="180">
        <v>0</v>
      </c>
      <c r="F237" s="180">
        <v>0.01</v>
      </c>
      <c r="G237" s="180">
        <v>0</v>
      </c>
      <c r="H237" s="180">
        <v>0</v>
      </c>
      <c r="I237" s="180">
        <v>0.01</v>
      </c>
      <c r="J237" s="180">
        <v>0.01</v>
      </c>
      <c r="K237" s="180">
        <v>0.01</v>
      </c>
      <c r="L237" s="180">
        <v>0.01</v>
      </c>
      <c r="M237" s="180">
        <v>0.01</v>
      </c>
      <c r="N237" s="180">
        <v>0.01</v>
      </c>
      <c r="O237" s="180">
        <v>0</v>
      </c>
      <c r="P237" s="180">
        <v>0.01</v>
      </c>
      <c r="Q237" s="180">
        <v>0.01</v>
      </c>
      <c r="R237" s="180">
        <v>0</v>
      </c>
      <c r="S237" s="180">
        <v>0.01</v>
      </c>
      <c r="T237" s="180">
        <v>0</v>
      </c>
      <c r="U237" s="180">
        <v>0</v>
      </c>
      <c r="V237" s="180">
        <v>0</v>
      </c>
      <c r="W237" s="180">
        <v>0.01</v>
      </c>
      <c r="X237" s="180">
        <v>0</v>
      </c>
      <c r="Y237" s="180">
        <v>0.01</v>
      </c>
      <c r="Z237" s="180">
        <v>0</v>
      </c>
      <c r="AA237" s="180">
        <v>0.01</v>
      </c>
      <c r="AB237" s="180">
        <v>0</v>
      </c>
      <c r="AC237" s="180">
        <v>0.01</v>
      </c>
      <c r="AD237" s="180">
        <v>0.01</v>
      </c>
      <c r="AE237" s="180">
        <v>0.01</v>
      </c>
      <c r="AF237" s="180">
        <v>0.01</v>
      </c>
      <c r="AG237" s="180">
        <v>0.01</v>
      </c>
      <c r="AH237" s="180">
        <v>0</v>
      </c>
      <c r="AI237" s="180">
        <v>0.01</v>
      </c>
      <c r="AJ237" s="180">
        <v>0</v>
      </c>
      <c r="AK237" s="180">
        <v>0.01</v>
      </c>
      <c r="AL237" s="180">
        <v>0.01</v>
      </c>
      <c r="AM237" s="180">
        <v>0.01</v>
      </c>
      <c r="AN237" s="180">
        <v>0.01</v>
      </c>
      <c r="AO237" s="180">
        <v>0.01</v>
      </c>
      <c r="AP237" s="180">
        <v>0.01</v>
      </c>
      <c r="AQ237" s="180">
        <v>0</v>
      </c>
      <c r="AR237" s="180">
        <v>0.01</v>
      </c>
      <c r="AS237" s="180">
        <v>0.01</v>
      </c>
      <c r="AT237" s="180">
        <v>0</v>
      </c>
      <c r="AU237" s="180">
        <v>0</v>
      </c>
      <c r="AV237" s="180">
        <v>0</v>
      </c>
      <c r="AW237" s="180">
        <v>0</v>
      </c>
      <c r="AX237" s="180">
        <v>0.01</v>
      </c>
      <c r="AY237" s="180">
        <v>0.01</v>
      </c>
      <c r="AZ237" s="180">
        <v>0.01</v>
      </c>
      <c r="BA237" s="180">
        <v>0</v>
      </c>
      <c r="BB237" s="180">
        <v>0</v>
      </c>
      <c r="BC237" s="180">
        <v>0.01</v>
      </c>
      <c r="BD237" s="180">
        <v>0</v>
      </c>
      <c r="BE237" s="180">
        <v>0.01</v>
      </c>
      <c r="BF237" s="180">
        <v>0.01</v>
      </c>
      <c r="BG237" s="180">
        <v>0.01</v>
      </c>
      <c r="BH237" s="180">
        <v>0.01</v>
      </c>
      <c r="BI237" s="180">
        <v>0.01</v>
      </c>
      <c r="BJ237" s="180">
        <v>0.01</v>
      </c>
      <c r="BK237" s="180">
        <v>0</v>
      </c>
      <c r="BL237" s="180">
        <v>0</v>
      </c>
      <c r="BM237" s="180">
        <v>0</v>
      </c>
      <c r="BN237" s="180">
        <v>0.01</v>
      </c>
      <c r="BO237" s="180">
        <v>0.01</v>
      </c>
      <c r="BP237" s="180">
        <v>0</v>
      </c>
      <c r="BQ237" s="180">
        <v>0</v>
      </c>
      <c r="BR237" s="180">
        <v>0.01</v>
      </c>
      <c r="BS237" s="180">
        <v>0</v>
      </c>
      <c r="BT237" s="180">
        <v>0</v>
      </c>
      <c r="BU237" s="180">
        <v>0</v>
      </c>
      <c r="BV237" s="180">
        <v>0.01</v>
      </c>
      <c r="BW237" s="180">
        <v>0</v>
      </c>
      <c r="BX237" s="180">
        <v>0.01</v>
      </c>
      <c r="BY237" s="180">
        <v>0.01</v>
      </c>
      <c r="BZ237" s="180">
        <v>0.01</v>
      </c>
      <c r="CA237" s="180">
        <v>0.01</v>
      </c>
      <c r="CB237" s="180">
        <v>0.01</v>
      </c>
      <c r="CC237" s="180">
        <v>0.01</v>
      </c>
      <c r="CD237" s="180">
        <v>0</v>
      </c>
      <c r="CE237" s="180">
        <v>0.01</v>
      </c>
      <c r="CF237" s="180">
        <v>0</v>
      </c>
      <c r="CG237" s="180">
        <v>0.01</v>
      </c>
      <c r="CH237" s="180">
        <v>0.01</v>
      </c>
      <c r="CI237" s="180">
        <v>0.01</v>
      </c>
      <c r="CJ237" s="180">
        <v>0.01</v>
      </c>
      <c r="CK237" s="180">
        <v>0.01</v>
      </c>
      <c r="CL237" s="180">
        <v>0.01</v>
      </c>
      <c r="CM237" s="180">
        <v>0</v>
      </c>
      <c r="CN237" s="180">
        <v>0.01</v>
      </c>
      <c r="CO237" s="180">
        <v>0.01</v>
      </c>
      <c r="CP237" s="180">
        <v>0.01</v>
      </c>
      <c r="CQ237" s="180">
        <v>0.01</v>
      </c>
      <c r="CR237" s="180">
        <v>0</v>
      </c>
      <c r="CS237" s="180">
        <v>0</v>
      </c>
      <c r="CT237" s="180"/>
      <c r="CU237" s="180"/>
    </row>
    <row r="238" spans="1:99" x14ac:dyDescent="0.3">
      <c r="A238" s="155">
        <v>998</v>
      </c>
      <c r="B238" s="180" t="s">
        <v>277</v>
      </c>
      <c r="C238" s="180"/>
      <c r="D238" s="180">
        <v>50</v>
      </c>
      <c r="E238" s="180">
        <v>50</v>
      </c>
      <c r="F238" s="180">
        <v>50</v>
      </c>
      <c r="G238" s="180">
        <v>50</v>
      </c>
      <c r="H238" s="180">
        <v>50</v>
      </c>
      <c r="I238" s="180">
        <v>50</v>
      </c>
      <c r="J238" s="180">
        <v>50</v>
      </c>
      <c r="K238" s="180">
        <v>50</v>
      </c>
      <c r="L238" s="180">
        <v>50</v>
      </c>
      <c r="M238" s="180">
        <v>50</v>
      </c>
      <c r="N238" s="180">
        <v>50</v>
      </c>
      <c r="O238" s="180">
        <v>50</v>
      </c>
      <c r="P238" s="180">
        <v>50</v>
      </c>
      <c r="Q238" s="180">
        <v>50</v>
      </c>
      <c r="R238" s="180">
        <v>50</v>
      </c>
      <c r="S238" s="180">
        <v>50</v>
      </c>
      <c r="T238" s="180">
        <v>50</v>
      </c>
      <c r="U238" s="180">
        <v>50</v>
      </c>
      <c r="V238" s="180">
        <v>50</v>
      </c>
      <c r="W238" s="180">
        <v>50</v>
      </c>
      <c r="X238" s="180">
        <v>50</v>
      </c>
      <c r="Y238" s="180">
        <v>50</v>
      </c>
      <c r="Z238" s="180">
        <v>50</v>
      </c>
      <c r="AA238" s="180">
        <v>50</v>
      </c>
      <c r="AB238" s="180">
        <v>50</v>
      </c>
      <c r="AC238" s="180">
        <v>50</v>
      </c>
      <c r="AD238" s="180">
        <v>50</v>
      </c>
      <c r="AE238" s="180">
        <v>50</v>
      </c>
      <c r="AF238" s="180">
        <v>50</v>
      </c>
      <c r="AG238" s="180">
        <v>50</v>
      </c>
      <c r="AH238" s="180">
        <v>50</v>
      </c>
      <c r="AI238" s="180">
        <v>50</v>
      </c>
      <c r="AJ238" s="180">
        <v>50</v>
      </c>
      <c r="AK238" s="180">
        <v>50</v>
      </c>
      <c r="AL238" s="180">
        <v>50</v>
      </c>
      <c r="AM238" s="180">
        <v>50</v>
      </c>
      <c r="AN238" s="180">
        <v>50</v>
      </c>
      <c r="AO238" s="180">
        <v>50</v>
      </c>
      <c r="AP238" s="180">
        <v>50</v>
      </c>
      <c r="AQ238" s="180">
        <v>50</v>
      </c>
      <c r="AR238" s="180">
        <v>50</v>
      </c>
      <c r="AS238" s="180">
        <v>50</v>
      </c>
      <c r="AT238" s="180">
        <v>50</v>
      </c>
      <c r="AU238" s="180">
        <v>50</v>
      </c>
      <c r="AV238" s="180">
        <v>50</v>
      </c>
      <c r="AW238" s="180">
        <v>50</v>
      </c>
      <c r="AX238" s="180">
        <v>50</v>
      </c>
      <c r="AY238" s="180">
        <v>50</v>
      </c>
      <c r="AZ238" s="180">
        <v>50</v>
      </c>
      <c r="BA238" s="180">
        <v>50</v>
      </c>
      <c r="BB238" s="180">
        <v>50</v>
      </c>
      <c r="BC238" s="180">
        <v>50</v>
      </c>
      <c r="BD238" s="180">
        <v>50</v>
      </c>
      <c r="BE238" s="180">
        <v>50</v>
      </c>
      <c r="BF238" s="180">
        <v>50</v>
      </c>
      <c r="BG238" s="180">
        <v>50</v>
      </c>
      <c r="BH238" s="180">
        <v>50</v>
      </c>
      <c r="BI238" s="180">
        <v>50</v>
      </c>
      <c r="BJ238" s="180">
        <v>50</v>
      </c>
      <c r="BK238" s="180">
        <v>50</v>
      </c>
      <c r="BL238" s="180">
        <v>50</v>
      </c>
      <c r="BM238" s="180">
        <v>50</v>
      </c>
      <c r="BN238" s="180">
        <v>50</v>
      </c>
      <c r="BO238" s="180">
        <v>50</v>
      </c>
      <c r="BP238" s="180">
        <v>50</v>
      </c>
      <c r="BQ238" s="180">
        <v>50</v>
      </c>
      <c r="BR238" s="180">
        <v>50</v>
      </c>
      <c r="BS238" s="180">
        <v>50</v>
      </c>
      <c r="BT238" s="180">
        <v>50</v>
      </c>
      <c r="BU238" s="180">
        <v>50</v>
      </c>
      <c r="BV238" s="180">
        <v>50</v>
      </c>
      <c r="BW238" s="180">
        <v>50</v>
      </c>
      <c r="BX238" s="180">
        <v>50</v>
      </c>
      <c r="BY238" s="180">
        <v>50</v>
      </c>
      <c r="BZ238" s="180">
        <v>50</v>
      </c>
      <c r="CA238" s="180">
        <v>50</v>
      </c>
      <c r="CB238" s="180">
        <v>50</v>
      </c>
      <c r="CC238" s="180">
        <v>50</v>
      </c>
      <c r="CD238" s="180">
        <v>50</v>
      </c>
      <c r="CE238" s="180">
        <v>50</v>
      </c>
      <c r="CF238" s="180">
        <v>50</v>
      </c>
      <c r="CG238" s="180">
        <v>50</v>
      </c>
      <c r="CH238" s="180">
        <v>50</v>
      </c>
      <c r="CI238" s="180">
        <v>50</v>
      </c>
      <c r="CJ238" s="180">
        <v>50</v>
      </c>
      <c r="CK238" s="180">
        <v>50</v>
      </c>
      <c r="CL238" s="180">
        <v>50</v>
      </c>
      <c r="CM238" s="180">
        <v>50</v>
      </c>
      <c r="CN238" s="180">
        <v>50</v>
      </c>
      <c r="CO238" s="180">
        <v>50</v>
      </c>
      <c r="CP238" s="180">
        <v>50</v>
      </c>
      <c r="CQ238" s="180">
        <v>50</v>
      </c>
      <c r="CR238" s="180">
        <v>50</v>
      </c>
      <c r="CS238" s="180">
        <v>50</v>
      </c>
      <c r="CT238" s="180"/>
      <c r="CU238" s="180"/>
    </row>
    <row r="239" spans="1:99" x14ac:dyDescent="0.3">
      <c r="A239" s="155">
        <v>999</v>
      </c>
      <c r="B239" s="180" t="s">
        <v>278</v>
      </c>
      <c r="C239" s="180"/>
      <c r="D239" s="180">
        <v>50526</v>
      </c>
      <c r="E239" s="180">
        <v>50554</v>
      </c>
      <c r="F239" s="180">
        <v>50343</v>
      </c>
      <c r="G239" s="180">
        <v>50372</v>
      </c>
      <c r="H239" s="180">
        <v>50457</v>
      </c>
      <c r="I239" s="180">
        <v>50373</v>
      </c>
      <c r="J239" s="180">
        <v>50374</v>
      </c>
      <c r="K239" s="180">
        <v>50375</v>
      </c>
      <c r="L239" s="180">
        <v>50376</v>
      </c>
      <c r="M239" s="180">
        <v>50377</v>
      </c>
      <c r="N239" s="180">
        <v>50378</v>
      </c>
      <c r="O239" s="180">
        <v>50379</v>
      </c>
      <c r="P239" s="180">
        <v>50530</v>
      </c>
      <c r="Q239" s="180">
        <v>50380</v>
      </c>
      <c r="R239" s="180">
        <v>50483</v>
      </c>
      <c r="S239" s="180">
        <v>50381</v>
      </c>
      <c r="T239" s="180">
        <v>50501</v>
      </c>
      <c r="U239" s="180">
        <v>50494</v>
      </c>
      <c r="V239" s="180">
        <v>50382</v>
      </c>
      <c r="W239" s="180">
        <v>50383</v>
      </c>
      <c r="X239" s="180">
        <v>50384</v>
      </c>
      <c r="Y239" s="180">
        <v>50557</v>
      </c>
      <c r="Z239" s="180">
        <v>50385</v>
      </c>
      <c r="AA239" s="180">
        <v>50386</v>
      </c>
      <c r="AB239" s="180">
        <v>50388</v>
      </c>
      <c r="AC239" s="180">
        <v>50387</v>
      </c>
      <c r="AD239" s="180">
        <v>50389</v>
      </c>
      <c r="AE239" s="180">
        <v>50500</v>
      </c>
      <c r="AF239" s="180">
        <v>50390</v>
      </c>
      <c r="AG239" s="180">
        <v>50391</v>
      </c>
      <c r="AH239" s="180">
        <v>50531</v>
      </c>
      <c r="AI239" s="180">
        <v>50392</v>
      </c>
      <c r="AJ239" s="180">
        <v>50458</v>
      </c>
      <c r="AK239" s="180">
        <v>50393</v>
      </c>
      <c r="AL239" s="180">
        <v>50544</v>
      </c>
      <c r="AM239" s="180">
        <v>50394</v>
      </c>
      <c r="AN239" s="180">
        <v>50395</v>
      </c>
      <c r="AO239" s="180">
        <v>50396</v>
      </c>
      <c r="AP239" s="180">
        <v>50397</v>
      </c>
      <c r="AQ239" s="180">
        <v>50550</v>
      </c>
      <c r="AR239" s="180">
        <v>50398</v>
      </c>
      <c r="AS239" s="180">
        <v>50399</v>
      </c>
      <c r="AT239" s="180">
        <v>50400</v>
      </c>
      <c r="AU239" s="180">
        <v>50532</v>
      </c>
      <c r="AV239" s="180">
        <v>50401</v>
      </c>
      <c r="AW239" s="180">
        <v>50402</v>
      </c>
      <c r="AX239" s="180">
        <v>50485</v>
      </c>
      <c r="AY239" s="180">
        <v>50403</v>
      </c>
      <c r="AZ239" s="180">
        <v>50404</v>
      </c>
      <c r="BA239" s="180">
        <v>50405</v>
      </c>
      <c r="BB239" s="180">
        <v>50533</v>
      </c>
      <c r="BC239" s="180">
        <v>50406</v>
      </c>
      <c r="BD239" s="180">
        <v>50565</v>
      </c>
      <c r="BE239" s="180">
        <v>50407</v>
      </c>
      <c r="BF239" s="180">
        <v>50486</v>
      </c>
      <c r="BG239" s="180">
        <v>50408</v>
      </c>
      <c r="BH239" s="180">
        <v>50409</v>
      </c>
      <c r="BI239" s="180">
        <v>50410</v>
      </c>
      <c r="BJ239" s="180">
        <v>50411</v>
      </c>
      <c r="BK239" s="180">
        <v>50412</v>
      </c>
      <c r="BL239" s="180">
        <v>50488</v>
      </c>
      <c r="BM239" s="180">
        <v>50413</v>
      </c>
      <c r="BN239" s="180">
        <v>50414</v>
      </c>
      <c r="BO239" s="180">
        <v>50415</v>
      </c>
      <c r="BP239" s="180">
        <v>50416</v>
      </c>
      <c r="BQ239" s="180">
        <v>50534</v>
      </c>
      <c r="BR239" s="180">
        <v>50417</v>
      </c>
      <c r="BS239" s="180">
        <v>50418</v>
      </c>
      <c r="BT239" s="180">
        <v>50546</v>
      </c>
      <c r="BU239" s="180">
        <v>50552</v>
      </c>
      <c r="BV239" s="180">
        <v>50419</v>
      </c>
      <c r="BW239" s="180">
        <v>50441</v>
      </c>
      <c r="BX239" s="180">
        <v>50420</v>
      </c>
      <c r="BY239" s="180">
        <v>50421</v>
      </c>
      <c r="BZ239" s="180">
        <v>50422</v>
      </c>
      <c r="CA239" s="180">
        <v>50535</v>
      </c>
      <c r="CB239" s="180">
        <v>50423</v>
      </c>
      <c r="CC239" s="180">
        <v>50424</v>
      </c>
      <c r="CD239" s="180">
        <v>50425</v>
      </c>
      <c r="CE239" s="180">
        <v>50426</v>
      </c>
      <c r="CF239" s="180">
        <v>50537</v>
      </c>
      <c r="CG239" s="180">
        <v>50427</v>
      </c>
      <c r="CH239" s="180">
        <v>50428</v>
      </c>
      <c r="CI239" s="180">
        <v>50429</v>
      </c>
      <c r="CJ239" s="180">
        <v>50431</v>
      </c>
      <c r="CK239" s="180">
        <v>50430</v>
      </c>
      <c r="CL239" s="180">
        <v>50432</v>
      </c>
      <c r="CM239" s="180">
        <v>50453</v>
      </c>
      <c r="CN239" s="180">
        <v>50433</v>
      </c>
      <c r="CO239" s="180">
        <v>50435</v>
      </c>
      <c r="CP239" s="180">
        <v>50436</v>
      </c>
      <c r="CQ239" s="180">
        <v>50499</v>
      </c>
      <c r="CR239" s="180">
        <v>50438</v>
      </c>
      <c r="CS239" s="180">
        <v>50439</v>
      </c>
      <c r="CT239" s="180"/>
      <c r="CU239" s="180"/>
    </row>
    <row r="240" spans="1:99" x14ac:dyDescent="0.3">
      <c r="A240" s="155">
        <v>1050</v>
      </c>
      <c r="B240" s="180" t="s">
        <v>1511</v>
      </c>
      <c r="C240" s="180"/>
      <c r="D240" s="180">
        <v>800</v>
      </c>
      <c r="E240" s="180">
        <v>0</v>
      </c>
      <c r="F240" s="180">
        <v>113738</v>
      </c>
      <c r="G240" s="180">
        <v>5350</v>
      </c>
      <c r="H240" s="180">
        <v>302714</v>
      </c>
      <c r="I240" s="180">
        <v>80000</v>
      </c>
      <c r="J240" s="180">
        <v>0</v>
      </c>
      <c r="K240" s="180"/>
      <c r="L240" s="180">
        <v>27806</v>
      </c>
      <c r="M240" s="180">
        <v>358679</v>
      </c>
      <c r="N240" s="180"/>
      <c r="O240" s="180">
        <v>8850</v>
      </c>
      <c r="P240" s="180">
        <v>0</v>
      </c>
      <c r="Q240" s="180">
        <v>0</v>
      </c>
      <c r="R240" s="180">
        <v>24625</v>
      </c>
      <c r="S240" s="180">
        <v>0</v>
      </c>
      <c r="T240" s="180">
        <v>31863</v>
      </c>
      <c r="U240" s="180">
        <v>0</v>
      </c>
      <c r="V240" s="180">
        <v>0</v>
      </c>
      <c r="W240" s="180">
        <v>24431</v>
      </c>
      <c r="X240" s="180">
        <v>90735</v>
      </c>
      <c r="Y240" s="180">
        <v>0</v>
      </c>
      <c r="Z240" s="180">
        <v>6336</v>
      </c>
      <c r="AA240" s="180">
        <v>119519</v>
      </c>
      <c r="AB240" s="180">
        <v>3750</v>
      </c>
      <c r="AC240" s="180">
        <v>0</v>
      </c>
      <c r="AD240" s="180"/>
      <c r="AE240" s="180">
        <v>52884</v>
      </c>
      <c r="AF240" s="180">
        <v>27164</v>
      </c>
      <c r="AG240" s="180">
        <v>220014</v>
      </c>
      <c r="AH240" s="180">
        <v>1135</v>
      </c>
      <c r="AI240" s="180">
        <v>55230</v>
      </c>
      <c r="AJ240" s="180">
        <v>472911</v>
      </c>
      <c r="AK240" s="180">
        <v>2299</v>
      </c>
      <c r="AL240" s="180">
        <v>190355</v>
      </c>
      <c r="AM240" s="180">
        <v>252</v>
      </c>
      <c r="AN240" s="180">
        <v>11054</v>
      </c>
      <c r="AO240" s="180">
        <v>0</v>
      </c>
      <c r="AP240" s="180">
        <v>22643</v>
      </c>
      <c r="AQ240" s="180">
        <v>0</v>
      </c>
      <c r="AR240" s="180">
        <v>133834</v>
      </c>
      <c r="AS240" s="180">
        <v>32644</v>
      </c>
      <c r="AT240" s="180">
        <v>5200</v>
      </c>
      <c r="AU240" s="180">
        <v>0</v>
      </c>
      <c r="AV240" s="180">
        <v>4548</v>
      </c>
      <c r="AW240" s="180">
        <v>16788</v>
      </c>
      <c r="AX240" s="180">
        <v>100594</v>
      </c>
      <c r="AY240" s="180">
        <v>78637</v>
      </c>
      <c r="AZ240" s="180">
        <v>21308</v>
      </c>
      <c r="BA240" s="180">
        <v>0</v>
      </c>
      <c r="BB240" s="180">
        <v>247817</v>
      </c>
      <c r="BC240" s="180">
        <v>96977</v>
      </c>
      <c r="BD240" s="180">
        <v>0</v>
      </c>
      <c r="BE240" s="180">
        <v>162732</v>
      </c>
      <c r="BF240" s="180">
        <v>6000</v>
      </c>
      <c r="BG240" s="180">
        <v>0</v>
      </c>
      <c r="BH240" s="180">
        <v>23800</v>
      </c>
      <c r="BI240" s="180">
        <v>85924</v>
      </c>
      <c r="BJ240" s="180">
        <v>202382</v>
      </c>
      <c r="BK240" s="180">
        <v>21051</v>
      </c>
      <c r="BL240" s="180">
        <v>0</v>
      </c>
      <c r="BM240" s="180">
        <v>0</v>
      </c>
      <c r="BN240" s="180">
        <v>245246</v>
      </c>
      <c r="BO240" s="180">
        <v>12076</v>
      </c>
      <c r="BP240" s="180">
        <v>0</v>
      </c>
      <c r="BQ240" s="180">
        <v>0</v>
      </c>
      <c r="BR240" s="180">
        <v>8697</v>
      </c>
      <c r="BS240" s="180">
        <v>411645</v>
      </c>
      <c r="BT240" s="180">
        <v>0</v>
      </c>
      <c r="BU240" s="180">
        <v>0</v>
      </c>
      <c r="BV240" s="180">
        <v>46290</v>
      </c>
      <c r="BW240" s="180">
        <v>167487</v>
      </c>
      <c r="BX240" s="180"/>
      <c r="BY240" s="180"/>
      <c r="BZ240" s="180">
        <v>295000</v>
      </c>
      <c r="CA240" s="180">
        <v>0</v>
      </c>
      <c r="CB240" s="180"/>
      <c r="CC240" s="180">
        <v>224201</v>
      </c>
      <c r="CD240" s="180">
        <v>0</v>
      </c>
      <c r="CE240" s="180">
        <v>1424375</v>
      </c>
      <c r="CF240" s="180">
        <v>245041</v>
      </c>
      <c r="CG240" s="180">
        <v>108804</v>
      </c>
      <c r="CH240" s="180">
        <v>0</v>
      </c>
      <c r="CI240" s="180">
        <v>0</v>
      </c>
      <c r="CJ240" s="180">
        <v>0</v>
      </c>
      <c r="CK240" s="180">
        <v>34067</v>
      </c>
      <c r="CL240" s="180">
        <v>16341</v>
      </c>
      <c r="CM240" s="180">
        <v>104681</v>
      </c>
      <c r="CN240" s="180">
        <v>76263</v>
      </c>
      <c r="CO240" s="180">
        <v>0</v>
      </c>
      <c r="CP240" s="180">
        <v>83351</v>
      </c>
      <c r="CQ240" s="180">
        <v>0</v>
      </c>
      <c r="CR240" s="180">
        <v>107424</v>
      </c>
      <c r="CS240" s="180">
        <v>0</v>
      </c>
      <c r="CT240" s="180"/>
      <c r="CU240" s="180"/>
    </row>
    <row r="241" spans="1:99" x14ac:dyDescent="0.3">
      <c r="A241" s="155">
        <v>1051</v>
      </c>
      <c r="B241" s="180" t="s">
        <v>1697</v>
      </c>
      <c r="C241" s="180"/>
      <c r="D241" s="180">
        <v>0</v>
      </c>
      <c r="E241" s="180">
        <v>0</v>
      </c>
      <c r="F241" s="180">
        <v>0</v>
      </c>
      <c r="G241" s="180">
        <v>0</v>
      </c>
      <c r="H241" s="180">
        <v>0</v>
      </c>
      <c r="I241" s="180">
        <v>0</v>
      </c>
      <c r="J241" s="180">
        <v>0</v>
      </c>
      <c r="K241" s="180"/>
      <c r="L241" s="180">
        <v>0</v>
      </c>
      <c r="M241" s="180">
        <v>0</v>
      </c>
      <c r="N241" s="180"/>
      <c r="O241" s="180">
        <v>0</v>
      </c>
      <c r="P241" s="180">
        <v>0</v>
      </c>
      <c r="Q241" s="180">
        <v>0</v>
      </c>
      <c r="R241" s="180">
        <v>0</v>
      </c>
      <c r="S241" s="180">
        <v>0</v>
      </c>
      <c r="T241" s="180">
        <v>0</v>
      </c>
      <c r="U241" s="180">
        <v>0</v>
      </c>
      <c r="V241" s="180">
        <v>0</v>
      </c>
      <c r="W241" s="180">
        <v>0</v>
      </c>
      <c r="X241" s="180">
        <v>0</v>
      </c>
      <c r="Y241" s="180">
        <v>0</v>
      </c>
      <c r="Z241" s="180">
        <v>0</v>
      </c>
      <c r="AA241" s="180">
        <v>0</v>
      </c>
      <c r="AB241" s="180">
        <v>0</v>
      </c>
      <c r="AC241" s="180">
        <v>0</v>
      </c>
      <c r="AD241" s="180"/>
      <c r="AE241" s="180">
        <v>0</v>
      </c>
      <c r="AF241" s="180">
        <v>0</v>
      </c>
      <c r="AG241" s="180">
        <v>0</v>
      </c>
      <c r="AH241" s="180">
        <v>0</v>
      </c>
      <c r="AI241" s="180">
        <v>0</v>
      </c>
      <c r="AJ241" s="180">
        <v>0</v>
      </c>
      <c r="AK241" s="180">
        <v>0</v>
      </c>
      <c r="AL241" s="180">
        <v>0</v>
      </c>
      <c r="AM241" s="180">
        <v>0</v>
      </c>
      <c r="AN241" s="180">
        <v>0</v>
      </c>
      <c r="AO241" s="180">
        <v>0</v>
      </c>
      <c r="AP241" s="180">
        <v>0</v>
      </c>
      <c r="AQ241" s="180">
        <v>0</v>
      </c>
      <c r="AR241" s="180">
        <v>0</v>
      </c>
      <c r="AS241" s="180">
        <v>0</v>
      </c>
      <c r="AT241" s="180">
        <v>0</v>
      </c>
      <c r="AU241" s="180">
        <v>0</v>
      </c>
      <c r="AV241" s="180">
        <v>0</v>
      </c>
      <c r="AW241" s="180">
        <v>0</v>
      </c>
      <c r="AX241" s="180">
        <v>0</v>
      </c>
      <c r="AY241" s="180">
        <v>0</v>
      </c>
      <c r="AZ241" s="180">
        <v>0</v>
      </c>
      <c r="BA241" s="180">
        <v>0</v>
      </c>
      <c r="BB241" s="180">
        <v>0</v>
      </c>
      <c r="BC241" s="180">
        <v>0</v>
      </c>
      <c r="BD241" s="180">
        <v>0</v>
      </c>
      <c r="BE241" s="180">
        <v>0</v>
      </c>
      <c r="BF241" s="180">
        <v>0</v>
      </c>
      <c r="BG241" s="180">
        <v>0</v>
      </c>
      <c r="BH241" s="180">
        <v>0</v>
      </c>
      <c r="BI241" s="180">
        <v>0</v>
      </c>
      <c r="BJ241" s="180">
        <v>0</v>
      </c>
      <c r="BK241" s="180">
        <v>0</v>
      </c>
      <c r="BL241" s="180">
        <v>0</v>
      </c>
      <c r="BM241" s="180">
        <v>0</v>
      </c>
      <c r="BN241" s="180">
        <v>0</v>
      </c>
      <c r="BO241" s="180">
        <v>0</v>
      </c>
      <c r="BP241" s="180">
        <v>0</v>
      </c>
      <c r="BQ241" s="180">
        <v>0</v>
      </c>
      <c r="BR241" s="180">
        <v>0</v>
      </c>
      <c r="BS241" s="180">
        <v>0</v>
      </c>
      <c r="BT241" s="180">
        <v>0</v>
      </c>
      <c r="BU241" s="180">
        <v>0</v>
      </c>
      <c r="BV241" s="180">
        <v>0</v>
      </c>
      <c r="BW241" s="180">
        <v>0</v>
      </c>
      <c r="BX241" s="180"/>
      <c r="BY241" s="180"/>
      <c r="BZ241" s="180">
        <v>0</v>
      </c>
      <c r="CA241" s="180">
        <v>0</v>
      </c>
      <c r="CB241" s="180"/>
      <c r="CC241" s="180">
        <v>0</v>
      </c>
      <c r="CD241" s="180">
        <v>0</v>
      </c>
      <c r="CE241" s="180">
        <v>0</v>
      </c>
      <c r="CF241" s="180">
        <v>0</v>
      </c>
      <c r="CG241" s="180">
        <v>0</v>
      </c>
      <c r="CH241" s="180">
        <v>0</v>
      </c>
      <c r="CI241" s="180">
        <v>0</v>
      </c>
      <c r="CJ241" s="180">
        <v>0</v>
      </c>
      <c r="CK241" s="180">
        <v>0</v>
      </c>
      <c r="CL241" s="180">
        <v>0</v>
      </c>
      <c r="CM241" s="180">
        <v>0</v>
      </c>
      <c r="CN241" s="180">
        <v>0</v>
      </c>
      <c r="CO241" s="180">
        <v>0</v>
      </c>
      <c r="CP241" s="180">
        <v>0</v>
      </c>
      <c r="CQ241" s="180">
        <v>0</v>
      </c>
      <c r="CR241" s="180">
        <v>0</v>
      </c>
      <c r="CS241" s="180">
        <v>0</v>
      </c>
      <c r="CT241" s="180"/>
      <c r="CU241" s="180"/>
    </row>
    <row r="242" spans="1:99" x14ac:dyDescent="0.3">
      <c r="A242" s="155">
        <v>1052</v>
      </c>
      <c r="B242" s="180" t="s">
        <v>1698</v>
      </c>
      <c r="C242" s="180"/>
      <c r="D242" s="180">
        <v>0</v>
      </c>
      <c r="E242" s="180">
        <v>0</v>
      </c>
      <c r="F242" s="180">
        <v>0</v>
      </c>
      <c r="G242" s="180">
        <v>0</v>
      </c>
      <c r="H242" s="180">
        <v>0</v>
      </c>
      <c r="I242" s="180">
        <v>0</v>
      </c>
      <c r="J242" s="180">
        <v>0</v>
      </c>
      <c r="K242" s="180"/>
      <c r="L242" s="180">
        <v>0</v>
      </c>
      <c r="M242" s="180">
        <v>0</v>
      </c>
      <c r="N242" s="180"/>
      <c r="O242" s="180">
        <v>0</v>
      </c>
      <c r="P242" s="180">
        <v>0</v>
      </c>
      <c r="Q242" s="180">
        <v>0</v>
      </c>
      <c r="R242" s="180">
        <v>0</v>
      </c>
      <c r="S242" s="180">
        <v>0</v>
      </c>
      <c r="T242" s="180">
        <v>0</v>
      </c>
      <c r="U242" s="180">
        <v>0</v>
      </c>
      <c r="V242" s="180">
        <v>0</v>
      </c>
      <c r="W242" s="180">
        <v>0</v>
      </c>
      <c r="X242" s="180">
        <v>0</v>
      </c>
      <c r="Y242" s="180">
        <v>0</v>
      </c>
      <c r="Z242" s="180">
        <v>0</v>
      </c>
      <c r="AA242" s="180">
        <v>0</v>
      </c>
      <c r="AB242" s="180">
        <v>0</v>
      </c>
      <c r="AC242" s="180">
        <v>0</v>
      </c>
      <c r="AD242" s="180"/>
      <c r="AE242" s="180">
        <v>0</v>
      </c>
      <c r="AF242" s="180">
        <v>0</v>
      </c>
      <c r="AG242" s="180">
        <v>0</v>
      </c>
      <c r="AH242" s="180">
        <v>0</v>
      </c>
      <c r="AI242" s="180">
        <v>0</v>
      </c>
      <c r="AJ242" s="180">
        <v>0</v>
      </c>
      <c r="AK242" s="180">
        <v>0</v>
      </c>
      <c r="AL242" s="180">
        <v>0</v>
      </c>
      <c r="AM242" s="180">
        <v>0</v>
      </c>
      <c r="AN242" s="180">
        <v>0</v>
      </c>
      <c r="AO242" s="180">
        <v>0</v>
      </c>
      <c r="AP242" s="180">
        <v>0</v>
      </c>
      <c r="AQ242" s="180">
        <v>0</v>
      </c>
      <c r="AR242" s="180">
        <v>0</v>
      </c>
      <c r="AS242" s="180">
        <v>0</v>
      </c>
      <c r="AT242" s="180">
        <v>0</v>
      </c>
      <c r="AU242" s="180">
        <v>0</v>
      </c>
      <c r="AV242" s="180">
        <v>0</v>
      </c>
      <c r="AW242" s="180">
        <v>0</v>
      </c>
      <c r="AX242" s="180">
        <v>0</v>
      </c>
      <c r="AY242" s="180">
        <v>0</v>
      </c>
      <c r="AZ242" s="180">
        <v>0</v>
      </c>
      <c r="BA242" s="180">
        <v>-6301</v>
      </c>
      <c r="BB242" s="180">
        <v>0</v>
      </c>
      <c r="BC242" s="180">
        <v>0</v>
      </c>
      <c r="BD242" s="180">
        <v>0</v>
      </c>
      <c r="BE242" s="180">
        <v>0</v>
      </c>
      <c r="BF242" s="180">
        <v>0</v>
      </c>
      <c r="BG242" s="180">
        <v>0</v>
      </c>
      <c r="BH242" s="180">
        <v>0</v>
      </c>
      <c r="BI242" s="180">
        <v>0</v>
      </c>
      <c r="BJ242" s="180">
        <v>0</v>
      </c>
      <c r="BK242" s="180">
        <v>0</v>
      </c>
      <c r="BL242" s="180">
        <v>0</v>
      </c>
      <c r="BM242" s="180">
        <v>0</v>
      </c>
      <c r="BN242" s="180">
        <v>0</v>
      </c>
      <c r="BO242" s="180">
        <v>0</v>
      </c>
      <c r="BP242" s="180">
        <v>0</v>
      </c>
      <c r="BQ242" s="180">
        <v>0</v>
      </c>
      <c r="BR242" s="180">
        <v>0</v>
      </c>
      <c r="BS242" s="180">
        <v>0</v>
      </c>
      <c r="BT242" s="180">
        <v>0</v>
      </c>
      <c r="BU242" s="180">
        <v>0</v>
      </c>
      <c r="BV242" s="180">
        <v>0</v>
      </c>
      <c r="BW242" s="180">
        <v>0</v>
      </c>
      <c r="BX242" s="180"/>
      <c r="BY242" s="180"/>
      <c r="BZ242" s="180">
        <v>0</v>
      </c>
      <c r="CA242" s="180">
        <v>0</v>
      </c>
      <c r="CB242" s="180"/>
      <c r="CC242" s="180">
        <v>0</v>
      </c>
      <c r="CD242" s="180">
        <v>-70687</v>
      </c>
      <c r="CE242" s="180">
        <v>-172178</v>
      </c>
      <c r="CF242" s="180">
        <v>0</v>
      </c>
      <c r="CG242" s="180">
        <v>0</v>
      </c>
      <c r="CH242" s="180">
        <v>0</v>
      </c>
      <c r="CI242" s="180">
        <v>0</v>
      </c>
      <c r="CJ242" s="180">
        <v>0</v>
      </c>
      <c r="CK242" s="180">
        <v>0</v>
      </c>
      <c r="CL242" s="180">
        <v>0</v>
      </c>
      <c r="CM242" s="180">
        <v>0</v>
      </c>
      <c r="CN242" s="180">
        <v>0</v>
      </c>
      <c r="CO242" s="180">
        <v>0</v>
      </c>
      <c r="CP242" s="180">
        <v>0</v>
      </c>
      <c r="CQ242" s="180">
        <v>0</v>
      </c>
      <c r="CR242" s="180">
        <v>0</v>
      </c>
      <c r="CS242" s="180">
        <v>0</v>
      </c>
      <c r="CT242" s="180"/>
      <c r="CU242" s="180"/>
    </row>
    <row r="243" spans="1:99" x14ac:dyDescent="0.3">
      <c r="A243" s="155">
        <v>1053</v>
      </c>
      <c r="B243" s="180" t="s">
        <v>1699</v>
      </c>
      <c r="C243" s="180"/>
      <c r="D243" s="180">
        <v>0</v>
      </c>
      <c r="E243" s="180">
        <v>0</v>
      </c>
      <c r="F243" s="180">
        <v>0</v>
      </c>
      <c r="G243" s="180">
        <v>0</v>
      </c>
      <c r="H243" s="180">
        <v>0</v>
      </c>
      <c r="I243" s="180">
        <v>0</v>
      </c>
      <c r="J243" s="180">
        <v>0</v>
      </c>
      <c r="K243" s="180"/>
      <c r="L243" s="180">
        <v>0</v>
      </c>
      <c r="M243" s="180">
        <v>0</v>
      </c>
      <c r="N243" s="180"/>
      <c r="O243" s="180">
        <v>0</v>
      </c>
      <c r="P243" s="180">
        <v>0</v>
      </c>
      <c r="Q243" s="180">
        <v>0</v>
      </c>
      <c r="R243" s="180">
        <v>0</v>
      </c>
      <c r="S243" s="180">
        <v>0</v>
      </c>
      <c r="T243" s="180">
        <v>0</v>
      </c>
      <c r="U243" s="180">
        <v>0</v>
      </c>
      <c r="V243" s="180">
        <v>0</v>
      </c>
      <c r="W243" s="180">
        <v>0</v>
      </c>
      <c r="X243" s="180">
        <v>0</v>
      </c>
      <c r="Y243" s="180">
        <v>0</v>
      </c>
      <c r="Z243" s="180">
        <v>0</v>
      </c>
      <c r="AA243" s="180">
        <v>0</v>
      </c>
      <c r="AB243" s="180">
        <v>0</v>
      </c>
      <c r="AC243" s="180">
        <v>0</v>
      </c>
      <c r="AD243" s="180"/>
      <c r="AE243" s="180">
        <v>0</v>
      </c>
      <c r="AF243" s="180">
        <v>0</v>
      </c>
      <c r="AG243" s="180">
        <v>0</v>
      </c>
      <c r="AH243" s="180">
        <v>0</v>
      </c>
      <c r="AI243" s="180">
        <v>0</v>
      </c>
      <c r="AJ243" s="180">
        <v>0</v>
      </c>
      <c r="AK243" s="180">
        <v>0</v>
      </c>
      <c r="AL243" s="180">
        <v>0</v>
      </c>
      <c r="AM243" s="180">
        <v>0</v>
      </c>
      <c r="AN243" s="180">
        <v>0</v>
      </c>
      <c r="AO243" s="180">
        <v>0</v>
      </c>
      <c r="AP243" s="180">
        <v>0</v>
      </c>
      <c r="AQ243" s="180">
        <v>0</v>
      </c>
      <c r="AR243" s="180">
        <v>0</v>
      </c>
      <c r="AS243" s="180">
        <v>0</v>
      </c>
      <c r="AT243" s="180">
        <v>0</v>
      </c>
      <c r="AU243" s="180">
        <v>0</v>
      </c>
      <c r="AV243" s="180">
        <v>0</v>
      </c>
      <c r="AW243" s="180">
        <v>0</v>
      </c>
      <c r="AX243" s="180">
        <v>0</v>
      </c>
      <c r="AY243" s="180">
        <v>0</v>
      </c>
      <c r="AZ243" s="180">
        <v>0</v>
      </c>
      <c r="BA243" s="180">
        <v>0</v>
      </c>
      <c r="BB243" s="180">
        <v>0</v>
      </c>
      <c r="BC243" s="180">
        <v>0</v>
      </c>
      <c r="BD243" s="180">
        <v>0</v>
      </c>
      <c r="BE243" s="180">
        <v>0</v>
      </c>
      <c r="BF243" s="180">
        <v>0</v>
      </c>
      <c r="BG243" s="180">
        <v>0</v>
      </c>
      <c r="BH243" s="180">
        <v>0</v>
      </c>
      <c r="BI243" s="180">
        <v>0</v>
      </c>
      <c r="BJ243" s="180">
        <v>0</v>
      </c>
      <c r="BK243" s="180">
        <v>0</v>
      </c>
      <c r="BL243" s="180">
        <v>0</v>
      </c>
      <c r="BM243" s="180">
        <v>0</v>
      </c>
      <c r="BN243" s="180">
        <v>0</v>
      </c>
      <c r="BO243" s="180">
        <v>0</v>
      </c>
      <c r="BP243" s="180">
        <v>0</v>
      </c>
      <c r="BQ243" s="180">
        <v>0</v>
      </c>
      <c r="BR243" s="180">
        <v>0</v>
      </c>
      <c r="BS243" s="180">
        <v>0</v>
      </c>
      <c r="BT243" s="180">
        <v>0</v>
      </c>
      <c r="BU243" s="180">
        <v>0</v>
      </c>
      <c r="BV243" s="180">
        <v>0</v>
      </c>
      <c r="BW243" s="180">
        <v>0</v>
      </c>
      <c r="BX243" s="180"/>
      <c r="BY243" s="180"/>
      <c r="BZ243" s="180">
        <v>0</v>
      </c>
      <c r="CA243" s="180">
        <v>0</v>
      </c>
      <c r="CB243" s="180"/>
      <c r="CC243" s="180">
        <v>0</v>
      </c>
      <c r="CD243" s="180">
        <v>0</v>
      </c>
      <c r="CE243" s="180">
        <v>-105318</v>
      </c>
      <c r="CF243" s="180">
        <v>0</v>
      </c>
      <c r="CG243" s="180">
        <v>0</v>
      </c>
      <c r="CH243" s="180">
        <v>0</v>
      </c>
      <c r="CI243" s="180">
        <v>0</v>
      </c>
      <c r="CJ243" s="180">
        <v>-11399189</v>
      </c>
      <c r="CK243" s="180">
        <v>0</v>
      </c>
      <c r="CL243" s="180">
        <v>0</v>
      </c>
      <c r="CM243" s="180">
        <v>0</v>
      </c>
      <c r="CN243" s="180">
        <v>0</v>
      </c>
      <c r="CO243" s="180">
        <v>0</v>
      </c>
      <c r="CP243" s="180">
        <v>0</v>
      </c>
      <c r="CQ243" s="180">
        <v>0</v>
      </c>
      <c r="CR243" s="180">
        <v>0</v>
      </c>
      <c r="CS243" s="180">
        <v>0</v>
      </c>
      <c r="CT243" s="180"/>
      <c r="CU243" s="180"/>
    </row>
    <row r="244" spans="1:99" x14ac:dyDescent="0.3">
      <c r="A244" s="155">
        <v>1054</v>
      </c>
      <c r="B244" s="180" t="s">
        <v>1700</v>
      </c>
      <c r="C244" s="180"/>
      <c r="D244" s="180">
        <v>0</v>
      </c>
      <c r="E244" s="180">
        <v>0</v>
      </c>
      <c r="F244" s="180">
        <v>0</v>
      </c>
      <c r="G244" s="180">
        <v>0</v>
      </c>
      <c r="H244" s="180">
        <v>0</v>
      </c>
      <c r="I244" s="180">
        <v>0</v>
      </c>
      <c r="J244" s="180">
        <v>0</v>
      </c>
      <c r="K244" s="180"/>
      <c r="L244" s="180">
        <v>0</v>
      </c>
      <c r="M244" s="180">
        <v>0</v>
      </c>
      <c r="N244" s="180"/>
      <c r="O244" s="180">
        <v>0</v>
      </c>
      <c r="P244" s="180">
        <v>0</v>
      </c>
      <c r="Q244" s="180">
        <v>0</v>
      </c>
      <c r="R244" s="180">
        <v>0</v>
      </c>
      <c r="S244" s="180">
        <v>0</v>
      </c>
      <c r="T244" s="180">
        <v>0</v>
      </c>
      <c r="U244" s="180">
        <v>0</v>
      </c>
      <c r="V244" s="180">
        <v>0</v>
      </c>
      <c r="W244" s="180">
        <v>0</v>
      </c>
      <c r="X244" s="180">
        <v>0</v>
      </c>
      <c r="Y244" s="180">
        <v>0</v>
      </c>
      <c r="Z244" s="180">
        <v>0</v>
      </c>
      <c r="AA244" s="180">
        <v>0</v>
      </c>
      <c r="AB244" s="180">
        <v>0</v>
      </c>
      <c r="AC244" s="180">
        <v>0</v>
      </c>
      <c r="AD244" s="180"/>
      <c r="AE244" s="180">
        <v>0</v>
      </c>
      <c r="AF244" s="180">
        <v>0</v>
      </c>
      <c r="AG244" s="180">
        <v>0</v>
      </c>
      <c r="AH244" s="180">
        <v>0</v>
      </c>
      <c r="AI244" s="180">
        <v>0</v>
      </c>
      <c r="AJ244" s="180">
        <v>0</v>
      </c>
      <c r="AK244" s="180">
        <v>0</v>
      </c>
      <c r="AL244" s="180">
        <v>0</v>
      </c>
      <c r="AM244" s="180">
        <v>0</v>
      </c>
      <c r="AN244" s="180">
        <v>0</v>
      </c>
      <c r="AO244" s="180">
        <v>0</v>
      </c>
      <c r="AP244" s="180">
        <v>0</v>
      </c>
      <c r="AQ244" s="180">
        <v>0</v>
      </c>
      <c r="AR244" s="180">
        <v>0</v>
      </c>
      <c r="AS244" s="180">
        <v>0</v>
      </c>
      <c r="AT244" s="180">
        <v>0</v>
      </c>
      <c r="AU244" s="180">
        <v>0</v>
      </c>
      <c r="AV244" s="180">
        <v>0</v>
      </c>
      <c r="AW244" s="180">
        <v>0</v>
      </c>
      <c r="AX244" s="180">
        <v>0</v>
      </c>
      <c r="AY244" s="180">
        <v>0</v>
      </c>
      <c r="AZ244" s="180">
        <v>0</v>
      </c>
      <c r="BA244" s="180">
        <v>0</v>
      </c>
      <c r="BB244" s="180">
        <v>0</v>
      </c>
      <c r="BC244" s="180">
        <v>0</v>
      </c>
      <c r="BD244" s="180">
        <v>0</v>
      </c>
      <c r="BE244" s="180">
        <v>0</v>
      </c>
      <c r="BF244" s="180">
        <v>0</v>
      </c>
      <c r="BG244" s="180">
        <v>0</v>
      </c>
      <c r="BH244" s="180">
        <v>0</v>
      </c>
      <c r="BI244" s="180">
        <v>0</v>
      </c>
      <c r="BJ244" s="180">
        <v>0</v>
      </c>
      <c r="BK244" s="180">
        <v>0</v>
      </c>
      <c r="BL244" s="180">
        <v>0</v>
      </c>
      <c r="BM244" s="180">
        <v>0</v>
      </c>
      <c r="BN244" s="180">
        <v>0</v>
      </c>
      <c r="BO244" s="180">
        <v>0</v>
      </c>
      <c r="BP244" s="180">
        <v>0</v>
      </c>
      <c r="BQ244" s="180">
        <v>0</v>
      </c>
      <c r="BR244" s="180">
        <v>0</v>
      </c>
      <c r="BS244" s="180">
        <v>0</v>
      </c>
      <c r="BT244" s="180">
        <v>0</v>
      </c>
      <c r="BU244" s="180">
        <v>0</v>
      </c>
      <c r="BV244" s="180">
        <v>0</v>
      </c>
      <c r="BW244" s="180">
        <v>0</v>
      </c>
      <c r="BX244" s="180"/>
      <c r="BY244" s="180"/>
      <c r="BZ244" s="180">
        <v>0</v>
      </c>
      <c r="CA244" s="180">
        <v>0</v>
      </c>
      <c r="CB244" s="180"/>
      <c r="CC244" s="180">
        <v>0</v>
      </c>
      <c r="CD244" s="180">
        <v>0</v>
      </c>
      <c r="CE244" s="180">
        <v>-211624</v>
      </c>
      <c r="CF244" s="180">
        <v>0</v>
      </c>
      <c r="CG244" s="180">
        <v>-19262</v>
      </c>
      <c r="CH244" s="180">
        <v>0</v>
      </c>
      <c r="CI244" s="180">
        <v>0</v>
      </c>
      <c r="CJ244" s="180">
        <v>0</v>
      </c>
      <c r="CK244" s="180">
        <v>0</v>
      </c>
      <c r="CL244" s="180">
        <v>0</v>
      </c>
      <c r="CM244" s="180">
        <v>0</v>
      </c>
      <c r="CN244" s="180">
        <v>0</v>
      </c>
      <c r="CO244" s="180">
        <v>0</v>
      </c>
      <c r="CP244" s="180">
        <v>0</v>
      </c>
      <c r="CQ244" s="180">
        <v>0</v>
      </c>
      <c r="CR244" s="180">
        <v>0</v>
      </c>
      <c r="CS244" s="180">
        <v>0</v>
      </c>
      <c r="CT244" s="180"/>
      <c r="CU244" s="180"/>
    </row>
    <row r="245" spans="1:99" s="557" customFormat="1" x14ac:dyDescent="0.3">
      <c r="A245" s="556">
        <v>1055</v>
      </c>
      <c r="B245" s="557" t="s">
        <v>1701</v>
      </c>
      <c r="D245" s="557">
        <v>2</v>
      </c>
      <c r="E245" s="557">
        <v>2</v>
      </c>
      <c r="F245" s="557">
        <v>2</v>
      </c>
      <c r="G245" s="557">
        <v>2</v>
      </c>
      <c r="H245" s="557">
        <v>2</v>
      </c>
      <c r="I245" s="557">
        <v>2</v>
      </c>
      <c r="J245" s="557">
        <v>2</v>
      </c>
      <c r="L245" s="557">
        <v>2</v>
      </c>
      <c r="M245" s="557">
        <v>2</v>
      </c>
      <c r="O245" s="557">
        <v>2</v>
      </c>
      <c r="P245" s="557">
        <v>2</v>
      </c>
      <c r="Q245" s="557">
        <v>2</v>
      </c>
      <c r="R245" s="557">
        <v>2</v>
      </c>
      <c r="S245" s="557">
        <v>2</v>
      </c>
      <c r="T245" s="557">
        <v>2</v>
      </c>
      <c r="U245" s="557">
        <v>2</v>
      </c>
      <c r="V245" s="557">
        <v>2</v>
      </c>
      <c r="W245" s="557">
        <v>2</v>
      </c>
      <c r="X245" s="557">
        <v>2</v>
      </c>
      <c r="Y245" s="557">
        <v>2</v>
      </c>
      <c r="Z245" s="557">
        <v>2</v>
      </c>
      <c r="AA245" s="557">
        <v>2</v>
      </c>
      <c r="AB245" s="557">
        <v>2</v>
      </c>
      <c r="AC245" s="557">
        <v>2</v>
      </c>
      <c r="AE245" s="557">
        <v>2</v>
      </c>
      <c r="AF245" s="557">
        <v>1</v>
      </c>
      <c r="AG245" s="557">
        <v>2</v>
      </c>
      <c r="AH245" s="557">
        <v>2</v>
      </c>
      <c r="AI245" s="557">
        <v>2</v>
      </c>
      <c r="AJ245" s="557">
        <v>2</v>
      </c>
      <c r="AK245" s="557">
        <v>2</v>
      </c>
      <c r="AL245" s="557">
        <v>2</v>
      </c>
      <c r="AM245" s="557">
        <v>2</v>
      </c>
      <c r="AN245" s="557">
        <v>2</v>
      </c>
      <c r="AO245" s="557">
        <v>2</v>
      </c>
      <c r="AP245" s="557">
        <v>2</v>
      </c>
      <c r="AQ245" s="557">
        <v>2</v>
      </c>
      <c r="AR245" s="557">
        <v>2</v>
      </c>
      <c r="AS245" s="557">
        <v>1</v>
      </c>
      <c r="AT245" s="557">
        <v>2</v>
      </c>
      <c r="AU245" s="557">
        <v>2</v>
      </c>
      <c r="AV245" s="557">
        <v>2</v>
      </c>
      <c r="AW245" s="557">
        <v>2</v>
      </c>
      <c r="AX245" s="557">
        <v>2</v>
      </c>
      <c r="AY245" s="557">
        <v>2</v>
      </c>
      <c r="AZ245" s="557">
        <v>2</v>
      </c>
      <c r="BA245" s="557">
        <v>2</v>
      </c>
      <c r="BB245" s="557">
        <v>2</v>
      </c>
      <c r="BC245" s="557">
        <v>2</v>
      </c>
      <c r="BD245" s="557">
        <v>2</v>
      </c>
      <c r="BE245" s="557">
        <v>2</v>
      </c>
      <c r="BF245" s="557">
        <v>2</v>
      </c>
      <c r="BG245" s="557">
        <v>1</v>
      </c>
      <c r="BH245" s="557">
        <v>2</v>
      </c>
      <c r="BI245" s="557">
        <v>2</v>
      </c>
      <c r="BJ245" s="557">
        <v>2</v>
      </c>
      <c r="BK245" s="557">
        <v>2</v>
      </c>
      <c r="BL245" s="557">
        <v>2</v>
      </c>
      <c r="BM245" s="557">
        <v>2</v>
      </c>
      <c r="BN245" s="557">
        <v>2</v>
      </c>
      <c r="BO245" s="557">
        <v>2</v>
      </c>
      <c r="BP245" s="557">
        <v>2</v>
      </c>
      <c r="BQ245" s="557">
        <v>2</v>
      </c>
      <c r="BR245" s="557">
        <v>2</v>
      </c>
      <c r="BS245" s="557">
        <v>2</v>
      </c>
      <c r="BT245" s="557">
        <v>2</v>
      </c>
      <c r="BU245" s="557">
        <v>2</v>
      </c>
      <c r="BV245" s="557">
        <v>2</v>
      </c>
      <c r="BW245" s="557">
        <v>2</v>
      </c>
      <c r="BZ245" s="557">
        <v>2</v>
      </c>
      <c r="CA245" s="557">
        <v>2</v>
      </c>
      <c r="CC245" s="557">
        <v>2</v>
      </c>
      <c r="CD245" s="557">
        <v>2</v>
      </c>
      <c r="CE245" s="557">
        <v>2</v>
      </c>
      <c r="CF245" s="557">
        <v>2</v>
      </c>
      <c r="CG245" s="557">
        <v>2</v>
      </c>
      <c r="CH245" s="557">
        <v>2</v>
      </c>
      <c r="CI245" s="557">
        <v>2</v>
      </c>
      <c r="CJ245" s="557">
        <v>2</v>
      </c>
      <c r="CK245" s="557">
        <v>1</v>
      </c>
      <c r="CL245" s="557">
        <v>2</v>
      </c>
      <c r="CM245" s="557">
        <v>2</v>
      </c>
      <c r="CN245" s="557">
        <v>2</v>
      </c>
      <c r="CO245" s="557">
        <v>2</v>
      </c>
      <c r="CP245" s="557">
        <v>2</v>
      </c>
      <c r="CQ245" s="557">
        <v>2</v>
      </c>
      <c r="CR245" s="557">
        <v>2</v>
      </c>
      <c r="CS245" s="557">
        <v>2</v>
      </c>
    </row>
    <row r="246" spans="1:99" s="557" customFormat="1" x14ac:dyDescent="0.3">
      <c r="A246" s="556">
        <v>1056</v>
      </c>
      <c r="B246" s="557" t="s">
        <v>1702</v>
      </c>
      <c r="D246" s="557">
        <v>2</v>
      </c>
      <c r="E246" s="557">
        <v>2</v>
      </c>
      <c r="F246" s="557">
        <v>2</v>
      </c>
      <c r="G246" s="557">
        <v>2</v>
      </c>
      <c r="H246" s="557">
        <v>2</v>
      </c>
      <c r="I246" s="557">
        <v>2</v>
      </c>
      <c r="J246" s="557">
        <v>2</v>
      </c>
      <c r="L246" s="557">
        <v>2</v>
      </c>
      <c r="M246" s="557">
        <v>2</v>
      </c>
      <c r="O246" s="557">
        <v>2</v>
      </c>
      <c r="P246" s="557">
        <v>2</v>
      </c>
      <c r="Q246" s="557">
        <v>2</v>
      </c>
      <c r="R246" s="557">
        <v>2</v>
      </c>
      <c r="S246" s="557">
        <v>2</v>
      </c>
      <c r="T246" s="557">
        <v>2</v>
      </c>
      <c r="U246" s="557">
        <v>2</v>
      </c>
      <c r="V246" s="557">
        <v>2</v>
      </c>
      <c r="W246" s="557">
        <v>2</v>
      </c>
      <c r="X246" s="557">
        <v>2</v>
      </c>
      <c r="Y246" s="557">
        <v>2</v>
      </c>
      <c r="Z246" s="557">
        <v>2</v>
      </c>
      <c r="AA246" s="557">
        <v>2</v>
      </c>
      <c r="AB246" s="557">
        <v>2</v>
      </c>
      <c r="AC246" s="557">
        <v>2</v>
      </c>
      <c r="AE246" s="557">
        <v>2</v>
      </c>
      <c r="AF246" s="557">
        <v>2</v>
      </c>
      <c r="AG246" s="557">
        <v>2</v>
      </c>
      <c r="AH246" s="557">
        <v>2</v>
      </c>
      <c r="AI246" s="557">
        <v>2</v>
      </c>
      <c r="AJ246" s="557">
        <v>2</v>
      </c>
      <c r="AK246" s="557">
        <v>2</v>
      </c>
      <c r="AL246" s="557">
        <v>2</v>
      </c>
      <c r="AM246" s="557">
        <v>2</v>
      </c>
      <c r="AN246" s="557">
        <v>2</v>
      </c>
      <c r="AO246" s="557">
        <v>2</v>
      </c>
      <c r="AP246" s="557">
        <v>2</v>
      </c>
      <c r="AQ246" s="557">
        <v>2</v>
      </c>
      <c r="AR246" s="557">
        <v>2</v>
      </c>
      <c r="AS246" s="557">
        <v>1</v>
      </c>
      <c r="AT246" s="557">
        <v>2</v>
      </c>
      <c r="AU246" s="557">
        <v>2</v>
      </c>
      <c r="AV246" s="557">
        <v>2</v>
      </c>
      <c r="AW246" s="557">
        <v>2</v>
      </c>
      <c r="AX246" s="557">
        <v>2</v>
      </c>
      <c r="AY246" s="557">
        <v>2</v>
      </c>
      <c r="AZ246" s="557">
        <v>2</v>
      </c>
      <c r="BA246" s="557">
        <v>2</v>
      </c>
      <c r="BB246" s="557">
        <v>2</v>
      </c>
      <c r="BC246" s="557">
        <v>2</v>
      </c>
      <c r="BD246" s="557">
        <v>2</v>
      </c>
      <c r="BE246" s="557">
        <v>2</v>
      </c>
      <c r="BF246" s="557">
        <v>2</v>
      </c>
      <c r="BG246" s="557">
        <v>1</v>
      </c>
      <c r="BH246" s="557">
        <v>1</v>
      </c>
      <c r="BI246" s="557">
        <v>2</v>
      </c>
      <c r="BJ246" s="557">
        <v>2</v>
      </c>
      <c r="BK246" s="557">
        <v>2</v>
      </c>
      <c r="BL246" s="557">
        <v>2</v>
      </c>
      <c r="BM246" s="557">
        <v>2</v>
      </c>
      <c r="BN246" s="557">
        <v>2</v>
      </c>
      <c r="BO246" s="557">
        <v>2</v>
      </c>
      <c r="BP246" s="557">
        <v>2</v>
      </c>
      <c r="BQ246" s="557">
        <v>2</v>
      </c>
      <c r="BR246" s="557">
        <v>1</v>
      </c>
      <c r="BS246" s="557">
        <v>2</v>
      </c>
      <c r="BT246" s="557">
        <v>2</v>
      </c>
      <c r="BU246" s="557">
        <v>2</v>
      </c>
      <c r="BV246" s="557">
        <v>2</v>
      </c>
      <c r="BW246" s="557">
        <v>2</v>
      </c>
      <c r="BZ246" s="557">
        <v>2</v>
      </c>
      <c r="CA246" s="557">
        <v>2</v>
      </c>
      <c r="CC246" s="557">
        <v>1</v>
      </c>
      <c r="CD246" s="557">
        <v>2</v>
      </c>
      <c r="CE246" s="557">
        <v>2</v>
      </c>
      <c r="CF246" s="557">
        <v>2</v>
      </c>
      <c r="CG246" s="557">
        <v>2</v>
      </c>
      <c r="CH246" s="557">
        <v>2</v>
      </c>
      <c r="CI246" s="557">
        <v>2</v>
      </c>
      <c r="CJ246" s="557">
        <v>2</v>
      </c>
      <c r="CK246" s="557">
        <v>2</v>
      </c>
      <c r="CL246" s="557">
        <v>2</v>
      </c>
      <c r="CM246" s="557">
        <v>2</v>
      </c>
      <c r="CN246" s="557">
        <v>2</v>
      </c>
      <c r="CO246" s="557">
        <v>2</v>
      </c>
      <c r="CP246" s="557">
        <v>2</v>
      </c>
      <c r="CQ246" s="557">
        <v>2</v>
      </c>
      <c r="CR246" s="557">
        <v>2</v>
      </c>
      <c r="CS246" s="557">
        <v>2</v>
      </c>
    </row>
    <row r="247" spans="1:99" s="557" customFormat="1" x14ac:dyDescent="0.3">
      <c r="A247" s="556">
        <v>1057</v>
      </c>
      <c r="B247" s="557" t="s">
        <v>1518</v>
      </c>
      <c r="D247" s="557">
        <v>2</v>
      </c>
      <c r="E247" s="557">
        <v>2</v>
      </c>
      <c r="F247" s="557">
        <v>2</v>
      </c>
      <c r="G247" s="557">
        <v>1</v>
      </c>
      <c r="H247" s="557">
        <v>2</v>
      </c>
      <c r="I247" s="557">
        <v>2</v>
      </c>
      <c r="J247" s="557">
        <v>2</v>
      </c>
      <c r="L247" s="557">
        <v>2</v>
      </c>
      <c r="M247" s="557">
        <v>2</v>
      </c>
      <c r="O247" s="557">
        <v>2</v>
      </c>
      <c r="P247" s="557">
        <v>2</v>
      </c>
      <c r="Q247" s="557">
        <v>1</v>
      </c>
      <c r="R247" s="557">
        <v>1</v>
      </c>
      <c r="S247" s="557">
        <v>2</v>
      </c>
      <c r="T247" s="557">
        <v>2</v>
      </c>
      <c r="U247" s="557">
        <v>2</v>
      </c>
      <c r="V247" s="557">
        <v>2</v>
      </c>
      <c r="W247" s="557">
        <v>2</v>
      </c>
      <c r="X247" s="557">
        <v>2</v>
      </c>
      <c r="Y247" s="557">
        <v>2</v>
      </c>
      <c r="Z247" s="557">
        <v>2</v>
      </c>
      <c r="AA247" s="557">
        <v>2</v>
      </c>
      <c r="AB247" s="557">
        <v>2</v>
      </c>
      <c r="AC247" s="557">
        <v>2</v>
      </c>
      <c r="AE247" s="557">
        <v>1</v>
      </c>
      <c r="AF247" s="557">
        <v>1</v>
      </c>
      <c r="AG247" s="557">
        <v>2</v>
      </c>
      <c r="AH247" s="557">
        <v>2</v>
      </c>
      <c r="AI247" s="557">
        <v>2</v>
      </c>
      <c r="AJ247" s="557">
        <v>2</v>
      </c>
      <c r="AK247" s="557">
        <v>2</v>
      </c>
      <c r="AL247" s="557">
        <v>2</v>
      </c>
      <c r="AM247" s="557">
        <v>1</v>
      </c>
      <c r="AN247" s="557">
        <v>1</v>
      </c>
      <c r="AO247" s="557">
        <v>1</v>
      </c>
      <c r="AP247" s="557">
        <v>2</v>
      </c>
      <c r="AQ247" s="557">
        <v>2</v>
      </c>
      <c r="AR247" s="557">
        <v>2</v>
      </c>
      <c r="AS247" s="557">
        <v>1</v>
      </c>
      <c r="AT247" s="557">
        <v>2</v>
      </c>
      <c r="AU247" s="557">
        <v>2</v>
      </c>
      <c r="AV247" s="557">
        <v>2</v>
      </c>
      <c r="AW247" s="557">
        <v>1</v>
      </c>
      <c r="AX247" s="557">
        <v>2</v>
      </c>
      <c r="AY247" s="557">
        <v>1</v>
      </c>
      <c r="AZ247" s="557">
        <v>2</v>
      </c>
      <c r="BA247" s="557">
        <v>2</v>
      </c>
      <c r="BB247" s="557">
        <v>2</v>
      </c>
      <c r="BC247" s="557">
        <v>1</v>
      </c>
      <c r="BD247" s="557">
        <v>2</v>
      </c>
      <c r="BE247" s="557">
        <v>2</v>
      </c>
      <c r="BF247" s="557">
        <v>2</v>
      </c>
      <c r="BG247" s="557">
        <v>2</v>
      </c>
      <c r="BH247" s="557">
        <v>2</v>
      </c>
      <c r="BI247" s="557">
        <v>2</v>
      </c>
      <c r="BJ247" s="557">
        <v>2</v>
      </c>
      <c r="BK247" s="557">
        <v>2</v>
      </c>
      <c r="BL247" s="557">
        <v>2</v>
      </c>
      <c r="BM247" s="557">
        <v>1</v>
      </c>
      <c r="BN247" s="557">
        <v>2</v>
      </c>
      <c r="BO247" s="557">
        <v>2</v>
      </c>
      <c r="BP247" s="557">
        <v>1</v>
      </c>
      <c r="BQ247" s="557">
        <v>2</v>
      </c>
      <c r="BR247" s="557">
        <v>2</v>
      </c>
      <c r="BS247" s="557">
        <v>2</v>
      </c>
      <c r="BT247" s="557">
        <v>2</v>
      </c>
      <c r="BU247" s="557">
        <v>2</v>
      </c>
      <c r="BV247" s="557">
        <v>2</v>
      </c>
      <c r="BW247" s="557">
        <v>2</v>
      </c>
      <c r="BZ247" s="557">
        <v>1</v>
      </c>
      <c r="CA247" s="557">
        <v>2</v>
      </c>
      <c r="CC247" s="557">
        <v>1</v>
      </c>
      <c r="CD247" s="557">
        <v>2</v>
      </c>
      <c r="CE247" s="557">
        <v>2</v>
      </c>
      <c r="CF247" s="557">
        <v>2</v>
      </c>
      <c r="CG247" s="557">
        <v>2</v>
      </c>
      <c r="CH247" s="557">
        <v>1</v>
      </c>
      <c r="CI247" s="557">
        <v>2</v>
      </c>
      <c r="CJ247" s="557">
        <v>2</v>
      </c>
      <c r="CK247" s="557">
        <v>1</v>
      </c>
      <c r="CL247" s="557">
        <v>2</v>
      </c>
      <c r="CM247" s="557">
        <v>2</v>
      </c>
      <c r="CN247" s="557">
        <v>1</v>
      </c>
      <c r="CO247" s="557">
        <v>1</v>
      </c>
      <c r="CP247" s="557">
        <v>2</v>
      </c>
      <c r="CQ247" s="557">
        <v>1</v>
      </c>
      <c r="CR247" s="557">
        <v>2</v>
      </c>
      <c r="CS247" s="557">
        <v>2</v>
      </c>
    </row>
    <row r="248" spans="1:99" s="557" customFormat="1" x14ac:dyDescent="0.3">
      <c r="A248" s="556">
        <v>1058</v>
      </c>
      <c r="B248" s="557" t="s">
        <v>1519</v>
      </c>
      <c r="D248" s="557">
        <v>2</v>
      </c>
      <c r="E248" s="557">
        <v>2</v>
      </c>
      <c r="F248" s="557">
        <v>2</v>
      </c>
      <c r="G248" s="557">
        <v>1</v>
      </c>
      <c r="H248" s="557">
        <v>2</v>
      </c>
      <c r="I248" s="557">
        <v>2</v>
      </c>
      <c r="J248" s="557">
        <v>2</v>
      </c>
      <c r="L248" s="557">
        <v>1</v>
      </c>
      <c r="M248" s="557">
        <v>2</v>
      </c>
      <c r="O248" s="557">
        <v>2</v>
      </c>
      <c r="P248" s="557">
        <v>2</v>
      </c>
      <c r="Q248" s="557">
        <v>2</v>
      </c>
      <c r="R248" s="557">
        <v>2</v>
      </c>
      <c r="S248" s="557">
        <v>2</v>
      </c>
      <c r="T248" s="557">
        <v>2</v>
      </c>
      <c r="U248" s="557">
        <v>2</v>
      </c>
      <c r="V248" s="557">
        <v>2</v>
      </c>
      <c r="W248" s="557">
        <v>2</v>
      </c>
      <c r="X248" s="557">
        <v>2</v>
      </c>
      <c r="Y248" s="557">
        <v>2</v>
      </c>
      <c r="Z248" s="557">
        <v>2</v>
      </c>
      <c r="AA248" s="557">
        <v>2</v>
      </c>
      <c r="AB248" s="557">
        <v>2</v>
      </c>
      <c r="AC248" s="557">
        <v>2</v>
      </c>
      <c r="AE248" s="557">
        <v>1</v>
      </c>
      <c r="AF248" s="557">
        <v>2</v>
      </c>
      <c r="AG248" s="557">
        <v>2</v>
      </c>
      <c r="AH248" s="557">
        <v>2</v>
      </c>
      <c r="AI248" s="557">
        <v>2</v>
      </c>
      <c r="AJ248" s="557">
        <v>2</v>
      </c>
      <c r="AK248" s="557">
        <v>2</v>
      </c>
      <c r="AL248" s="557">
        <v>2</v>
      </c>
      <c r="AM248" s="557">
        <v>2</v>
      </c>
      <c r="AN248" s="557">
        <v>2</v>
      </c>
      <c r="AO248" s="557">
        <v>2</v>
      </c>
      <c r="AP248" s="557">
        <v>2</v>
      </c>
      <c r="AQ248" s="557">
        <v>2</v>
      </c>
      <c r="AR248" s="557">
        <v>2</v>
      </c>
      <c r="AS248" s="557">
        <v>1</v>
      </c>
      <c r="AT248" s="557">
        <v>2</v>
      </c>
      <c r="AU248" s="557">
        <v>2</v>
      </c>
      <c r="AV248" s="557">
        <v>2</v>
      </c>
      <c r="AW248" s="557">
        <v>2</v>
      </c>
      <c r="AX248" s="557">
        <v>2</v>
      </c>
      <c r="AY248" s="557">
        <v>2</v>
      </c>
      <c r="AZ248" s="557">
        <v>2</v>
      </c>
      <c r="BA248" s="557">
        <v>2</v>
      </c>
      <c r="BB248" s="557">
        <v>2</v>
      </c>
      <c r="BC248" s="557">
        <v>2</v>
      </c>
      <c r="BD248" s="557">
        <v>2</v>
      </c>
      <c r="BE248" s="557">
        <v>2</v>
      </c>
      <c r="BF248" s="557">
        <v>2</v>
      </c>
      <c r="BG248" s="557">
        <v>1</v>
      </c>
      <c r="BH248" s="557">
        <v>1</v>
      </c>
      <c r="BI248" s="557">
        <v>2</v>
      </c>
      <c r="BJ248" s="557">
        <v>2</v>
      </c>
      <c r="BK248" s="557">
        <v>2</v>
      </c>
      <c r="BL248" s="557">
        <v>2</v>
      </c>
      <c r="BM248" s="557">
        <v>2</v>
      </c>
      <c r="BN248" s="557">
        <v>2</v>
      </c>
      <c r="BO248" s="557">
        <v>2</v>
      </c>
      <c r="BP248" s="557">
        <v>2</v>
      </c>
      <c r="BQ248" s="557">
        <v>2</v>
      </c>
      <c r="BR248" s="557">
        <v>1</v>
      </c>
      <c r="BS248" s="557">
        <v>2</v>
      </c>
      <c r="BT248" s="557">
        <v>2</v>
      </c>
      <c r="BU248" s="557">
        <v>2</v>
      </c>
      <c r="BV248" s="557">
        <v>2</v>
      </c>
      <c r="BW248" s="557">
        <v>2</v>
      </c>
      <c r="BZ248" s="557">
        <v>2</v>
      </c>
      <c r="CA248" s="557">
        <v>2</v>
      </c>
      <c r="CC248" s="557">
        <v>1</v>
      </c>
      <c r="CD248" s="557">
        <v>2</v>
      </c>
      <c r="CE248" s="557">
        <v>2</v>
      </c>
      <c r="CF248" s="557">
        <v>2</v>
      </c>
      <c r="CG248" s="557">
        <v>2</v>
      </c>
      <c r="CH248" s="557">
        <v>2</v>
      </c>
      <c r="CI248" s="557">
        <v>2</v>
      </c>
      <c r="CJ248" s="557">
        <v>2</v>
      </c>
      <c r="CK248" s="557">
        <v>2</v>
      </c>
      <c r="CL248" s="557">
        <v>2</v>
      </c>
      <c r="CM248" s="557">
        <v>2</v>
      </c>
      <c r="CN248" s="557">
        <v>1</v>
      </c>
      <c r="CO248" s="557">
        <v>1</v>
      </c>
      <c r="CP248" s="557">
        <v>2</v>
      </c>
      <c r="CQ248" s="557">
        <v>2</v>
      </c>
      <c r="CR248" s="557">
        <v>2</v>
      </c>
      <c r="CS248" s="557">
        <v>2</v>
      </c>
    </row>
    <row r="249" spans="1:99" s="557" customFormat="1" x14ac:dyDescent="0.3">
      <c r="A249" s="556">
        <v>1059</v>
      </c>
      <c r="B249" s="557" t="s">
        <v>1703</v>
      </c>
      <c r="D249" s="557">
        <v>1</v>
      </c>
      <c r="E249" s="557">
        <v>1</v>
      </c>
      <c r="F249" s="557">
        <v>1</v>
      </c>
      <c r="G249" s="557">
        <v>1</v>
      </c>
      <c r="H249" s="557">
        <v>1</v>
      </c>
      <c r="I249" s="557">
        <v>1</v>
      </c>
      <c r="J249" s="557">
        <v>1</v>
      </c>
      <c r="L249" s="557">
        <v>1</v>
      </c>
      <c r="M249" s="557">
        <v>1</v>
      </c>
      <c r="O249" s="557">
        <v>1</v>
      </c>
      <c r="P249" s="557">
        <v>1</v>
      </c>
      <c r="Q249" s="557">
        <v>1</v>
      </c>
      <c r="R249" s="557">
        <v>1</v>
      </c>
      <c r="S249" s="557">
        <v>1</v>
      </c>
      <c r="T249" s="557">
        <v>1</v>
      </c>
      <c r="U249" s="557">
        <v>1</v>
      </c>
      <c r="V249" s="557">
        <v>1</v>
      </c>
      <c r="W249" s="557">
        <v>1</v>
      </c>
      <c r="X249" s="557">
        <v>1</v>
      </c>
      <c r="Y249" s="557">
        <v>1</v>
      </c>
      <c r="Z249" s="557">
        <v>1</v>
      </c>
      <c r="AA249" s="557">
        <v>1</v>
      </c>
      <c r="AB249" s="557">
        <v>1</v>
      </c>
      <c r="AC249" s="557">
        <v>1</v>
      </c>
      <c r="AE249" s="557">
        <v>1</v>
      </c>
      <c r="AF249" s="557">
        <v>1</v>
      </c>
      <c r="AG249" s="557">
        <v>1</v>
      </c>
      <c r="AH249" s="557">
        <v>1</v>
      </c>
      <c r="AI249" s="557">
        <v>1</v>
      </c>
      <c r="AJ249" s="557">
        <v>1</v>
      </c>
      <c r="AK249" s="557">
        <v>1</v>
      </c>
      <c r="AL249" s="557">
        <v>1</v>
      </c>
      <c r="AM249" s="557">
        <v>1</v>
      </c>
      <c r="AN249" s="557">
        <v>1</v>
      </c>
      <c r="AO249" s="557">
        <v>1</v>
      </c>
      <c r="AP249" s="557">
        <v>1</v>
      </c>
      <c r="AQ249" s="557">
        <v>1</v>
      </c>
      <c r="AR249" s="557">
        <v>1</v>
      </c>
      <c r="AS249" s="557">
        <v>1</v>
      </c>
      <c r="AT249" s="557">
        <v>1</v>
      </c>
      <c r="AU249" s="557">
        <v>1</v>
      </c>
      <c r="AV249" s="557">
        <v>1</v>
      </c>
      <c r="AW249" s="557">
        <v>1</v>
      </c>
      <c r="AX249" s="557">
        <v>1</v>
      </c>
      <c r="AY249" s="557">
        <v>1</v>
      </c>
      <c r="AZ249" s="557">
        <v>1</v>
      </c>
      <c r="BA249" s="557">
        <v>1</v>
      </c>
      <c r="BB249" s="557">
        <v>1</v>
      </c>
      <c r="BC249" s="557">
        <v>1</v>
      </c>
      <c r="BD249" s="557">
        <v>1</v>
      </c>
      <c r="BE249" s="557">
        <v>1</v>
      </c>
      <c r="BF249" s="557">
        <v>1</v>
      </c>
      <c r="BG249" s="557">
        <v>1</v>
      </c>
      <c r="BH249" s="557">
        <v>1</v>
      </c>
      <c r="BI249" s="557">
        <v>1</v>
      </c>
      <c r="BJ249" s="557">
        <v>1</v>
      </c>
      <c r="BK249" s="557">
        <v>1</v>
      </c>
      <c r="BL249" s="557">
        <v>1</v>
      </c>
      <c r="BM249" s="557">
        <v>1</v>
      </c>
      <c r="BN249" s="557">
        <v>1</v>
      </c>
      <c r="BO249" s="557">
        <v>1</v>
      </c>
      <c r="BP249" s="557">
        <v>1</v>
      </c>
      <c r="BQ249" s="557">
        <v>1</v>
      </c>
      <c r="BR249" s="557">
        <v>1</v>
      </c>
      <c r="BS249" s="557">
        <v>1</v>
      </c>
      <c r="BT249" s="557">
        <v>1</v>
      </c>
      <c r="BU249" s="557">
        <v>1</v>
      </c>
      <c r="BV249" s="557">
        <v>1</v>
      </c>
      <c r="BW249" s="557">
        <v>1</v>
      </c>
      <c r="BZ249" s="557">
        <v>1</v>
      </c>
      <c r="CA249" s="557">
        <v>1</v>
      </c>
      <c r="CC249" s="557">
        <v>1</v>
      </c>
      <c r="CD249" s="557">
        <v>1</v>
      </c>
      <c r="CE249" s="557">
        <v>1</v>
      </c>
      <c r="CF249" s="557">
        <v>1</v>
      </c>
      <c r="CG249" s="557">
        <v>1</v>
      </c>
      <c r="CH249" s="557">
        <v>1</v>
      </c>
      <c r="CI249" s="557">
        <v>1</v>
      </c>
      <c r="CJ249" s="557">
        <v>1</v>
      </c>
      <c r="CK249" s="557">
        <v>1</v>
      </c>
      <c r="CL249" s="557">
        <v>1</v>
      </c>
      <c r="CM249" s="557">
        <v>1</v>
      </c>
      <c r="CN249" s="557">
        <v>1</v>
      </c>
      <c r="CO249" s="557">
        <v>1</v>
      </c>
      <c r="CP249" s="557">
        <v>1</v>
      </c>
      <c r="CQ249" s="557">
        <v>1</v>
      </c>
      <c r="CR249" s="557">
        <v>1</v>
      </c>
      <c r="CS249" s="557">
        <v>1</v>
      </c>
    </row>
    <row r="250" spans="1:99" s="562" customFormat="1" x14ac:dyDescent="0.3">
      <c r="A250" s="561">
        <v>1060</v>
      </c>
      <c r="B250" s="562" t="s">
        <v>1704</v>
      </c>
      <c r="D250" s="562">
        <v>0</v>
      </c>
      <c r="E250" s="562">
        <v>0</v>
      </c>
      <c r="F250" s="562">
        <v>134438</v>
      </c>
      <c r="G250" s="562">
        <v>0</v>
      </c>
      <c r="H250" s="562">
        <v>0</v>
      </c>
      <c r="I250" s="562">
        <v>0</v>
      </c>
      <c r="J250" s="562">
        <v>0</v>
      </c>
      <c r="L250" s="562">
        <v>0</v>
      </c>
      <c r="M250" s="562">
        <v>1080576</v>
      </c>
      <c r="O250" s="562">
        <v>17</v>
      </c>
      <c r="P250" s="562">
        <v>0</v>
      </c>
      <c r="Q250" s="562">
        <v>0</v>
      </c>
      <c r="R250" s="562">
        <v>0</v>
      </c>
      <c r="S250" s="562">
        <v>57582</v>
      </c>
      <c r="T250" s="562">
        <v>0</v>
      </c>
      <c r="U250" s="562">
        <v>0</v>
      </c>
      <c r="V250" s="562">
        <v>0</v>
      </c>
      <c r="W250" s="562">
        <v>0</v>
      </c>
      <c r="X250" s="562">
        <v>132087</v>
      </c>
      <c r="Y250" s="562">
        <v>0</v>
      </c>
      <c r="Z250" s="562">
        <v>436297</v>
      </c>
      <c r="AA250" s="562">
        <v>25569</v>
      </c>
      <c r="AB250" s="562">
        <v>9221</v>
      </c>
      <c r="AC250" s="562">
        <v>186780</v>
      </c>
      <c r="AE250" s="562">
        <v>10566</v>
      </c>
      <c r="AF250" s="562">
        <v>67405</v>
      </c>
      <c r="AG250" s="562">
        <v>1212781</v>
      </c>
      <c r="AH250" s="562">
        <v>221744</v>
      </c>
      <c r="AI250" s="562">
        <v>0</v>
      </c>
      <c r="AJ250" s="562">
        <v>0</v>
      </c>
      <c r="AK250" s="562">
        <v>0</v>
      </c>
      <c r="AL250" s="562">
        <v>0</v>
      </c>
      <c r="AM250" s="562">
        <v>0</v>
      </c>
      <c r="AN250" s="562">
        <v>250000</v>
      </c>
      <c r="AO250" s="562">
        <v>257348</v>
      </c>
      <c r="AP250" s="562">
        <v>3472</v>
      </c>
      <c r="AQ250" s="562">
        <v>107634</v>
      </c>
      <c r="AR250" s="562">
        <v>704321</v>
      </c>
      <c r="AS250" s="562">
        <v>43683</v>
      </c>
      <c r="AT250" s="562">
        <v>0</v>
      </c>
      <c r="AU250" s="562">
        <v>0</v>
      </c>
      <c r="AV250" s="562">
        <v>0</v>
      </c>
      <c r="AW250" s="562">
        <v>2926</v>
      </c>
      <c r="AX250" s="562">
        <v>0</v>
      </c>
      <c r="AY250" s="562">
        <v>173660</v>
      </c>
      <c r="AZ250" s="562">
        <v>0</v>
      </c>
      <c r="BA250" s="562">
        <v>990426</v>
      </c>
      <c r="BB250" s="562">
        <v>0</v>
      </c>
      <c r="BC250" s="562">
        <v>615564</v>
      </c>
      <c r="BD250" s="562">
        <v>0</v>
      </c>
      <c r="BE250" s="562">
        <v>75479</v>
      </c>
      <c r="BF250" s="562">
        <v>0</v>
      </c>
      <c r="BG250" s="562">
        <v>12875</v>
      </c>
      <c r="BH250" s="562">
        <v>81434</v>
      </c>
      <c r="BI250" s="562">
        <v>0</v>
      </c>
      <c r="BJ250" s="562">
        <v>1513335</v>
      </c>
      <c r="BK250" s="562">
        <v>0</v>
      </c>
      <c r="BL250" s="562">
        <v>0</v>
      </c>
      <c r="BM250" s="562">
        <v>1330341</v>
      </c>
      <c r="BN250" s="562">
        <v>1145923</v>
      </c>
      <c r="BO250" s="562">
        <v>0</v>
      </c>
      <c r="BP250" s="562">
        <v>0</v>
      </c>
      <c r="BQ250" s="562">
        <v>0</v>
      </c>
      <c r="BR250" s="562">
        <v>230000</v>
      </c>
      <c r="BS250" s="562">
        <v>996619</v>
      </c>
      <c r="BT250" s="562">
        <v>154981</v>
      </c>
      <c r="BU250" s="562">
        <v>0</v>
      </c>
      <c r="BV250" s="562">
        <v>209544</v>
      </c>
      <c r="BW250" s="562">
        <v>541626</v>
      </c>
      <c r="BZ250" s="562">
        <v>534946</v>
      </c>
      <c r="CA250" s="562">
        <v>0</v>
      </c>
      <c r="CC250" s="562">
        <v>0</v>
      </c>
      <c r="CD250" s="562">
        <v>10081715</v>
      </c>
      <c r="CE250" s="562">
        <v>118415</v>
      </c>
      <c r="CF250" s="562">
        <v>0</v>
      </c>
      <c r="CG250" s="562">
        <v>1074966</v>
      </c>
      <c r="CH250" s="562">
        <v>0</v>
      </c>
      <c r="CI250" s="562">
        <v>0</v>
      </c>
      <c r="CJ250" s="562">
        <v>33924163</v>
      </c>
      <c r="CK250" s="562">
        <v>0</v>
      </c>
      <c r="CL250" s="562">
        <v>0</v>
      </c>
      <c r="CM250" s="562">
        <v>2140691</v>
      </c>
      <c r="CN250" s="562">
        <v>19805</v>
      </c>
      <c r="CO250" s="562">
        <v>0</v>
      </c>
      <c r="CP250" s="562">
        <v>0</v>
      </c>
      <c r="CQ250" s="562">
        <v>0</v>
      </c>
      <c r="CR250" s="562">
        <v>438209</v>
      </c>
      <c r="CS250" s="562">
        <v>0</v>
      </c>
    </row>
    <row r="251" spans="1:99" s="562" customFormat="1" x14ac:dyDescent="0.3">
      <c r="A251" s="561">
        <v>1061</v>
      </c>
      <c r="B251" s="562" t="s">
        <v>1705</v>
      </c>
      <c r="D251" s="562">
        <v>67564</v>
      </c>
      <c r="E251" s="562">
        <v>0</v>
      </c>
      <c r="F251" s="562">
        <v>231427</v>
      </c>
      <c r="G251" s="562">
        <v>0</v>
      </c>
      <c r="H251" s="562">
        <v>2574755</v>
      </c>
      <c r="I251" s="562">
        <v>0</v>
      </c>
      <c r="J251" s="562">
        <v>599470</v>
      </c>
      <c r="L251" s="562">
        <v>0</v>
      </c>
      <c r="M251" s="562">
        <v>0</v>
      </c>
      <c r="O251" s="562">
        <v>0</v>
      </c>
      <c r="P251" s="562">
        <v>0</v>
      </c>
      <c r="Q251" s="562">
        <v>83193</v>
      </c>
      <c r="R251" s="562">
        <v>0</v>
      </c>
      <c r="S251" s="562">
        <v>0</v>
      </c>
      <c r="T251" s="562">
        <v>0</v>
      </c>
      <c r="U251" s="562">
        <v>0</v>
      </c>
      <c r="V251" s="562">
        <v>0</v>
      </c>
      <c r="W251" s="562">
        <v>0</v>
      </c>
      <c r="X251" s="562">
        <v>0</v>
      </c>
      <c r="Y251" s="562">
        <v>220539</v>
      </c>
      <c r="Z251" s="562">
        <v>0</v>
      </c>
      <c r="AA251" s="562">
        <v>0</v>
      </c>
      <c r="AB251" s="562">
        <v>7305</v>
      </c>
      <c r="AC251" s="562">
        <v>0</v>
      </c>
      <c r="AE251" s="562">
        <v>0</v>
      </c>
      <c r="AF251" s="562">
        <v>0</v>
      </c>
      <c r="AG251" s="562">
        <v>7280187</v>
      </c>
      <c r="AH251" s="562">
        <v>117785</v>
      </c>
      <c r="AI251" s="562">
        <v>0</v>
      </c>
      <c r="AJ251" s="562">
        <v>0</v>
      </c>
      <c r="AK251" s="562">
        <v>0</v>
      </c>
      <c r="AL251" s="562">
        <v>1052658</v>
      </c>
      <c r="AM251" s="562">
        <v>441277</v>
      </c>
      <c r="AN251" s="562">
        <v>0</v>
      </c>
      <c r="AO251" s="562">
        <v>0</v>
      </c>
      <c r="AP251" s="562">
        <v>43217</v>
      </c>
      <c r="AQ251" s="562">
        <v>0</v>
      </c>
      <c r="AR251" s="562">
        <v>0</v>
      </c>
      <c r="AS251" s="562">
        <v>110089</v>
      </c>
      <c r="AT251" s="562">
        <v>0</v>
      </c>
      <c r="AU251" s="562">
        <v>94972</v>
      </c>
      <c r="AV251" s="562">
        <v>0</v>
      </c>
      <c r="AW251" s="562">
        <v>0</v>
      </c>
      <c r="AX251" s="562">
        <v>92900</v>
      </c>
      <c r="AY251" s="562">
        <v>0</v>
      </c>
      <c r="AZ251" s="562">
        <v>123874</v>
      </c>
      <c r="BA251" s="562">
        <v>604463</v>
      </c>
      <c r="BB251" s="562">
        <v>0</v>
      </c>
      <c r="BC251" s="562">
        <v>204573</v>
      </c>
      <c r="BD251" s="562">
        <v>0</v>
      </c>
      <c r="BE251" s="562">
        <v>168802</v>
      </c>
      <c r="BF251" s="562">
        <v>0</v>
      </c>
      <c r="BG251" s="562">
        <v>0</v>
      </c>
      <c r="BH251" s="562">
        <v>0</v>
      </c>
      <c r="BI251" s="562">
        <v>492228</v>
      </c>
      <c r="BJ251" s="562">
        <v>1513335</v>
      </c>
      <c r="BK251" s="562">
        <v>0</v>
      </c>
      <c r="BL251" s="562">
        <v>0</v>
      </c>
      <c r="BM251" s="562">
        <v>0</v>
      </c>
      <c r="BN251" s="562">
        <v>435879</v>
      </c>
      <c r="BO251" s="562">
        <v>0</v>
      </c>
      <c r="BP251" s="562">
        <v>0</v>
      </c>
      <c r="BQ251" s="562">
        <v>0</v>
      </c>
      <c r="BR251" s="562">
        <v>0</v>
      </c>
      <c r="BS251" s="562">
        <v>0</v>
      </c>
      <c r="BT251" s="562">
        <v>278449</v>
      </c>
      <c r="BU251" s="562">
        <v>0</v>
      </c>
      <c r="BV251" s="562">
        <v>0</v>
      </c>
      <c r="BW251" s="562">
        <v>0</v>
      </c>
      <c r="BZ251" s="562">
        <v>309443</v>
      </c>
      <c r="CA251" s="562">
        <v>66731</v>
      </c>
      <c r="CC251" s="562">
        <v>0</v>
      </c>
      <c r="CD251" s="562">
        <v>15848237</v>
      </c>
      <c r="CE251" s="562">
        <v>239546</v>
      </c>
      <c r="CF251" s="562">
        <v>0</v>
      </c>
      <c r="CG251" s="562">
        <v>0</v>
      </c>
      <c r="CH251" s="562">
        <v>0</v>
      </c>
      <c r="CI251" s="562">
        <v>0</v>
      </c>
      <c r="CJ251" s="562">
        <v>0</v>
      </c>
      <c r="CK251" s="562">
        <v>1582492</v>
      </c>
      <c r="CL251" s="562">
        <v>0</v>
      </c>
      <c r="CM251" s="562">
        <v>0</v>
      </c>
      <c r="CN251" s="562">
        <v>19805</v>
      </c>
      <c r="CO251" s="562">
        <v>0</v>
      </c>
      <c r="CP251" s="562">
        <v>0</v>
      </c>
      <c r="CQ251" s="562">
        <v>0</v>
      </c>
      <c r="CR251" s="562">
        <v>0</v>
      </c>
      <c r="CS251" s="562">
        <v>0</v>
      </c>
    </row>
    <row r="252" spans="1:99" s="562" customFormat="1" x14ac:dyDescent="0.3">
      <c r="A252" s="561">
        <v>1062</v>
      </c>
      <c r="B252" s="562" t="s">
        <v>1706</v>
      </c>
      <c r="D252" s="562">
        <v>1</v>
      </c>
      <c r="E252" s="562">
        <v>0</v>
      </c>
      <c r="F252" s="562">
        <v>1</v>
      </c>
      <c r="G252" s="562">
        <v>1</v>
      </c>
      <c r="H252" s="562">
        <v>1</v>
      </c>
      <c r="I252" s="562">
        <v>1</v>
      </c>
      <c r="J252" s="562">
        <v>1</v>
      </c>
      <c r="L252" s="562">
        <v>1</v>
      </c>
      <c r="M252" s="562">
        <v>1</v>
      </c>
      <c r="O252" s="562">
        <v>1</v>
      </c>
      <c r="P252" s="562">
        <v>0</v>
      </c>
      <c r="Q252" s="562">
        <v>1</v>
      </c>
      <c r="R252" s="562">
        <v>3</v>
      </c>
      <c r="S252" s="562">
        <v>1</v>
      </c>
      <c r="T252" s="562">
        <v>1</v>
      </c>
      <c r="U252" s="562">
        <v>1</v>
      </c>
      <c r="V252" s="562">
        <v>1</v>
      </c>
      <c r="W252" s="562">
        <v>1</v>
      </c>
      <c r="X252" s="562">
        <v>1</v>
      </c>
      <c r="Y252" s="562">
        <v>1</v>
      </c>
      <c r="Z252" s="562">
        <v>1</v>
      </c>
      <c r="AA252" s="562">
        <v>1</v>
      </c>
      <c r="AB252" s="562">
        <v>1</v>
      </c>
      <c r="AC252" s="562">
        <v>1</v>
      </c>
      <c r="AE252" s="562">
        <v>1</v>
      </c>
      <c r="AF252" s="562">
        <v>1</v>
      </c>
      <c r="AG252" s="562">
        <v>1</v>
      </c>
      <c r="AH252" s="562">
        <v>1</v>
      </c>
      <c r="AI252" s="562">
        <v>1</v>
      </c>
      <c r="AJ252" s="562">
        <v>1</v>
      </c>
      <c r="AK252" s="562">
        <v>1</v>
      </c>
      <c r="AL252" s="562">
        <v>1</v>
      </c>
      <c r="AM252" s="562">
        <v>1</v>
      </c>
      <c r="AN252" s="562">
        <v>1</v>
      </c>
      <c r="AO252" s="562">
        <v>1</v>
      </c>
      <c r="AP252" s="562">
        <v>1</v>
      </c>
      <c r="AQ252" s="562">
        <v>1</v>
      </c>
      <c r="AR252" s="562">
        <v>1</v>
      </c>
      <c r="AS252" s="562">
        <v>1</v>
      </c>
      <c r="AT252" s="562">
        <v>1</v>
      </c>
      <c r="AU252" s="562">
        <v>1</v>
      </c>
      <c r="AV252" s="562">
        <v>1</v>
      </c>
      <c r="AW252" s="562">
        <v>1</v>
      </c>
      <c r="AX252" s="562">
        <v>1</v>
      </c>
      <c r="AY252" s="562">
        <v>1</v>
      </c>
      <c r="AZ252" s="562">
        <v>1</v>
      </c>
      <c r="BA252" s="562">
        <v>1</v>
      </c>
      <c r="BB252" s="562">
        <v>1</v>
      </c>
      <c r="BC252" s="562">
        <v>1</v>
      </c>
      <c r="BD252" s="562">
        <v>1</v>
      </c>
      <c r="BE252" s="562">
        <v>1</v>
      </c>
      <c r="BF252" s="562">
        <v>0</v>
      </c>
      <c r="BG252" s="562">
        <v>1</v>
      </c>
      <c r="BH252" s="562">
        <v>1</v>
      </c>
      <c r="BI252" s="562">
        <v>1</v>
      </c>
      <c r="BJ252" s="562">
        <v>1</v>
      </c>
      <c r="BK252" s="562">
        <v>1</v>
      </c>
      <c r="BL252" s="562">
        <v>3</v>
      </c>
      <c r="BM252" s="562">
        <v>1</v>
      </c>
      <c r="BN252" s="562">
        <v>1</v>
      </c>
      <c r="BO252" s="562">
        <v>1</v>
      </c>
      <c r="BP252" s="562">
        <v>1</v>
      </c>
      <c r="BQ252" s="562">
        <v>1</v>
      </c>
      <c r="BR252" s="562">
        <v>1</v>
      </c>
      <c r="BS252" s="562">
        <v>1</v>
      </c>
      <c r="BT252" s="562">
        <v>1</v>
      </c>
      <c r="BU252" s="562">
        <v>1</v>
      </c>
      <c r="BV252" s="562">
        <v>1</v>
      </c>
      <c r="BW252" s="562">
        <v>1</v>
      </c>
      <c r="BZ252" s="562">
        <v>1</v>
      </c>
      <c r="CA252" s="562">
        <v>1</v>
      </c>
      <c r="CC252" s="562">
        <v>1</v>
      </c>
      <c r="CD252" s="562">
        <v>1</v>
      </c>
      <c r="CE252" s="562">
        <v>1</v>
      </c>
      <c r="CF252" s="562">
        <v>1</v>
      </c>
      <c r="CG252" s="562">
        <v>1</v>
      </c>
      <c r="CH252" s="562">
        <v>0</v>
      </c>
      <c r="CI252" s="562">
        <v>1</v>
      </c>
      <c r="CJ252" s="562">
        <v>1</v>
      </c>
      <c r="CK252" s="562">
        <v>1</v>
      </c>
      <c r="CL252" s="562">
        <v>1</v>
      </c>
      <c r="CM252" s="562">
        <v>1</v>
      </c>
      <c r="CN252" s="562">
        <v>1</v>
      </c>
      <c r="CO252" s="562">
        <v>1</v>
      </c>
      <c r="CP252" s="562">
        <v>1</v>
      </c>
      <c r="CQ252" s="562">
        <v>1</v>
      </c>
      <c r="CR252" s="562">
        <v>1</v>
      </c>
      <c r="CS252" s="562">
        <v>1</v>
      </c>
    </row>
    <row r="253" spans="1:99" s="562" customFormat="1" x14ac:dyDescent="0.3">
      <c r="A253" s="561">
        <v>1063</v>
      </c>
      <c r="B253" s="562" t="s">
        <v>1707</v>
      </c>
      <c r="D253" s="562">
        <v>1</v>
      </c>
      <c r="E253" s="562">
        <v>0</v>
      </c>
      <c r="F253" s="562">
        <v>1</v>
      </c>
      <c r="G253" s="562">
        <v>1</v>
      </c>
      <c r="H253" s="562">
        <v>1</v>
      </c>
      <c r="I253" s="562">
        <v>1</v>
      </c>
      <c r="J253" s="562">
        <v>1</v>
      </c>
      <c r="L253" s="562">
        <v>1</v>
      </c>
      <c r="M253" s="562">
        <v>1</v>
      </c>
      <c r="O253" s="562">
        <v>1</v>
      </c>
      <c r="P253" s="562">
        <v>0</v>
      </c>
      <c r="Q253" s="562">
        <v>1</v>
      </c>
      <c r="R253" s="562">
        <v>3</v>
      </c>
      <c r="S253" s="562">
        <v>1</v>
      </c>
      <c r="T253" s="562">
        <v>1</v>
      </c>
      <c r="U253" s="562">
        <v>1</v>
      </c>
      <c r="V253" s="562">
        <v>1</v>
      </c>
      <c r="W253" s="562">
        <v>1</v>
      </c>
      <c r="X253" s="562">
        <v>1</v>
      </c>
      <c r="Y253" s="562">
        <v>1</v>
      </c>
      <c r="Z253" s="562">
        <v>1</v>
      </c>
      <c r="AA253" s="562">
        <v>1</v>
      </c>
      <c r="AB253" s="562">
        <v>1</v>
      </c>
      <c r="AC253" s="562">
        <v>1</v>
      </c>
      <c r="AE253" s="562">
        <v>1</v>
      </c>
      <c r="AF253" s="562">
        <v>1</v>
      </c>
      <c r="AG253" s="562">
        <v>1</v>
      </c>
      <c r="AH253" s="562">
        <v>1</v>
      </c>
      <c r="AI253" s="562">
        <v>1</v>
      </c>
      <c r="AJ253" s="562">
        <v>1</v>
      </c>
      <c r="AK253" s="562">
        <v>1</v>
      </c>
      <c r="AL253" s="562">
        <v>1</v>
      </c>
      <c r="AM253" s="562">
        <v>1</v>
      </c>
      <c r="AN253" s="562">
        <v>1</v>
      </c>
      <c r="AO253" s="562">
        <v>1</v>
      </c>
      <c r="AP253" s="562">
        <v>1</v>
      </c>
      <c r="AQ253" s="562">
        <v>1</v>
      </c>
      <c r="AR253" s="562">
        <v>1</v>
      </c>
      <c r="AS253" s="562">
        <v>1</v>
      </c>
      <c r="AT253" s="562">
        <v>1</v>
      </c>
      <c r="AU253" s="562">
        <v>1</v>
      </c>
      <c r="AV253" s="562">
        <v>1</v>
      </c>
      <c r="AW253" s="562">
        <v>1</v>
      </c>
      <c r="AX253" s="562">
        <v>1</v>
      </c>
      <c r="AY253" s="562">
        <v>1</v>
      </c>
      <c r="AZ253" s="562">
        <v>1</v>
      </c>
      <c r="BA253" s="562">
        <v>1</v>
      </c>
      <c r="BB253" s="562">
        <v>1</v>
      </c>
      <c r="BC253" s="562">
        <v>1</v>
      </c>
      <c r="BD253" s="562">
        <v>1</v>
      </c>
      <c r="BE253" s="562">
        <v>1</v>
      </c>
      <c r="BF253" s="562">
        <v>0</v>
      </c>
      <c r="BG253" s="562">
        <v>1</v>
      </c>
      <c r="BH253" s="562">
        <v>1</v>
      </c>
      <c r="BI253" s="562">
        <v>1</v>
      </c>
      <c r="BJ253" s="562">
        <v>1</v>
      </c>
      <c r="BK253" s="562">
        <v>1</v>
      </c>
      <c r="BL253" s="562">
        <v>3</v>
      </c>
      <c r="BM253" s="562">
        <v>1</v>
      </c>
      <c r="BN253" s="562">
        <v>1</v>
      </c>
      <c r="BO253" s="562">
        <v>1</v>
      </c>
      <c r="BP253" s="562">
        <v>1</v>
      </c>
      <c r="BQ253" s="562">
        <v>1</v>
      </c>
      <c r="BR253" s="562">
        <v>1</v>
      </c>
      <c r="BS253" s="562">
        <v>1</v>
      </c>
      <c r="BT253" s="562">
        <v>3</v>
      </c>
      <c r="BU253" s="562">
        <v>1</v>
      </c>
      <c r="BV253" s="562">
        <v>1</v>
      </c>
      <c r="BW253" s="562">
        <v>1</v>
      </c>
      <c r="BZ253" s="562">
        <v>1</v>
      </c>
      <c r="CA253" s="562">
        <v>1</v>
      </c>
      <c r="CC253" s="562">
        <v>1</v>
      </c>
      <c r="CD253" s="562">
        <v>1</v>
      </c>
      <c r="CE253" s="562">
        <v>1</v>
      </c>
      <c r="CF253" s="562">
        <v>1</v>
      </c>
      <c r="CG253" s="562">
        <v>1</v>
      </c>
      <c r="CH253" s="562">
        <v>0</v>
      </c>
      <c r="CI253" s="562">
        <v>1</v>
      </c>
      <c r="CJ253" s="562">
        <v>1</v>
      </c>
      <c r="CK253" s="562">
        <v>1</v>
      </c>
      <c r="CL253" s="562">
        <v>1</v>
      </c>
      <c r="CM253" s="562">
        <v>1</v>
      </c>
      <c r="CN253" s="562">
        <v>1</v>
      </c>
      <c r="CO253" s="562">
        <v>1</v>
      </c>
      <c r="CP253" s="562">
        <v>1</v>
      </c>
      <c r="CQ253" s="562">
        <v>1</v>
      </c>
      <c r="CR253" s="562">
        <v>1</v>
      </c>
      <c r="CS253" s="562">
        <v>1</v>
      </c>
    </row>
    <row r="254" spans="1:99" s="555" customFormat="1" x14ac:dyDescent="0.3">
      <c r="A254" s="558">
        <v>1064</v>
      </c>
      <c r="B254" s="555" t="s">
        <v>1708</v>
      </c>
      <c r="F254" s="555">
        <v>134438</v>
      </c>
      <c r="H254" s="555">
        <v>0</v>
      </c>
      <c r="M254" s="555">
        <v>1080676</v>
      </c>
      <c r="V254" s="555">
        <v>0</v>
      </c>
      <c r="W254" s="555">
        <v>0</v>
      </c>
      <c r="AA254" s="555">
        <v>25569</v>
      </c>
      <c r="AE254" s="555">
        <v>0</v>
      </c>
      <c r="AG254" s="555">
        <v>1212781</v>
      </c>
      <c r="AI254" s="555">
        <v>0</v>
      </c>
      <c r="AK254" s="555">
        <v>0</v>
      </c>
      <c r="AN254" s="555">
        <v>250000</v>
      </c>
      <c r="AR254" s="555">
        <v>704721</v>
      </c>
      <c r="AY254" s="555">
        <v>183660</v>
      </c>
      <c r="BA254" s="555">
        <v>1156557</v>
      </c>
      <c r="BC254" s="555">
        <v>615564</v>
      </c>
      <c r="BH254" s="555">
        <v>0</v>
      </c>
      <c r="BI254" s="555">
        <v>0</v>
      </c>
      <c r="BJ254" s="555">
        <v>1513335</v>
      </c>
      <c r="BM254" s="555">
        <v>1330341</v>
      </c>
      <c r="BN254" s="555">
        <v>1145923</v>
      </c>
      <c r="BS254" s="555">
        <v>996619</v>
      </c>
      <c r="CD254" s="555">
        <v>9522153</v>
      </c>
      <c r="CE254" s="555">
        <v>118415</v>
      </c>
      <c r="CG254" s="555">
        <v>1074966</v>
      </c>
      <c r="CJ254" s="555">
        <v>33924163</v>
      </c>
      <c r="CK254" s="555">
        <v>0</v>
      </c>
      <c r="CM254" s="555">
        <v>2140941</v>
      </c>
      <c r="CR254" s="555">
        <v>438209</v>
      </c>
    </row>
    <row r="255" spans="1:99" s="555" customFormat="1" x14ac:dyDescent="0.3">
      <c r="A255" s="558">
        <v>1065</v>
      </c>
      <c r="B255" s="555" t="s">
        <v>1709</v>
      </c>
      <c r="F255" s="555">
        <v>0</v>
      </c>
      <c r="H255" s="555">
        <v>0</v>
      </c>
      <c r="M255" s="555">
        <v>0</v>
      </c>
      <c r="V255" s="555">
        <v>0</v>
      </c>
      <c r="W255" s="555">
        <v>0</v>
      </c>
      <c r="AA255" s="555">
        <v>0</v>
      </c>
      <c r="AE255" s="555">
        <v>0</v>
      </c>
      <c r="AG255" s="555">
        <v>0</v>
      </c>
      <c r="AI255" s="555">
        <v>0</v>
      </c>
      <c r="AK255" s="555">
        <v>0</v>
      </c>
      <c r="AN255" s="555">
        <v>0</v>
      </c>
      <c r="AR255" s="555">
        <v>0</v>
      </c>
      <c r="AY255" s="555">
        <v>0</v>
      </c>
      <c r="BA255" s="555">
        <v>0</v>
      </c>
      <c r="BC255" s="555">
        <v>0</v>
      </c>
      <c r="BH255" s="555">
        <v>0</v>
      </c>
      <c r="BI255" s="555">
        <v>0</v>
      </c>
      <c r="BJ255" s="555">
        <v>0</v>
      </c>
      <c r="BM255" s="555">
        <v>0</v>
      </c>
      <c r="BN255" s="555">
        <v>0</v>
      </c>
      <c r="BS255" s="555">
        <v>0</v>
      </c>
      <c r="CD255" s="555">
        <v>0</v>
      </c>
      <c r="CE255" s="555">
        <v>0</v>
      </c>
      <c r="CG255" s="555">
        <v>0</v>
      </c>
      <c r="CJ255" s="555">
        <v>0</v>
      </c>
      <c r="CK255" s="555">
        <v>0</v>
      </c>
      <c r="CM255" s="555">
        <v>0</v>
      </c>
      <c r="CR255" s="555">
        <v>0</v>
      </c>
    </row>
    <row r="256" spans="1:99" s="562" customFormat="1" x14ac:dyDescent="0.3">
      <c r="A256" s="561">
        <v>1066</v>
      </c>
      <c r="B256" s="562" t="s">
        <v>1710</v>
      </c>
      <c r="D256" s="562" t="s">
        <v>1715</v>
      </c>
      <c r="E256" s="562" t="s">
        <v>2820</v>
      </c>
      <c r="F256" s="562" t="s">
        <v>2029</v>
      </c>
      <c r="G256" s="562" t="s">
        <v>2006</v>
      </c>
      <c r="H256" s="562" t="s">
        <v>1711</v>
      </c>
      <c r="I256" s="562" t="s">
        <v>1713</v>
      </c>
      <c r="J256" s="562" t="s">
        <v>2821</v>
      </c>
      <c r="L256" s="562" t="s">
        <v>1714</v>
      </c>
      <c r="M256" s="562" t="s">
        <v>2822</v>
      </c>
      <c r="O256" s="562" t="s">
        <v>2823</v>
      </c>
      <c r="P256" s="562" t="s">
        <v>1712</v>
      </c>
      <c r="Q256" s="562" t="s">
        <v>2007</v>
      </c>
      <c r="R256" s="562" t="s">
        <v>2824</v>
      </c>
      <c r="S256" s="562" t="s">
        <v>2825</v>
      </c>
      <c r="T256" s="562" t="s">
        <v>2162</v>
      </c>
      <c r="U256" s="562" t="s">
        <v>2094</v>
      </c>
      <c r="V256" s="562" t="s">
        <v>2826</v>
      </c>
      <c r="W256" s="562" t="s">
        <v>2029</v>
      </c>
      <c r="X256" s="562" t="s">
        <v>1715</v>
      </c>
      <c r="Y256" s="562" t="s">
        <v>1713</v>
      </c>
      <c r="Z256" s="562" t="s">
        <v>2092</v>
      </c>
      <c r="AA256" s="562" t="s">
        <v>2827</v>
      </c>
      <c r="AB256" s="562" t="s">
        <v>1712</v>
      </c>
      <c r="AC256" s="562" t="s">
        <v>2166</v>
      </c>
      <c r="AE256" s="562" t="s">
        <v>2008</v>
      </c>
      <c r="AF256" s="562" t="s">
        <v>1712</v>
      </c>
      <c r="AG256" s="562" t="s">
        <v>2164</v>
      </c>
      <c r="AH256" s="562" t="s">
        <v>1715</v>
      </c>
      <c r="AI256" s="562" t="s">
        <v>2057</v>
      </c>
      <c r="AJ256" s="562" t="s">
        <v>2031</v>
      </c>
      <c r="AK256" s="562" t="s">
        <v>2828</v>
      </c>
      <c r="AL256" s="562" t="s">
        <v>2829</v>
      </c>
      <c r="AM256" s="562" t="s">
        <v>2095</v>
      </c>
      <c r="AN256" s="562" t="s">
        <v>2830</v>
      </c>
      <c r="AO256" s="562" t="s">
        <v>2831</v>
      </c>
      <c r="AP256" s="562" t="s">
        <v>1715</v>
      </c>
      <c r="AQ256" s="562" t="s">
        <v>2165</v>
      </c>
      <c r="AR256" s="562" t="s">
        <v>2832</v>
      </c>
      <c r="AS256" s="562" t="s">
        <v>2165</v>
      </c>
      <c r="AT256" s="562" t="s">
        <v>1711</v>
      </c>
      <c r="AU256" s="562" t="s">
        <v>2833</v>
      </c>
      <c r="AV256" s="562" t="s">
        <v>1713</v>
      </c>
      <c r="AW256" s="562" t="s">
        <v>1715</v>
      </c>
      <c r="AX256" s="562" t="s">
        <v>2834</v>
      </c>
      <c r="AY256" s="562" t="s">
        <v>2005</v>
      </c>
      <c r="AZ256" s="562" t="s">
        <v>2835</v>
      </c>
      <c r="BA256" s="562" t="s">
        <v>2163</v>
      </c>
      <c r="BB256" s="562" t="s">
        <v>2836</v>
      </c>
      <c r="BC256" s="562" t="s">
        <v>2837</v>
      </c>
      <c r="BD256" s="562" t="s">
        <v>2838</v>
      </c>
      <c r="BE256" s="562" t="s">
        <v>2839</v>
      </c>
      <c r="BF256" s="562" t="s">
        <v>1712</v>
      </c>
      <c r="BG256" s="562" t="s">
        <v>2169</v>
      </c>
      <c r="BH256" s="562" t="s">
        <v>2828</v>
      </c>
      <c r="BI256" s="562" t="s">
        <v>1712</v>
      </c>
      <c r="BJ256" s="562" t="s">
        <v>2164</v>
      </c>
      <c r="BK256" s="562" t="s">
        <v>2840</v>
      </c>
      <c r="BL256" s="562" t="s">
        <v>2841</v>
      </c>
      <c r="BM256" s="562" t="s">
        <v>1711</v>
      </c>
      <c r="BN256" s="562" t="s">
        <v>2842</v>
      </c>
      <c r="BO256" s="562" t="s">
        <v>1713</v>
      </c>
      <c r="BP256" s="562" t="s">
        <v>1711</v>
      </c>
      <c r="BQ256" s="562" t="s">
        <v>2843</v>
      </c>
      <c r="BR256" s="562" t="s">
        <v>2844</v>
      </c>
      <c r="BS256" s="562" t="s">
        <v>2093</v>
      </c>
      <c r="BT256" s="562" t="s">
        <v>2820</v>
      </c>
      <c r="BU256" s="562" t="s">
        <v>1712</v>
      </c>
      <c r="BV256" s="562" t="s">
        <v>1711</v>
      </c>
      <c r="BW256" s="562" t="s">
        <v>2096</v>
      </c>
      <c r="BZ256" s="562" t="s">
        <v>1711</v>
      </c>
      <c r="CA256" s="562" t="s">
        <v>1712</v>
      </c>
      <c r="CC256" s="562" t="s">
        <v>2845</v>
      </c>
      <c r="CD256" s="562" t="s">
        <v>1712</v>
      </c>
      <c r="CE256" s="562" t="s">
        <v>2030</v>
      </c>
      <c r="CF256" s="562" t="s">
        <v>2846</v>
      </c>
      <c r="CG256" s="562" t="s">
        <v>2847</v>
      </c>
      <c r="CH256" s="562" t="s">
        <v>1711</v>
      </c>
      <c r="CI256" s="562" t="s">
        <v>1715</v>
      </c>
      <c r="CJ256" s="562" t="s">
        <v>1712</v>
      </c>
      <c r="CK256" s="562" t="s">
        <v>1712</v>
      </c>
      <c r="CL256" s="562" t="s">
        <v>2096</v>
      </c>
      <c r="CM256" s="562" t="s">
        <v>2167</v>
      </c>
      <c r="CN256" s="562" t="s">
        <v>2848</v>
      </c>
      <c r="CO256" s="562" t="s">
        <v>2092</v>
      </c>
      <c r="CP256" s="562" t="s">
        <v>2849</v>
      </c>
      <c r="CQ256" s="562" t="s">
        <v>2850</v>
      </c>
      <c r="CR256" s="562" t="s">
        <v>2030</v>
      </c>
      <c r="CS256" s="562" t="s">
        <v>2168</v>
      </c>
    </row>
    <row r="257" spans="1:97" s="562" customFormat="1" x14ac:dyDescent="0.3">
      <c r="A257" s="561">
        <v>9000</v>
      </c>
      <c r="B257" s="562" t="s">
        <v>1030</v>
      </c>
      <c r="C257" s="562" t="s">
        <v>351</v>
      </c>
      <c r="D257" s="562">
        <v>8668283</v>
      </c>
      <c r="E257" s="562">
        <v>94152418.609999999</v>
      </c>
      <c r="F257" s="562">
        <v>97379657.566499993</v>
      </c>
      <c r="G257" s="562">
        <v>7413257.5549999997</v>
      </c>
      <c r="H257" s="562">
        <v>290192701.88599998</v>
      </c>
      <c r="I257" s="562">
        <v>49794849.090000004</v>
      </c>
      <c r="J257" s="562">
        <v>161255378.41</v>
      </c>
      <c r="K257" s="562">
        <v>50425.1</v>
      </c>
      <c r="L257" s="562">
        <v>35093437.030000001</v>
      </c>
      <c r="M257" s="562">
        <v>2270835790.6199999</v>
      </c>
      <c r="N257" s="562">
        <v>50428.01</v>
      </c>
      <c r="O257" s="562">
        <v>15973474.609999999</v>
      </c>
      <c r="P257" s="562">
        <v>60180116.009999998</v>
      </c>
      <c r="Q257" s="562">
        <v>67432201.049999997</v>
      </c>
      <c r="R257" s="562">
        <v>2885884.04</v>
      </c>
      <c r="S257" s="562">
        <v>26352478.73</v>
      </c>
      <c r="T257" s="562">
        <v>41600508.649999999</v>
      </c>
      <c r="U257" s="562">
        <v>88575832.607500002</v>
      </c>
      <c r="V257" s="562">
        <v>218581726.15000001</v>
      </c>
      <c r="W257" s="562">
        <v>666921641.78999996</v>
      </c>
      <c r="X257" s="562">
        <v>125297326.14</v>
      </c>
      <c r="Y257" s="562">
        <v>80079165.010000005</v>
      </c>
      <c r="Z257" s="562">
        <v>156593234.465</v>
      </c>
      <c r="AA257" s="562">
        <v>154142980.16</v>
      </c>
      <c r="AB257" s="562">
        <v>1632289.86</v>
      </c>
      <c r="AC257" s="562">
        <v>805480743.38999999</v>
      </c>
      <c r="AD257" s="562">
        <v>50439.01</v>
      </c>
      <c r="AE257" s="562">
        <v>55805874.710000001</v>
      </c>
      <c r="AF257" s="562">
        <v>26575445.460000001</v>
      </c>
      <c r="AG257" s="562">
        <v>1115833350.3900001</v>
      </c>
      <c r="AH257" s="562">
        <v>29767003.289999999</v>
      </c>
      <c r="AI257" s="562">
        <v>168256501.06</v>
      </c>
      <c r="AJ257" s="562">
        <v>58408118.600000001</v>
      </c>
      <c r="AK257" s="562">
        <v>37760082.899999999</v>
      </c>
      <c r="AL257" s="562">
        <v>244769830.63</v>
      </c>
      <c r="AM257" s="562">
        <v>228986903.84</v>
      </c>
      <c r="AN257" s="562">
        <v>137166409.38999999</v>
      </c>
      <c r="AO257" s="562">
        <v>106313242.37100001</v>
      </c>
      <c r="AP257" s="562">
        <v>5914283.5700000003</v>
      </c>
      <c r="AQ257" s="562">
        <v>28572715.710000001</v>
      </c>
      <c r="AR257" s="562">
        <v>319682580.75999999</v>
      </c>
      <c r="AS257" s="562">
        <v>49178197.289999999</v>
      </c>
      <c r="AT257" s="562">
        <v>7568368.3300000001</v>
      </c>
      <c r="AU257" s="562">
        <v>18601427.879999999</v>
      </c>
      <c r="AV257" s="562">
        <v>17536587.225000001</v>
      </c>
      <c r="AW257" s="562">
        <v>2771093.71</v>
      </c>
      <c r="AX257" s="562">
        <v>14473751.18</v>
      </c>
      <c r="AY257" s="562">
        <v>217947303.41600001</v>
      </c>
      <c r="AZ257" s="562">
        <v>38060166.950000003</v>
      </c>
      <c r="BA257" s="562">
        <v>2228046385.915</v>
      </c>
      <c r="BB257" s="562">
        <v>78589670.120000005</v>
      </c>
      <c r="BC257" s="562">
        <v>221400425.06999999</v>
      </c>
      <c r="BD257" s="562">
        <v>46629288.859999999</v>
      </c>
      <c r="BE257" s="562">
        <v>62577635.390000001</v>
      </c>
      <c r="BF257" s="562">
        <v>65751828.259999998</v>
      </c>
      <c r="BG257" s="562">
        <v>19327471.260000002</v>
      </c>
      <c r="BH257" s="562">
        <v>83619293.760000005</v>
      </c>
      <c r="BI257" s="562">
        <v>182136777.09999999</v>
      </c>
      <c r="BJ257" s="562">
        <v>1211707057.5599999</v>
      </c>
      <c r="BK257" s="562">
        <v>7480956.6200000001</v>
      </c>
      <c r="BL257" s="562">
        <v>3540153.08</v>
      </c>
      <c r="BM257" s="562">
        <v>541728971.85500002</v>
      </c>
      <c r="BN257" s="562">
        <v>712704401.9892</v>
      </c>
      <c r="BO257" s="562">
        <v>264664110.00999999</v>
      </c>
      <c r="BP257" s="562">
        <v>4016910.79</v>
      </c>
      <c r="BQ257" s="562">
        <v>60975614.188000001</v>
      </c>
      <c r="BR257" s="562">
        <v>98785413.060000002</v>
      </c>
      <c r="BS257" s="562">
        <v>364417276.88</v>
      </c>
      <c r="BT257" s="562">
        <v>40129972</v>
      </c>
      <c r="BU257" s="562">
        <v>26170598.120000001</v>
      </c>
      <c r="BV257" s="562">
        <v>114715828.5</v>
      </c>
      <c r="BW257" s="562">
        <v>104394418.33</v>
      </c>
      <c r="BX257" s="562">
        <v>50470.01</v>
      </c>
      <c r="BY257" s="562">
        <v>50471.01</v>
      </c>
      <c r="BZ257" s="562">
        <v>252540283.91</v>
      </c>
      <c r="CA257" s="562">
        <v>10699487.609999999</v>
      </c>
      <c r="CB257" s="562">
        <v>50473.01</v>
      </c>
      <c r="CC257" s="562">
        <v>336812972.94999999</v>
      </c>
      <c r="CD257" s="562">
        <v>4587609539.665</v>
      </c>
      <c r="CE257" s="562">
        <v>3920225163.8850002</v>
      </c>
      <c r="CF257" s="562">
        <v>62621524.420000002</v>
      </c>
      <c r="CG257" s="562">
        <v>224267441.51499999</v>
      </c>
      <c r="CH257" s="562">
        <v>34705578.82</v>
      </c>
      <c r="CI257" s="562">
        <v>128171607.73</v>
      </c>
      <c r="CJ257" s="562">
        <v>13346863317.1024</v>
      </c>
      <c r="CK257" s="562">
        <v>545445684.45500004</v>
      </c>
      <c r="CL257" s="562">
        <v>45237018.710000001</v>
      </c>
      <c r="CM257" s="562">
        <v>123444284.90000001</v>
      </c>
      <c r="CN257" s="562">
        <v>39749018.210000001</v>
      </c>
      <c r="CO257" s="562">
        <v>468257452.9023</v>
      </c>
      <c r="CP257" s="562">
        <v>177925350.16</v>
      </c>
      <c r="CQ257" s="562">
        <v>107428228.04000001</v>
      </c>
      <c r="CR257" s="562">
        <v>81009301.375</v>
      </c>
      <c r="CS257" s="562">
        <v>445188784.77999997</v>
      </c>
    </row>
    <row r="258" spans="1:97" s="564" customFormat="1" x14ac:dyDescent="0.3">
      <c r="A258" s="155">
        <v>9001</v>
      </c>
      <c r="B258" s="564" t="s">
        <v>1031</v>
      </c>
      <c r="C258" s="564" t="s">
        <v>1032</v>
      </c>
      <c r="D258" s="564">
        <v>1070398</v>
      </c>
      <c r="E258" s="564">
        <v>12904925</v>
      </c>
      <c r="F258" s="564">
        <v>4938313</v>
      </c>
      <c r="G258" s="564">
        <v>1045260</v>
      </c>
      <c r="H258" s="564">
        <v>33350928</v>
      </c>
      <c r="I258" s="564">
        <v>2647897</v>
      </c>
      <c r="J258" s="564">
        <v>8016151</v>
      </c>
      <c r="K258" s="564">
        <v>0</v>
      </c>
      <c r="L258" s="564">
        <v>2702877</v>
      </c>
      <c r="M258" s="564">
        <v>108065381</v>
      </c>
      <c r="N258" s="564">
        <v>0</v>
      </c>
      <c r="O258" s="564">
        <v>1753046</v>
      </c>
      <c r="P258" s="564">
        <v>5465106</v>
      </c>
      <c r="Q258" s="564">
        <v>3239260</v>
      </c>
      <c r="R258" s="564">
        <v>339933</v>
      </c>
      <c r="S258" s="564">
        <v>685501</v>
      </c>
      <c r="T258" s="564">
        <v>5089900</v>
      </c>
      <c r="U258" s="564">
        <v>15303033</v>
      </c>
      <c r="V258" s="564">
        <v>35035565</v>
      </c>
      <c r="W258" s="564">
        <v>59328200</v>
      </c>
      <c r="X258" s="564">
        <v>19116373</v>
      </c>
      <c r="Y258" s="564">
        <v>4250784</v>
      </c>
      <c r="Z258" s="564">
        <v>26181479</v>
      </c>
      <c r="AA258" s="564">
        <v>11205755</v>
      </c>
      <c r="AB258" s="564">
        <v>152622</v>
      </c>
      <c r="AC258" s="564">
        <v>23582155</v>
      </c>
      <c r="AD258" s="564">
        <v>0</v>
      </c>
      <c r="AE258" s="564">
        <v>2342680</v>
      </c>
      <c r="AF258" s="564">
        <v>1141827</v>
      </c>
      <c r="AG258" s="564">
        <v>63364987</v>
      </c>
      <c r="AH258" s="564">
        <v>4298310</v>
      </c>
      <c r="AI258" s="564">
        <v>20596128</v>
      </c>
      <c r="AJ258" s="564">
        <v>9811818</v>
      </c>
      <c r="AK258" s="564">
        <v>1697374</v>
      </c>
      <c r="AL258" s="564">
        <v>15003987</v>
      </c>
      <c r="AM258" s="564">
        <v>17654430</v>
      </c>
      <c r="AN258" s="564">
        <v>9629557</v>
      </c>
      <c r="AO258" s="564">
        <v>6583131</v>
      </c>
      <c r="AP258" s="564">
        <v>341770</v>
      </c>
      <c r="AQ258" s="564">
        <v>3656307</v>
      </c>
      <c r="AR258" s="564">
        <v>17119656</v>
      </c>
      <c r="AS258" s="564">
        <v>1660990</v>
      </c>
      <c r="AT258" s="564">
        <v>1773496</v>
      </c>
      <c r="AU258" s="564">
        <v>2881685</v>
      </c>
      <c r="AV258" s="564">
        <v>1938382</v>
      </c>
      <c r="AW258" s="564">
        <v>298313</v>
      </c>
      <c r="AX258" s="564">
        <v>1417115</v>
      </c>
      <c r="AY258" s="564">
        <v>14447127</v>
      </c>
      <c r="AZ258" s="564">
        <v>3225432</v>
      </c>
      <c r="BA258" s="564">
        <v>378774287</v>
      </c>
      <c r="BB258" s="564">
        <v>10801484</v>
      </c>
      <c r="BC258" s="564">
        <v>9148245</v>
      </c>
      <c r="BD258" s="564">
        <v>8691093</v>
      </c>
      <c r="BE258" s="564">
        <v>3426584</v>
      </c>
      <c r="BF258" s="564">
        <v>5707869</v>
      </c>
      <c r="BG258" s="564">
        <v>403495</v>
      </c>
      <c r="BH258" s="564">
        <v>2388790</v>
      </c>
      <c r="BI258" s="564">
        <v>6576894</v>
      </c>
      <c r="BJ258" s="564">
        <v>54604303</v>
      </c>
      <c r="BK258" s="564">
        <v>898539</v>
      </c>
      <c r="BL258" s="564">
        <v>373903</v>
      </c>
      <c r="BM258" s="564">
        <v>88211751</v>
      </c>
      <c r="BN258" s="564">
        <v>42352898</v>
      </c>
      <c r="BO258" s="564">
        <v>23845243</v>
      </c>
      <c r="BP258" s="564">
        <v>473550</v>
      </c>
      <c r="BQ258" s="564">
        <v>7527298</v>
      </c>
      <c r="BR258" s="564">
        <v>3463810</v>
      </c>
      <c r="BS258" s="564">
        <v>37621961</v>
      </c>
      <c r="BT258" s="564">
        <v>7859490</v>
      </c>
      <c r="BU258" s="564">
        <v>4490040</v>
      </c>
      <c r="BV258" s="564">
        <v>6828832</v>
      </c>
      <c r="BW258" s="564">
        <v>13452190</v>
      </c>
      <c r="BX258" s="564">
        <v>0</v>
      </c>
      <c r="BY258" s="564">
        <v>0</v>
      </c>
      <c r="BZ258" s="564">
        <v>18486944</v>
      </c>
      <c r="CA258" s="564">
        <v>934331</v>
      </c>
      <c r="CB258" s="564">
        <v>0</v>
      </c>
      <c r="CC258" s="564">
        <v>21511509</v>
      </c>
      <c r="CD258" s="564">
        <v>803672134</v>
      </c>
      <c r="CE258" s="564">
        <v>177798812</v>
      </c>
      <c r="CF258" s="564">
        <v>5036871</v>
      </c>
      <c r="CG258" s="564">
        <v>11605059</v>
      </c>
      <c r="CH258" s="564">
        <v>1027481</v>
      </c>
      <c r="CI258" s="564">
        <v>13002290</v>
      </c>
      <c r="CJ258" s="564">
        <v>970631786</v>
      </c>
      <c r="CK258" s="564">
        <v>43355057</v>
      </c>
      <c r="CL258" s="564">
        <v>1842354</v>
      </c>
      <c r="CM258" s="564">
        <v>14436083</v>
      </c>
      <c r="CN258" s="564">
        <v>2174291</v>
      </c>
      <c r="CO258" s="564">
        <v>49381050</v>
      </c>
      <c r="CP258" s="564">
        <v>10495401</v>
      </c>
      <c r="CQ258" s="564">
        <v>6502490</v>
      </c>
      <c r="CR258" s="564">
        <v>10232634</v>
      </c>
      <c r="CS258" s="564">
        <v>78196398</v>
      </c>
    </row>
    <row r="259" spans="1:97" s="564" customFormat="1" x14ac:dyDescent="0.3">
      <c r="A259" s="155">
        <v>9002</v>
      </c>
      <c r="B259" s="564" t="s">
        <v>1033</v>
      </c>
      <c r="C259" s="564" t="s">
        <v>1034</v>
      </c>
      <c r="D259" s="564">
        <v>73462</v>
      </c>
      <c r="E259" s="564">
        <v>1577502</v>
      </c>
      <c r="F259" s="564">
        <v>189789</v>
      </c>
      <c r="G259" s="564">
        <v>3867</v>
      </c>
      <c r="H259" s="564">
        <v>869384</v>
      </c>
      <c r="I259" s="564">
        <v>20313</v>
      </c>
      <c r="J259" s="564">
        <v>958638</v>
      </c>
      <c r="K259" s="564">
        <v>0</v>
      </c>
      <c r="L259" s="564">
        <v>62034</v>
      </c>
      <c r="M259" s="564">
        <v>9804512</v>
      </c>
      <c r="N259" s="564">
        <v>0</v>
      </c>
      <c r="O259" s="564">
        <v>151822</v>
      </c>
      <c r="P259" s="564">
        <v>373557</v>
      </c>
      <c r="Q259" s="564">
        <v>388613</v>
      </c>
      <c r="R259" s="564">
        <v>0</v>
      </c>
      <c r="S259" s="564">
        <v>11451</v>
      </c>
      <c r="T259" s="564">
        <v>316343</v>
      </c>
      <c r="U259" s="564">
        <v>216129</v>
      </c>
      <c r="V259" s="564">
        <v>427985</v>
      </c>
      <c r="W259" s="564">
        <v>1273176</v>
      </c>
      <c r="X259" s="564">
        <v>7593321</v>
      </c>
      <c r="Y259" s="564">
        <v>16662</v>
      </c>
      <c r="Z259" s="564">
        <v>306786</v>
      </c>
      <c r="AA259" s="564">
        <v>443221</v>
      </c>
      <c r="AB259" s="564">
        <v>8691</v>
      </c>
      <c r="AC259" s="564">
        <v>537006</v>
      </c>
      <c r="AD259" s="564">
        <v>0</v>
      </c>
      <c r="AE259" s="564">
        <v>162689</v>
      </c>
      <c r="AF259" s="564">
        <v>2016</v>
      </c>
      <c r="AG259" s="564">
        <v>6433919</v>
      </c>
      <c r="AH259" s="564">
        <v>156681</v>
      </c>
      <c r="AI259" s="564">
        <v>249481</v>
      </c>
      <c r="AJ259" s="564">
        <v>895968</v>
      </c>
      <c r="AK259" s="564">
        <v>1901</v>
      </c>
      <c r="AL259" s="564">
        <v>1138574</v>
      </c>
      <c r="AM259" s="564">
        <v>1265750</v>
      </c>
      <c r="AN259" s="564">
        <v>831709</v>
      </c>
      <c r="AO259" s="564">
        <v>139773</v>
      </c>
      <c r="AP259" s="564">
        <v>47837</v>
      </c>
      <c r="AQ259" s="564">
        <v>36006</v>
      </c>
      <c r="AR259" s="564">
        <v>78166</v>
      </c>
      <c r="AS259" s="564">
        <v>186089</v>
      </c>
      <c r="AT259" s="564">
        <v>47295</v>
      </c>
      <c r="AU259" s="564">
        <v>0</v>
      </c>
      <c r="AV259" s="564">
        <v>219702</v>
      </c>
      <c r="AW259" s="564">
        <v>37079</v>
      </c>
      <c r="AX259" s="564">
        <v>17150</v>
      </c>
      <c r="AY259" s="564">
        <v>1101644</v>
      </c>
      <c r="AZ259" s="564">
        <v>12946</v>
      </c>
      <c r="BA259" s="564">
        <v>19347100</v>
      </c>
      <c r="BB259" s="564">
        <v>973762</v>
      </c>
      <c r="BC259" s="564">
        <v>423772</v>
      </c>
      <c r="BD259" s="564">
        <v>0</v>
      </c>
      <c r="BE259" s="564">
        <v>232564</v>
      </c>
      <c r="BF259" s="564">
        <v>188051</v>
      </c>
      <c r="BG259" s="564">
        <v>33007</v>
      </c>
      <c r="BH259" s="564">
        <v>266099</v>
      </c>
      <c r="BI259" s="564">
        <v>656344</v>
      </c>
      <c r="BJ259" s="564">
        <v>2619395</v>
      </c>
      <c r="BK259" s="564">
        <v>79075</v>
      </c>
      <c r="BL259" s="564">
        <v>0</v>
      </c>
      <c r="BM259" s="564">
        <v>3366986</v>
      </c>
      <c r="BN259" s="564">
        <v>2182382</v>
      </c>
      <c r="BO259" s="564">
        <v>1348383</v>
      </c>
      <c r="BP259" s="564">
        <v>40810</v>
      </c>
      <c r="BQ259" s="564">
        <v>760794</v>
      </c>
      <c r="BR259" s="564">
        <v>119723</v>
      </c>
      <c r="BS259" s="564">
        <v>3714112</v>
      </c>
      <c r="BT259" s="564">
        <v>363565</v>
      </c>
      <c r="BU259" s="564">
        <v>339423</v>
      </c>
      <c r="BV259" s="564">
        <v>223442</v>
      </c>
      <c r="BW259" s="564">
        <v>433945</v>
      </c>
      <c r="BX259" s="564">
        <v>0</v>
      </c>
      <c r="BY259" s="564">
        <v>0</v>
      </c>
      <c r="BZ259" s="564">
        <v>3247241</v>
      </c>
      <c r="CA259" s="564">
        <v>8446</v>
      </c>
      <c r="CB259" s="564">
        <v>0</v>
      </c>
      <c r="CC259" s="564">
        <v>1355399</v>
      </c>
      <c r="CD259" s="564">
        <v>57514079</v>
      </c>
      <c r="CE259" s="564">
        <v>18479036</v>
      </c>
      <c r="CF259" s="564">
        <v>52581</v>
      </c>
      <c r="CG259" s="564">
        <v>107032</v>
      </c>
      <c r="CH259" s="564">
        <v>58280</v>
      </c>
      <c r="CI259" s="564">
        <v>228011</v>
      </c>
      <c r="CJ259" s="564">
        <v>84443913</v>
      </c>
      <c r="CK259" s="564">
        <v>3829543</v>
      </c>
      <c r="CL259" s="564">
        <v>204056</v>
      </c>
      <c r="CM259" s="564">
        <v>604657</v>
      </c>
      <c r="CN259" s="564">
        <v>132059</v>
      </c>
      <c r="CO259" s="564">
        <v>1480656</v>
      </c>
      <c r="CP259" s="564">
        <v>676895</v>
      </c>
      <c r="CQ259" s="564">
        <v>503182</v>
      </c>
      <c r="CR259" s="564">
        <v>386903</v>
      </c>
      <c r="CS259" s="564">
        <v>2236679</v>
      </c>
    </row>
    <row r="260" spans="1:97" s="564" customFormat="1" x14ac:dyDescent="0.3">
      <c r="A260" s="155">
        <v>9003</v>
      </c>
      <c r="B260" s="564" t="s">
        <v>1035</v>
      </c>
      <c r="C260" s="564" t="s">
        <v>1036</v>
      </c>
      <c r="D260" s="564">
        <v>73462</v>
      </c>
      <c r="E260" s="564">
        <v>3078649</v>
      </c>
      <c r="F260" s="564">
        <v>3100115</v>
      </c>
      <c r="G260" s="564">
        <v>55790</v>
      </c>
      <c r="H260" s="564">
        <v>4670648</v>
      </c>
      <c r="I260" s="564">
        <v>428260</v>
      </c>
      <c r="J260" s="564">
        <v>3186820</v>
      </c>
      <c r="K260" s="564">
        <v>0</v>
      </c>
      <c r="L260" s="564">
        <v>425625</v>
      </c>
      <c r="M260" s="564">
        <v>26325866</v>
      </c>
      <c r="N260" s="564">
        <v>0</v>
      </c>
      <c r="O260" s="564">
        <v>383066</v>
      </c>
      <c r="P260" s="564">
        <v>373557</v>
      </c>
      <c r="Q260" s="564">
        <v>1091897</v>
      </c>
      <c r="R260" s="564">
        <v>0</v>
      </c>
      <c r="S260" s="564">
        <v>26222</v>
      </c>
      <c r="T260" s="564">
        <v>1488525</v>
      </c>
      <c r="U260" s="564">
        <v>1270642</v>
      </c>
      <c r="V260" s="564">
        <v>10871083</v>
      </c>
      <c r="W260" s="564">
        <v>5401500</v>
      </c>
      <c r="X260" s="564">
        <v>10737445</v>
      </c>
      <c r="Y260" s="564">
        <v>16662</v>
      </c>
      <c r="Z260" s="564">
        <v>3461191</v>
      </c>
      <c r="AA260" s="564">
        <v>4285238</v>
      </c>
      <c r="AB260" s="564">
        <v>8691</v>
      </c>
      <c r="AC260" s="564">
        <v>28881437</v>
      </c>
      <c r="AD260" s="564">
        <v>0</v>
      </c>
      <c r="AE260" s="564">
        <v>446482</v>
      </c>
      <c r="AF260" s="564">
        <v>29327</v>
      </c>
      <c r="AG260" s="564">
        <v>45559883</v>
      </c>
      <c r="AH260" s="564">
        <v>201750</v>
      </c>
      <c r="AI260" s="564">
        <v>2420884</v>
      </c>
      <c r="AJ260" s="564">
        <v>1485384</v>
      </c>
      <c r="AK260" s="564">
        <v>442110</v>
      </c>
      <c r="AL260" s="564">
        <v>1266633</v>
      </c>
      <c r="AM260" s="564">
        <v>5680542</v>
      </c>
      <c r="AN260" s="564">
        <v>2900423</v>
      </c>
      <c r="AO260" s="564">
        <v>1233075</v>
      </c>
      <c r="AP260" s="564">
        <v>57521</v>
      </c>
      <c r="AQ260" s="564">
        <v>56119</v>
      </c>
      <c r="AR260" s="564">
        <v>6052849</v>
      </c>
      <c r="AS260" s="564">
        <v>418603</v>
      </c>
      <c r="AT260" s="564">
        <v>99691</v>
      </c>
      <c r="AU260" s="564">
        <v>143012</v>
      </c>
      <c r="AV260" s="564">
        <v>819547</v>
      </c>
      <c r="AW260" s="564">
        <v>37827</v>
      </c>
      <c r="AX260" s="564">
        <v>449904</v>
      </c>
      <c r="AY260" s="564">
        <v>10806278</v>
      </c>
      <c r="AZ260" s="564">
        <v>660289</v>
      </c>
      <c r="BA260" s="564">
        <v>88422364</v>
      </c>
      <c r="BB260" s="564">
        <v>1045734</v>
      </c>
      <c r="BC260" s="564">
        <v>2904490</v>
      </c>
      <c r="BD260" s="564">
        <v>363630</v>
      </c>
      <c r="BE260" s="564">
        <v>299981</v>
      </c>
      <c r="BF260" s="564">
        <v>391107</v>
      </c>
      <c r="BG260" s="564">
        <v>39212</v>
      </c>
      <c r="BH260" s="564">
        <v>990551</v>
      </c>
      <c r="BI260" s="564">
        <v>2093877</v>
      </c>
      <c r="BJ260" s="564">
        <v>22249294</v>
      </c>
      <c r="BK260" s="564">
        <v>128829</v>
      </c>
      <c r="BL260" s="564">
        <v>0</v>
      </c>
      <c r="BM260" s="564">
        <v>8905642</v>
      </c>
      <c r="BN260" s="564">
        <v>20107116</v>
      </c>
      <c r="BO260" s="564">
        <v>6124276</v>
      </c>
      <c r="BP260" s="564">
        <v>40810</v>
      </c>
      <c r="BQ260" s="564">
        <v>854785</v>
      </c>
      <c r="BR260" s="564">
        <v>1223419</v>
      </c>
      <c r="BS260" s="564">
        <v>25213509</v>
      </c>
      <c r="BT260" s="564">
        <v>566607</v>
      </c>
      <c r="BU260" s="564">
        <v>378231</v>
      </c>
      <c r="BV260" s="564">
        <v>864214</v>
      </c>
      <c r="BW260" s="564">
        <v>3549750</v>
      </c>
      <c r="BX260" s="564">
        <v>0</v>
      </c>
      <c r="BY260" s="564">
        <v>0</v>
      </c>
      <c r="BZ260" s="564">
        <v>11943420</v>
      </c>
      <c r="CA260" s="564">
        <v>8446</v>
      </c>
      <c r="CB260" s="564">
        <v>0</v>
      </c>
      <c r="CC260" s="564">
        <v>12276644</v>
      </c>
      <c r="CD260" s="564">
        <v>403191647</v>
      </c>
      <c r="CE260" s="564">
        <v>108873870</v>
      </c>
      <c r="CF260" s="564">
        <v>445508</v>
      </c>
      <c r="CG260" s="564">
        <v>3226587</v>
      </c>
      <c r="CH260" s="564">
        <v>295106</v>
      </c>
      <c r="CI260" s="564">
        <v>9058510</v>
      </c>
      <c r="CJ260" s="564">
        <v>567153132</v>
      </c>
      <c r="CK260" s="564">
        <v>11366484</v>
      </c>
      <c r="CL260" s="564">
        <v>459496</v>
      </c>
      <c r="CM260" s="564">
        <v>8206924</v>
      </c>
      <c r="CN260" s="564">
        <v>300472</v>
      </c>
      <c r="CO260" s="564">
        <v>11780455</v>
      </c>
      <c r="CP260" s="564">
        <v>2079384</v>
      </c>
      <c r="CQ260" s="564">
        <v>834828</v>
      </c>
      <c r="CR260" s="564">
        <v>4158491</v>
      </c>
      <c r="CS260" s="564">
        <v>15908261</v>
      </c>
    </row>
    <row r="261" spans="1:97" s="562" customFormat="1" x14ac:dyDescent="0.3">
      <c r="A261" s="561">
        <v>9004</v>
      </c>
      <c r="B261" s="562" t="s">
        <v>1037</v>
      </c>
      <c r="C261" s="562" t="s">
        <v>1038</v>
      </c>
      <c r="D261" s="562" t="s">
        <v>351</v>
      </c>
      <c r="E261" s="562" t="s">
        <v>351</v>
      </c>
      <c r="F261" s="562" t="s">
        <v>1039</v>
      </c>
      <c r="G261" s="562" t="s">
        <v>351</v>
      </c>
      <c r="H261" s="562" t="s">
        <v>351</v>
      </c>
      <c r="I261" s="562" t="s">
        <v>1039</v>
      </c>
      <c r="J261" s="562" t="s">
        <v>1039</v>
      </c>
      <c r="K261" s="562" t="s">
        <v>1039</v>
      </c>
      <c r="L261" s="562" t="s">
        <v>1039</v>
      </c>
      <c r="M261" s="562" t="s">
        <v>1039</v>
      </c>
      <c r="N261" s="562" t="s">
        <v>1039</v>
      </c>
      <c r="O261" s="562" t="s">
        <v>351</v>
      </c>
      <c r="P261" s="562" t="s">
        <v>1039</v>
      </c>
      <c r="Q261" s="562" t="s">
        <v>1039</v>
      </c>
      <c r="R261" s="562" t="s">
        <v>351</v>
      </c>
      <c r="S261" s="562" t="s">
        <v>1039</v>
      </c>
      <c r="T261" s="562" t="s">
        <v>351</v>
      </c>
      <c r="U261" s="562" t="s">
        <v>351</v>
      </c>
      <c r="V261" s="562" t="s">
        <v>351</v>
      </c>
      <c r="W261" s="562" t="s">
        <v>1039</v>
      </c>
      <c r="X261" s="562" t="s">
        <v>351</v>
      </c>
      <c r="Y261" s="562" t="s">
        <v>1039</v>
      </c>
      <c r="Z261" s="562" t="s">
        <v>351</v>
      </c>
      <c r="AA261" s="562" t="s">
        <v>1039</v>
      </c>
      <c r="AB261" s="562" t="s">
        <v>351</v>
      </c>
      <c r="AC261" s="562" t="s">
        <v>1039</v>
      </c>
      <c r="AD261" s="562" t="s">
        <v>1039</v>
      </c>
      <c r="AE261" s="562" t="s">
        <v>1039</v>
      </c>
      <c r="AF261" s="562" t="s">
        <v>1039</v>
      </c>
      <c r="AG261" s="562" t="s">
        <v>1039</v>
      </c>
      <c r="AH261" s="562" t="s">
        <v>351</v>
      </c>
      <c r="AI261" s="562" t="s">
        <v>1039</v>
      </c>
      <c r="AJ261" s="562" t="s">
        <v>351</v>
      </c>
      <c r="AK261" s="562" t="s">
        <v>1039</v>
      </c>
      <c r="AL261" s="562" t="s">
        <v>1039</v>
      </c>
      <c r="AM261" s="562" t="s">
        <v>1039</v>
      </c>
      <c r="AN261" s="562" t="s">
        <v>1039</v>
      </c>
      <c r="AO261" s="562" t="s">
        <v>1039</v>
      </c>
      <c r="AP261" s="562" t="s">
        <v>1039</v>
      </c>
      <c r="AQ261" s="562" t="s">
        <v>351</v>
      </c>
      <c r="AR261" s="562" t="s">
        <v>1039</v>
      </c>
      <c r="AS261" s="562" t="s">
        <v>1039</v>
      </c>
      <c r="AT261" s="562" t="s">
        <v>351</v>
      </c>
      <c r="AU261" s="562" t="s">
        <v>351</v>
      </c>
      <c r="AV261" s="562" t="s">
        <v>351</v>
      </c>
      <c r="AW261" s="562" t="s">
        <v>351</v>
      </c>
      <c r="AX261" s="562" t="s">
        <v>1039</v>
      </c>
      <c r="AY261" s="562" t="s">
        <v>1039</v>
      </c>
      <c r="AZ261" s="562" t="s">
        <v>1039</v>
      </c>
      <c r="BA261" s="562" t="s">
        <v>351</v>
      </c>
      <c r="BB261" s="562" t="s">
        <v>351</v>
      </c>
      <c r="BC261" s="562" t="s">
        <v>1039</v>
      </c>
      <c r="BD261" s="562" t="s">
        <v>351</v>
      </c>
      <c r="BE261" s="562" t="s">
        <v>1039</v>
      </c>
      <c r="BF261" s="562" t="s">
        <v>1039</v>
      </c>
      <c r="BG261" s="562" t="s">
        <v>1039</v>
      </c>
      <c r="BH261" s="562" t="s">
        <v>1039</v>
      </c>
      <c r="BI261" s="562" t="s">
        <v>1039</v>
      </c>
      <c r="BJ261" s="562" t="s">
        <v>1039</v>
      </c>
      <c r="BK261" s="562" t="s">
        <v>351</v>
      </c>
      <c r="BL261" s="562" t="s">
        <v>351</v>
      </c>
      <c r="BM261" s="562" t="s">
        <v>351</v>
      </c>
      <c r="BN261" s="562" t="s">
        <v>1039</v>
      </c>
      <c r="BO261" s="562" t="s">
        <v>1039</v>
      </c>
      <c r="BP261" s="562" t="s">
        <v>351</v>
      </c>
      <c r="BQ261" s="562" t="s">
        <v>351</v>
      </c>
      <c r="BR261" s="562" t="s">
        <v>1039</v>
      </c>
      <c r="BS261" s="562" t="s">
        <v>351</v>
      </c>
      <c r="BT261" s="562" t="s">
        <v>351</v>
      </c>
      <c r="BU261" s="562" t="s">
        <v>351</v>
      </c>
      <c r="BV261" s="562" t="s">
        <v>1039</v>
      </c>
      <c r="BW261" s="562" t="s">
        <v>351</v>
      </c>
      <c r="BX261" s="562" t="s">
        <v>1039</v>
      </c>
      <c r="BY261" s="562" t="s">
        <v>1039</v>
      </c>
      <c r="BZ261" s="562" t="s">
        <v>1039</v>
      </c>
      <c r="CA261" s="562" t="s">
        <v>1039</v>
      </c>
      <c r="CB261" s="562" t="s">
        <v>1039</v>
      </c>
      <c r="CC261" s="562" t="s">
        <v>1039</v>
      </c>
      <c r="CD261" s="562" t="s">
        <v>351</v>
      </c>
      <c r="CE261" s="562" t="s">
        <v>1039</v>
      </c>
      <c r="CF261" s="562" t="s">
        <v>351</v>
      </c>
      <c r="CG261" s="562" t="s">
        <v>1039</v>
      </c>
      <c r="CH261" s="562" t="s">
        <v>1039</v>
      </c>
      <c r="CI261" s="562" t="s">
        <v>1039</v>
      </c>
      <c r="CJ261" s="562" t="s">
        <v>1039</v>
      </c>
      <c r="CK261" s="562" t="s">
        <v>1039</v>
      </c>
      <c r="CL261" s="562" t="s">
        <v>1039</v>
      </c>
      <c r="CM261" s="562" t="s">
        <v>351</v>
      </c>
      <c r="CN261" s="562" t="s">
        <v>1039</v>
      </c>
      <c r="CO261" s="562" t="s">
        <v>1039</v>
      </c>
      <c r="CP261" s="562" t="s">
        <v>1039</v>
      </c>
      <c r="CQ261" s="562" t="s">
        <v>1039</v>
      </c>
      <c r="CR261" s="562" t="s">
        <v>351</v>
      </c>
      <c r="CS261" s="562" t="s">
        <v>351</v>
      </c>
    </row>
    <row r="262" spans="1:97" s="180" customFormat="1" x14ac:dyDescent="0.3">
      <c r="A262" s="155">
        <v>9005</v>
      </c>
      <c r="B262" s="572" t="s">
        <v>1040</v>
      </c>
      <c r="C262" s="572" t="s">
        <v>1041</v>
      </c>
      <c r="D262" s="180">
        <v>786883</v>
      </c>
      <c r="E262" s="180">
        <v>4308323</v>
      </c>
      <c r="F262" s="180">
        <v>997849</v>
      </c>
      <c r="G262" s="180">
        <v>700563</v>
      </c>
      <c r="H262" s="180">
        <v>9419646</v>
      </c>
      <c r="I262" s="180">
        <v>1143583</v>
      </c>
      <c r="J262" s="180">
        <v>1214879</v>
      </c>
      <c r="K262" s="180">
        <v>0</v>
      </c>
      <c r="L262" s="180">
        <v>809058</v>
      </c>
      <c r="M262" s="180">
        <v>29654844</v>
      </c>
      <c r="N262" s="180">
        <v>0</v>
      </c>
      <c r="O262" s="180">
        <v>934446</v>
      </c>
      <c r="P262" s="180">
        <v>2889824</v>
      </c>
      <c r="Q262" s="180">
        <v>957071</v>
      </c>
      <c r="R262" s="180">
        <v>270967</v>
      </c>
      <c r="S262" s="180">
        <v>335661</v>
      </c>
      <c r="T262" s="180">
        <v>1244340</v>
      </c>
      <c r="U262" s="180">
        <v>6434740</v>
      </c>
      <c r="V262" s="180">
        <v>11106033</v>
      </c>
      <c r="W262" s="180">
        <v>5299664</v>
      </c>
      <c r="X262" s="180">
        <v>2978443</v>
      </c>
      <c r="Y262" s="180">
        <v>3527059</v>
      </c>
      <c r="Z262" s="180">
        <v>6604427</v>
      </c>
      <c r="AA262" s="180">
        <v>2026763</v>
      </c>
      <c r="AB262" s="180">
        <v>104784</v>
      </c>
      <c r="AC262" s="180">
        <v>3014817</v>
      </c>
      <c r="AD262" s="180">
        <v>0</v>
      </c>
      <c r="AE262" s="180">
        <v>879312</v>
      </c>
      <c r="AF262" s="180">
        <v>763654</v>
      </c>
      <c r="AG262" s="180">
        <v>14484416</v>
      </c>
      <c r="AH262" s="180">
        <v>1835024</v>
      </c>
      <c r="AI262" s="180">
        <v>3567249</v>
      </c>
      <c r="AJ262" s="180">
        <v>1646267</v>
      </c>
      <c r="AK262" s="180">
        <v>732748</v>
      </c>
      <c r="AL262" s="180">
        <v>7950804</v>
      </c>
      <c r="AM262" s="180">
        <v>4279220</v>
      </c>
      <c r="AN262" s="180">
        <v>1181551</v>
      </c>
      <c r="AO262" s="180">
        <v>1400766</v>
      </c>
      <c r="AP262" s="180">
        <v>211315</v>
      </c>
      <c r="AQ262" s="180">
        <v>3393363</v>
      </c>
      <c r="AR262" s="180">
        <v>6038428</v>
      </c>
      <c r="AS262" s="180">
        <v>813122</v>
      </c>
      <c r="AT262" s="180">
        <v>375120</v>
      </c>
      <c r="AU262" s="180">
        <v>1870853</v>
      </c>
      <c r="AV262" s="180">
        <v>509638</v>
      </c>
      <c r="AW262" s="180">
        <v>75883</v>
      </c>
      <c r="AX262" s="180">
        <v>216797</v>
      </c>
      <c r="AY262" s="180">
        <v>2998254</v>
      </c>
      <c r="AZ262" s="180">
        <v>1239203</v>
      </c>
      <c r="BA262" s="180">
        <v>20268576</v>
      </c>
      <c r="BB262" s="180">
        <v>4773511</v>
      </c>
      <c r="BC262" s="180">
        <v>2036066</v>
      </c>
      <c r="BD262" s="180">
        <v>3138598</v>
      </c>
      <c r="BE262" s="180">
        <v>1656393</v>
      </c>
      <c r="BF262" s="180">
        <v>1922215</v>
      </c>
      <c r="BG262" s="180">
        <v>272620</v>
      </c>
      <c r="BH262" s="180">
        <v>930338</v>
      </c>
      <c r="BI262" s="180">
        <v>2694810</v>
      </c>
      <c r="BJ262" s="180">
        <v>6941018</v>
      </c>
      <c r="BK262" s="180">
        <v>498462</v>
      </c>
      <c r="BL262" s="180">
        <v>314570</v>
      </c>
      <c r="BM262" s="180">
        <v>16429359</v>
      </c>
      <c r="BN262" s="180">
        <v>9546550</v>
      </c>
      <c r="BO262" s="180">
        <v>5948393</v>
      </c>
      <c r="BP262" s="180">
        <v>253249</v>
      </c>
      <c r="BQ262" s="180">
        <v>4555804</v>
      </c>
      <c r="BR262" s="180">
        <v>1040136</v>
      </c>
      <c r="BS262" s="180">
        <v>20790136</v>
      </c>
      <c r="BT262" s="180">
        <v>2072854</v>
      </c>
      <c r="BU262" s="180">
        <v>1671447</v>
      </c>
      <c r="BV262" s="180">
        <v>2313086</v>
      </c>
      <c r="BW262" s="180">
        <v>4431423</v>
      </c>
      <c r="BX262" s="180">
        <v>0</v>
      </c>
      <c r="BY262" s="180">
        <v>0</v>
      </c>
      <c r="BZ262" s="180">
        <v>1814097</v>
      </c>
      <c r="CA262" s="180">
        <v>726896</v>
      </c>
      <c r="CB262" s="180">
        <v>0</v>
      </c>
      <c r="CC262" s="180">
        <v>3653024</v>
      </c>
      <c r="CD262" s="180">
        <v>75100429</v>
      </c>
      <c r="CE262" s="180">
        <v>23009811</v>
      </c>
      <c r="CF262" s="180">
        <v>1042930</v>
      </c>
      <c r="CG262" s="180">
        <v>1999186</v>
      </c>
      <c r="CH262" s="180">
        <v>216928</v>
      </c>
      <c r="CI262" s="180">
        <v>1491735</v>
      </c>
      <c r="CJ262" s="180">
        <v>110145780</v>
      </c>
      <c r="CK262" s="180">
        <v>11760450</v>
      </c>
      <c r="CL262" s="180">
        <v>970465</v>
      </c>
      <c r="CM262" s="180">
        <v>4044776</v>
      </c>
      <c r="CN262" s="180">
        <v>885552</v>
      </c>
      <c r="CO262" s="180">
        <v>19373105</v>
      </c>
      <c r="CP262" s="180">
        <v>3382422</v>
      </c>
      <c r="CQ262" s="180">
        <v>1624377</v>
      </c>
      <c r="CR262" s="180">
        <v>3545553</v>
      </c>
      <c r="CS262" s="180">
        <v>16602405</v>
      </c>
    </row>
    <row r="263" spans="1:97" s="180" customFormat="1" x14ac:dyDescent="0.3">
      <c r="A263" s="155">
        <v>9006</v>
      </c>
      <c r="B263" s="572" t="s">
        <v>1042</v>
      </c>
      <c r="C263" s="572" t="s">
        <v>1043</v>
      </c>
      <c r="D263" s="180">
        <v>175998</v>
      </c>
      <c r="E263" s="180">
        <v>3573009</v>
      </c>
      <c r="F263" s="180">
        <v>3497837</v>
      </c>
      <c r="G263" s="180">
        <v>127109</v>
      </c>
      <c r="H263" s="180">
        <v>9850185</v>
      </c>
      <c r="I263" s="180">
        <v>1272367</v>
      </c>
      <c r="J263" s="180">
        <v>3621655</v>
      </c>
      <c r="K263" s="180">
        <v>0</v>
      </c>
      <c r="L263" s="180">
        <v>875743</v>
      </c>
      <c r="M263" s="180">
        <v>37461382</v>
      </c>
      <c r="N263" s="180">
        <v>0</v>
      </c>
      <c r="O263" s="180">
        <v>245322</v>
      </c>
      <c r="P263" s="180">
        <v>529869</v>
      </c>
      <c r="Q263" s="180">
        <v>1638262</v>
      </c>
      <c r="R263" s="180">
        <v>84549</v>
      </c>
      <c r="S263" s="180">
        <v>271288</v>
      </c>
      <c r="T263" s="180">
        <v>2229033</v>
      </c>
      <c r="U263" s="180">
        <v>1957164</v>
      </c>
      <c r="V263" s="180">
        <v>8344971</v>
      </c>
      <c r="W263" s="180">
        <v>13523614</v>
      </c>
      <c r="X263" s="180">
        <v>4376474</v>
      </c>
      <c r="Y263" s="180">
        <v>410510</v>
      </c>
      <c r="Z263" s="180">
        <v>4253253</v>
      </c>
      <c r="AA263" s="180">
        <v>3215957</v>
      </c>
      <c r="AB263" s="180">
        <v>40359</v>
      </c>
      <c r="AC263" s="180">
        <v>11265866</v>
      </c>
      <c r="AD263" s="180">
        <v>0</v>
      </c>
      <c r="AE263" s="180">
        <v>966079</v>
      </c>
      <c r="AF263" s="180">
        <v>324036</v>
      </c>
      <c r="AG263" s="180">
        <v>25144532</v>
      </c>
      <c r="AH263" s="180">
        <v>548222</v>
      </c>
      <c r="AI263" s="180">
        <v>3503076</v>
      </c>
      <c r="AJ263" s="180">
        <v>2934891</v>
      </c>
      <c r="AK263" s="180">
        <v>149556</v>
      </c>
      <c r="AL263" s="180">
        <v>3269189</v>
      </c>
      <c r="AM263" s="180">
        <v>5505371</v>
      </c>
      <c r="AN263" s="180">
        <v>3860465</v>
      </c>
      <c r="AO263" s="180">
        <v>2014193</v>
      </c>
      <c r="AP263" s="180">
        <v>215696</v>
      </c>
      <c r="AQ263" s="180">
        <v>346174</v>
      </c>
      <c r="AR263" s="180">
        <v>4692306</v>
      </c>
      <c r="AS263" s="180">
        <v>761215</v>
      </c>
      <c r="AT263" s="180">
        <v>112972</v>
      </c>
      <c r="AU263" s="180">
        <v>167036</v>
      </c>
      <c r="AV263" s="180">
        <v>1109220</v>
      </c>
      <c r="AW263" s="180">
        <v>101855</v>
      </c>
      <c r="AX263" s="180">
        <v>311730</v>
      </c>
      <c r="AY263" s="180">
        <v>5076516</v>
      </c>
      <c r="AZ263" s="180">
        <v>331182</v>
      </c>
      <c r="BA263" s="180">
        <v>57856530</v>
      </c>
      <c r="BB263" s="180">
        <v>2003820</v>
      </c>
      <c r="BC263" s="180">
        <v>4857561</v>
      </c>
      <c r="BD263" s="180">
        <v>1237817</v>
      </c>
      <c r="BE263" s="180">
        <v>1249180</v>
      </c>
      <c r="BF263" s="180">
        <v>1095722</v>
      </c>
      <c r="BG263" s="180">
        <v>204079</v>
      </c>
      <c r="BH263" s="180">
        <v>1172470</v>
      </c>
      <c r="BI263" s="180">
        <v>3022940</v>
      </c>
      <c r="BJ263" s="180">
        <v>15046955</v>
      </c>
      <c r="BK263" s="180">
        <v>283631</v>
      </c>
      <c r="BL263" s="180">
        <v>76624</v>
      </c>
      <c r="BM263" s="180">
        <v>11879966</v>
      </c>
      <c r="BN263" s="180">
        <v>14812071</v>
      </c>
      <c r="BO263" s="180">
        <v>6208085</v>
      </c>
      <c r="BP263" s="180">
        <v>100700</v>
      </c>
      <c r="BQ263" s="180">
        <v>2149301</v>
      </c>
      <c r="BR263" s="180">
        <v>1893431</v>
      </c>
      <c r="BS263" s="180">
        <v>2918673</v>
      </c>
      <c r="BT263" s="180">
        <v>750031</v>
      </c>
      <c r="BU263" s="180">
        <v>631448</v>
      </c>
      <c r="BV263" s="180">
        <v>2833612</v>
      </c>
      <c r="BW263" s="180">
        <v>4278236</v>
      </c>
      <c r="BX263" s="180">
        <v>0</v>
      </c>
      <c r="BY263" s="180">
        <v>0</v>
      </c>
      <c r="BZ263" s="180">
        <v>5629235</v>
      </c>
      <c r="CA263" s="180">
        <v>180540</v>
      </c>
      <c r="CB263" s="180">
        <v>0</v>
      </c>
      <c r="CC263" s="180">
        <v>6812785</v>
      </c>
      <c r="CD263" s="180">
        <v>137237670</v>
      </c>
      <c r="CE263" s="180">
        <v>57060285</v>
      </c>
      <c r="CF263" s="180">
        <v>2053582</v>
      </c>
      <c r="CG263" s="180">
        <v>2826537</v>
      </c>
      <c r="CH263" s="180">
        <v>744033</v>
      </c>
      <c r="CI263" s="180">
        <v>1944157</v>
      </c>
      <c r="CJ263" s="180">
        <v>238698404</v>
      </c>
      <c r="CK263" s="180">
        <v>9115861</v>
      </c>
      <c r="CL263" s="180">
        <v>510070</v>
      </c>
      <c r="CM263" s="180">
        <v>3844035</v>
      </c>
      <c r="CN263" s="180">
        <v>442849</v>
      </c>
      <c r="CO263" s="180">
        <v>13987787</v>
      </c>
      <c r="CP263" s="180">
        <v>2913235</v>
      </c>
      <c r="CQ263" s="180">
        <v>1122429</v>
      </c>
      <c r="CR263" s="180">
        <v>2698428</v>
      </c>
      <c r="CS263" s="180">
        <v>12737389</v>
      </c>
    </row>
    <row r="264" spans="1:97" s="180" customFormat="1" x14ac:dyDescent="0.3">
      <c r="A264" s="155">
        <v>9007</v>
      </c>
      <c r="B264" s="572" t="s">
        <v>1610</v>
      </c>
      <c r="C264" s="572" t="s">
        <v>1044</v>
      </c>
      <c r="D264" s="180">
        <v>4.4710000000000001</v>
      </c>
      <c r="E264" s="180">
        <v>1.2058</v>
      </c>
      <c r="F264" s="180">
        <v>0.2853</v>
      </c>
      <c r="G264" s="180">
        <v>5.5114999999999998</v>
      </c>
      <c r="H264" s="180">
        <v>0.95630000000000004</v>
      </c>
      <c r="I264" s="180">
        <v>0.89880000000000004</v>
      </c>
      <c r="J264" s="180">
        <v>0.33539999999999998</v>
      </c>
      <c r="K264" s="180">
        <v>0</v>
      </c>
      <c r="L264" s="180">
        <v>0.92390000000000005</v>
      </c>
      <c r="M264" s="180">
        <v>0.79159999999999997</v>
      </c>
      <c r="N264" s="180">
        <v>0</v>
      </c>
      <c r="O264" s="180">
        <v>3.8090999999999999</v>
      </c>
      <c r="P264" s="180">
        <v>5.4538000000000002</v>
      </c>
      <c r="Q264" s="180">
        <v>0.58420000000000005</v>
      </c>
      <c r="R264" s="180">
        <v>3.2048999999999999</v>
      </c>
      <c r="S264" s="180">
        <v>1.2373000000000001</v>
      </c>
      <c r="T264" s="180">
        <v>0.55820000000000003</v>
      </c>
      <c r="U264" s="180">
        <v>3.2877999999999998</v>
      </c>
      <c r="V264" s="180">
        <v>1.3309</v>
      </c>
      <c r="W264" s="180">
        <v>0.39190000000000003</v>
      </c>
      <c r="X264" s="180">
        <v>0.68059999999999998</v>
      </c>
      <c r="Y264" s="180">
        <v>8.5919000000000008</v>
      </c>
      <c r="Z264" s="180">
        <v>1.5528</v>
      </c>
      <c r="AA264" s="180">
        <v>0.63019999999999998</v>
      </c>
      <c r="AB264" s="180">
        <v>2.5962999999999998</v>
      </c>
      <c r="AC264" s="180">
        <v>0.2676</v>
      </c>
      <c r="AD264" s="180">
        <v>0</v>
      </c>
      <c r="AE264" s="180">
        <v>0.91020000000000001</v>
      </c>
      <c r="AF264" s="180">
        <v>2.3567</v>
      </c>
      <c r="AG264" s="180">
        <v>0.57599999999999996</v>
      </c>
      <c r="AH264" s="180">
        <v>3.3472</v>
      </c>
      <c r="AI264" s="180">
        <v>1.0183</v>
      </c>
      <c r="AJ264" s="180">
        <v>0.56089999999999995</v>
      </c>
      <c r="AK264" s="180">
        <v>4.8994999999999997</v>
      </c>
      <c r="AL264" s="180">
        <v>2.4319999999999999</v>
      </c>
      <c r="AM264" s="180">
        <v>0.77729999999999999</v>
      </c>
      <c r="AN264" s="180">
        <v>0.30609999999999998</v>
      </c>
      <c r="AO264" s="180">
        <v>0.69540000000000002</v>
      </c>
      <c r="AP264" s="180">
        <v>0.97970000000000002</v>
      </c>
      <c r="AQ264" s="180">
        <v>9.8025000000000002</v>
      </c>
      <c r="AR264" s="180">
        <v>1.2868999999999999</v>
      </c>
      <c r="AS264" s="180">
        <v>1.0682</v>
      </c>
      <c r="AT264" s="180">
        <v>3.3205</v>
      </c>
      <c r="AU264" s="180">
        <v>11.2003</v>
      </c>
      <c r="AV264" s="180">
        <v>0.45950000000000002</v>
      </c>
      <c r="AW264" s="180">
        <v>0.745</v>
      </c>
      <c r="AX264" s="180">
        <v>0.69550000000000001</v>
      </c>
      <c r="AY264" s="180">
        <v>0.59060000000000001</v>
      </c>
      <c r="AZ264" s="180">
        <v>3.7418</v>
      </c>
      <c r="BA264" s="180">
        <v>0.3503</v>
      </c>
      <c r="BB264" s="180">
        <v>2.3822000000000001</v>
      </c>
      <c r="BC264" s="180">
        <v>0.41920000000000002</v>
      </c>
      <c r="BD264" s="180">
        <v>2.5356000000000001</v>
      </c>
      <c r="BE264" s="180">
        <v>1.3260000000000001</v>
      </c>
      <c r="BF264" s="180">
        <v>1.7543</v>
      </c>
      <c r="BG264" s="180">
        <v>1.3359000000000001</v>
      </c>
      <c r="BH264" s="180">
        <v>0.79349999999999998</v>
      </c>
      <c r="BI264" s="180">
        <v>0.89149999999999996</v>
      </c>
      <c r="BJ264" s="180">
        <v>0.46129999999999999</v>
      </c>
      <c r="BK264" s="180">
        <v>1.7574000000000001</v>
      </c>
      <c r="BL264" s="180">
        <v>4.1054000000000004</v>
      </c>
      <c r="BM264" s="180">
        <v>1.3829</v>
      </c>
      <c r="BN264" s="180">
        <v>0.64449999999999996</v>
      </c>
      <c r="BO264" s="180">
        <v>0.95820000000000005</v>
      </c>
      <c r="BP264" s="180">
        <v>2.5148999999999999</v>
      </c>
      <c r="BQ264" s="180">
        <v>2.1196999999999999</v>
      </c>
      <c r="BR264" s="180">
        <v>0.54930000000000001</v>
      </c>
      <c r="BS264" s="180">
        <v>7.1231</v>
      </c>
      <c r="BT264" s="180">
        <v>2.7637</v>
      </c>
      <c r="BU264" s="180">
        <v>2.6469999999999998</v>
      </c>
      <c r="BV264" s="180">
        <v>0.81630000000000003</v>
      </c>
      <c r="BW264" s="180">
        <v>1.0358000000000001</v>
      </c>
      <c r="BX264" s="180">
        <v>0</v>
      </c>
      <c r="BY264" s="180">
        <v>0</v>
      </c>
      <c r="BZ264" s="180">
        <v>0.32229999999999998</v>
      </c>
      <c r="CA264" s="180">
        <v>4.0262000000000002</v>
      </c>
      <c r="CB264" s="180">
        <v>0</v>
      </c>
      <c r="CC264" s="180">
        <v>0.53620000000000001</v>
      </c>
      <c r="CD264" s="180">
        <v>0.54720000000000002</v>
      </c>
      <c r="CE264" s="180">
        <v>0.40329999999999999</v>
      </c>
      <c r="CF264" s="180">
        <v>0.50790000000000002</v>
      </c>
      <c r="CG264" s="180">
        <v>0.70730000000000004</v>
      </c>
      <c r="CH264" s="180">
        <v>0.29160000000000003</v>
      </c>
      <c r="CI264" s="180">
        <v>0.76729999999999998</v>
      </c>
      <c r="CJ264" s="180">
        <v>0.46139999999999998</v>
      </c>
      <c r="CK264" s="180">
        <v>1.2901</v>
      </c>
      <c r="CL264" s="180">
        <v>1.9026000000000001</v>
      </c>
      <c r="CM264" s="180">
        <v>1.0522</v>
      </c>
      <c r="CN264" s="180">
        <v>1.9997</v>
      </c>
      <c r="CO264" s="180">
        <v>1.385</v>
      </c>
      <c r="CP264" s="180">
        <v>1.1611</v>
      </c>
      <c r="CQ264" s="180">
        <v>1.4472</v>
      </c>
      <c r="CR264" s="180">
        <v>1.3139000000000001</v>
      </c>
      <c r="CS264" s="180">
        <v>1.3033999999999999</v>
      </c>
    </row>
    <row r="265" spans="1:97" s="180" customFormat="1" x14ac:dyDescent="0.3">
      <c r="A265" s="155">
        <v>9008</v>
      </c>
      <c r="B265" s="572" t="s">
        <v>1045</v>
      </c>
      <c r="C265" s="180" t="s">
        <v>351</v>
      </c>
      <c r="D265" s="180">
        <v>0</v>
      </c>
      <c r="E265" s="180">
        <v>0</v>
      </c>
      <c r="F265" s="180">
        <v>0</v>
      </c>
      <c r="G265" s="180">
        <v>0</v>
      </c>
      <c r="H265" s="180">
        <v>0</v>
      </c>
      <c r="I265" s="180">
        <v>0</v>
      </c>
      <c r="J265" s="180">
        <v>0</v>
      </c>
      <c r="K265" s="180">
        <v>0</v>
      </c>
      <c r="L265" s="180">
        <v>0</v>
      </c>
      <c r="M265" s="180">
        <v>0</v>
      </c>
      <c r="N265" s="180">
        <v>0</v>
      </c>
      <c r="O265" s="180">
        <v>0</v>
      </c>
      <c r="P265" s="180">
        <v>0</v>
      </c>
      <c r="Q265" s="180">
        <v>0</v>
      </c>
      <c r="R265" s="180">
        <v>0</v>
      </c>
      <c r="S265" s="180">
        <v>0</v>
      </c>
      <c r="T265" s="180">
        <v>0</v>
      </c>
      <c r="U265" s="180">
        <v>0</v>
      </c>
      <c r="V265" s="180">
        <v>0</v>
      </c>
      <c r="W265" s="180">
        <v>0</v>
      </c>
      <c r="X265" s="180">
        <v>0</v>
      </c>
      <c r="Y265" s="180">
        <v>0</v>
      </c>
      <c r="Z265" s="180">
        <v>0</v>
      </c>
      <c r="AA265" s="180">
        <v>0</v>
      </c>
      <c r="AB265" s="180">
        <v>0</v>
      </c>
      <c r="AC265" s="180">
        <v>0</v>
      </c>
      <c r="AD265" s="180">
        <v>0</v>
      </c>
      <c r="AE265" s="180">
        <v>0</v>
      </c>
      <c r="AF265" s="180">
        <v>0</v>
      </c>
      <c r="AG265" s="180">
        <v>0</v>
      </c>
      <c r="AH265" s="180">
        <v>0</v>
      </c>
      <c r="AI265" s="180">
        <v>0</v>
      </c>
      <c r="AJ265" s="180">
        <v>0</v>
      </c>
      <c r="AK265" s="180">
        <v>0</v>
      </c>
      <c r="AL265" s="180">
        <v>0</v>
      </c>
      <c r="AM265" s="180">
        <v>0</v>
      </c>
      <c r="AN265" s="180">
        <v>0</v>
      </c>
      <c r="AO265" s="180">
        <v>0</v>
      </c>
      <c r="AP265" s="180">
        <v>0</v>
      </c>
      <c r="AQ265" s="180">
        <v>0</v>
      </c>
      <c r="AR265" s="180">
        <v>0</v>
      </c>
      <c r="AS265" s="180">
        <v>0</v>
      </c>
      <c r="AT265" s="180">
        <v>0</v>
      </c>
      <c r="AU265" s="180">
        <v>0</v>
      </c>
      <c r="AV265" s="180">
        <v>0</v>
      </c>
      <c r="AW265" s="180">
        <v>0</v>
      </c>
      <c r="AX265" s="180">
        <v>0</v>
      </c>
      <c r="AY265" s="180">
        <v>0</v>
      </c>
      <c r="AZ265" s="180">
        <v>0</v>
      </c>
      <c r="BA265" s="180">
        <v>0</v>
      </c>
      <c r="BB265" s="180">
        <v>0</v>
      </c>
      <c r="BC265" s="180">
        <v>0</v>
      </c>
      <c r="BD265" s="180">
        <v>0</v>
      </c>
      <c r="BE265" s="180">
        <v>0</v>
      </c>
      <c r="BF265" s="180">
        <v>0</v>
      </c>
      <c r="BG265" s="180">
        <v>0</v>
      </c>
      <c r="BH265" s="180">
        <v>0</v>
      </c>
      <c r="BI265" s="180">
        <v>0</v>
      </c>
      <c r="BJ265" s="180">
        <v>0</v>
      </c>
      <c r="BK265" s="180">
        <v>0</v>
      </c>
      <c r="BL265" s="180">
        <v>0</v>
      </c>
      <c r="BM265" s="180">
        <v>0</v>
      </c>
      <c r="BN265" s="180">
        <v>0</v>
      </c>
      <c r="BO265" s="180">
        <v>0</v>
      </c>
      <c r="BP265" s="180">
        <v>0</v>
      </c>
      <c r="BQ265" s="180">
        <v>0</v>
      </c>
      <c r="BR265" s="180">
        <v>0</v>
      </c>
      <c r="BS265" s="180">
        <v>0</v>
      </c>
      <c r="BT265" s="180">
        <v>0</v>
      </c>
      <c r="BU265" s="180">
        <v>0</v>
      </c>
      <c r="BV265" s="180">
        <v>0</v>
      </c>
      <c r="BW265" s="180">
        <v>0</v>
      </c>
      <c r="BX265" s="180">
        <v>0</v>
      </c>
      <c r="BY265" s="180">
        <v>0</v>
      </c>
      <c r="BZ265" s="180">
        <v>0</v>
      </c>
      <c r="CA265" s="180">
        <v>0</v>
      </c>
      <c r="CB265" s="180">
        <v>0</v>
      </c>
      <c r="CC265" s="180">
        <v>0</v>
      </c>
      <c r="CD265" s="180">
        <v>0</v>
      </c>
      <c r="CE265" s="180">
        <v>0</v>
      </c>
      <c r="CF265" s="180">
        <v>0</v>
      </c>
      <c r="CG265" s="180">
        <v>0</v>
      </c>
      <c r="CH265" s="180">
        <v>0</v>
      </c>
      <c r="CI265" s="180">
        <v>0</v>
      </c>
      <c r="CJ265" s="180">
        <v>0</v>
      </c>
      <c r="CK265" s="180">
        <v>0</v>
      </c>
      <c r="CL265" s="180">
        <v>0</v>
      </c>
      <c r="CM265" s="180">
        <v>0</v>
      </c>
      <c r="CN265" s="180">
        <v>0</v>
      </c>
      <c r="CO265" s="180">
        <v>0</v>
      </c>
      <c r="CP265" s="180">
        <v>0</v>
      </c>
      <c r="CQ265" s="180">
        <v>0</v>
      </c>
      <c r="CR265" s="180">
        <v>0</v>
      </c>
      <c r="CS265" s="180">
        <v>0</v>
      </c>
    </row>
    <row r="266" spans="1:97" s="180" customFormat="1" x14ac:dyDescent="0.3">
      <c r="A266" s="155">
        <v>9010</v>
      </c>
      <c r="B266" s="572" t="s">
        <v>1046</v>
      </c>
      <c r="C266" s="572" t="s">
        <v>1047</v>
      </c>
      <c r="D266" s="180">
        <v>0</v>
      </c>
      <c r="E266" s="180">
        <v>0</v>
      </c>
      <c r="F266" s="180">
        <v>1.21</v>
      </c>
      <c r="G266" s="180">
        <v>0</v>
      </c>
      <c r="H266" s="180">
        <v>0</v>
      </c>
      <c r="I266" s="180">
        <v>21.29</v>
      </c>
      <c r="J266" s="180">
        <v>3.3</v>
      </c>
      <c r="K266" s="180">
        <v>0</v>
      </c>
      <c r="L266" s="180">
        <v>2.56</v>
      </c>
      <c r="M266" s="180">
        <v>6.02</v>
      </c>
      <c r="N266" s="180">
        <v>0</v>
      </c>
      <c r="O266" s="180">
        <v>0</v>
      </c>
      <c r="P266" s="180">
        <v>23.83</v>
      </c>
      <c r="Q266" s="180">
        <v>2.52</v>
      </c>
      <c r="R266" s="180">
        <v>0</v>
      </c>
      <c r="S266" s="180">
        <v>2.85</v>
      </c>
      <c r="T266" s="180">
        <v>0</v>
      </c>
      <c r="U266" s="180">
        <v>0</v>
      </c>
      <c r="V266" s="180">
        <v>0</v>
      </c>
      <c r="W266" s="180">
        <v>7.35</v>
      </c>
      <c r="X266" s="180">
        <v>0</v>
      </c>
      <c r="Y266" s="180">
        <v>21.51</v>
      </c>
      <c r="Z266" s="180">
        <v>0</v>
      </c>
      <c r="AA266" s="180">
        <v>7.62</v>
      </c>
      <c r="AB266" s="180">
        <v>0</v>
      </c>
      <c r="AC266" s="180">
        <v>19.89</v>
      </c>
      <c r="AD266" s="180">
        <v>0</v>
      </c>
      <c r="AE266" s="180">
        <v>1.93</v>
      </c>
      <c r="AF266" s="180">
        <v>10.98</v>
      </c>
      <c r="AG266" s="180">
        <v>3.8</v>
      </c>
      <c r="AH266" s="180">
        <v>0</v>
      </c>
      <c r="AI266" s="180">
        <v>5.86</v>
      </c>
      <c r="AJ266" s="180">
        <v>0</v>
      </c>
      <c r="AK266" s="180">
        <v>4.3</v>
      </c>
      <c r="AL266" s="180">
        <v>1.24</v>
      </c>
      <c r="AM266" s="180">
        <v>4.09</v>
      </c>
      <c r="AN266" s="180">
        <v>2.27</v>
      </c>
      <c r="AO266" s="180">
        <v>1.37</v>
      </c>
      <c r="AP266" s="180">
        <v>45.1</v>
      </c>
      <c r="AQ266" s="180">
        <v>0</v>
      </c>
      <c r="AR266" s="180">
        <v>9.4600000000000009</v>
      </c>
      <c r="AS266" s="180">
        <v>1.49</v>
      </c>
      <c r="AT266" s="180">
        <v>0</v>
      </c>
      <c r="AU266" s="180">
        <v>0</v>
      </c>
      <c r="AV266" s="180">
        <v>0</v>
      </c>
      <c r="AW266" s="180">
        <v>0</v>
      </c>
      <c r="AX266" s="180">
        <v>7.23</v>
      </c>
      <c r="AY266" s="180">
        <v>32.35</v>
      </c>
      <c r="AZ266" s="180">
        <v>17.78</v>
      </c>
      <c r="BA266" s="180">
        <v>0</v>
      </c>
      <c r="BB266" s="180">
        <v>0</v>
      </c>
      <c r="BC266" s="180">
        <v>8.06</v>
      </c>
      <c r="BD266" s="180">
        <v>0</v>
      </c>
      <c r="BE266" s="180">
        <v>9.86</v>
      </c>
      <c r="BF266" s="180">
        <v>8.15</v>
      </c>
      <c r="BG266" s="180">
        <v>0</v>
      </c>
      <c r="BH266" s="180">
        <v>2.97</v>
      </c>
      <c r="BI266" s="180">
        <v>5.79</v>
      </c>
      <c r="BJ266" s="180">
        <v>14.77</v>
      </c>
      <c r="BK266" s="180">
        <v>0</v>
      </c>
      <c r="BL266" s="180">
        <v>0</v>
      </c>
      <c r="BM266" s="180">
        <v>0</v>
      </c>
      <c r="BN266" s="180">
        <v>14.54</v>
      </c>
      <c r="BO266" s="180">
        <v>19.100000000000001</v>
      </c>
      <c r="BP266" s="180">
        <v>0</v>
      </c>
      <c r="BQ266" s="180">
        <v>0</v>
      </c>
      <c r="BR266" s="180">
        <v>42.35</v>
      </c>
      <c r="BS266" s="180">
        <v>1</v>
      </c>
      <c r="BT266" s="180">
        <v>0</v>
      </c>
      <c r="BU266" s="180">
        <v>0</v>
      </c>
      <c r="BV266" s="180">
        <v>31.49</v>
      </c>
      <c r="BW266" s="180">
        <v>0</v>
      </c>
      <c r="BX266" s="180">
        <v>0</v>
      </c>
      <c r="BY266" s="180">
        <v>0</v>
      </c>
      <c r="BZ266" s="180">
        <v>4.95</v>
      </c>
      <c r="CA266" s="180">
        <v>41.67</v>
      </c>
      <c r="CB266" s="180">
        <v>0</v>
      </c>
      <c r="CC266" s="180">
        <v>18.87</v>
      </c>
      <c r="CD266" s="180">
        <v>0</v>
      </c>
      <c r="CE266" s="180">
        <v>9.84</v>
      </c>
      <c r="CF266" s="180">
        <v>217.81</v>
      </c>
      <c r="CG266" s="180">
        <v>3.57</v>
      </c>
      <c r="CH266" s="180">
        <v>0.99</v>
      </c>
      <c r="CI266" s="180">
        <v>4.1399999999999997</v>
      </c>
      <c r="CJ266" s="180">
        <v>2.86</v>
      </c>
      <c r="CK266" s="180">
        <v>1.33</v>
      </c>
      <c r="CL266" s="180">
        <v>163.44999999999999</v>
      </c>
      <c r="CM266" s="180">
        <v>0</v>
      </c>
      <c r="CN266" s="180">
        <v>2.4</v>
      </c>
      <c r="CO266" s="180">
        <v>37.57</v>
      </c>
      <c r="CP266" s="180">
        <v>119.39</v>
      </c>
      <c r="CQ266" s="180">
        <v>5.48</v>
      </c>
      <c r="CR266" s="180">
        <v>0</v>
      </c>
      <c r="CS266" s="180">
        <v>0</v>
      </c>
    </row>
    <row r="267" spans="1:97" s="180" customFormat="1" x14ac:dyDescent="0.3">
      <c r="A267" s="155">
        <v>9011</v>
      </c>
      <c r="B267" s="572" t="s">
        <v>1716</v>
      </c>
      <c r="C267" s="572" t="s">
        <v>1048</v>
      </c>
      <c r="D267" s="180">
        <v>0</v>
      </c>
      <c r="E267" s="180">
        <v>0</v>
      </c>
      <c r="F267" s="180">
        <v>194647</v>
      </c>
      <c r="G267" s="180">
        <v>0</v>
      </c>
      <c r="H267" s="180">
        <v>0</v>
      </c>
      <c r="I267" s="180">
        <v>272821</v>
      </c>
      <c r="J267" s="180">
        <v>293013</v>
      </c>
      <c r="K267" s="180">
        <v>0</v>
      </c>
      <c r="L267" s="180">
        <v>63350</v>
      </c>
      <c r="M267" s="180">
        <v>4591982</v>
      </c>
      <c r="N267" s="180">
        <v>0</v>
      </c>
      <c r="O267" s="180">
        <v>0</v>
      </c>
      <c r="P267" s="180">
        <v>228346</v>
      </c>
      <c r="Q267" s="180">
        <v>-15419</v>
      </c>
      <c r="R267" s="180">
        <v>0</v>
      </c>
      <c r="S267" s="180">
        <v>3871</v>
      </c>
      <c r="T267" s="180">
        <v>0</v>
      </c>
      <c r="U267" s="180">
        <v>0</v>
      </c>
      <c r="V267" s="180">
        <v>0</v>
      </c>
      <c r="W267" s="180">
        <v>3517089</v>
      </c>
      <c r="X267" s="180">
        <v>0</v>
      </c>
      <c r="Y267" s="180">
        <v>1021127</v>
      </c>
      <c r="Z267" s="180">
        <v>0</v>
      </c>
      <c r="AA267" s="180">
        <v>234194</v>
      </c>
      <c r="AB267" s="180">
        <v>0</v>
      </c>
      <c r="AC267" s="180">
        <v>113095</v>
      </c>
      <c r="AD267" s="180">
        <v>0</v>
      </c>
      <c r="AE267" s="180">
        <v>9590</v>
      </c>
      <c r="AF267" s="180">
        <v>98681</v>
      </c>
      <c r="AG267" s="180">
        <v>709880</v>
      </c>
      <c r="AH267" s="180">
        <v>0</v>
      </c>
      <c r="AI267" s="180">
        <v>-26851</v>
      </c>
      <c r="AJ267" s="180">
        <v>0</v>
      </c>
      <c r="AK267" s="180">
        <v>18085</v>
      </c>
      <c r="AL267" s="180">
        <v>-930709</v>
      </c>
      <c r="AM267" s="180">
        <v>1071232</v>
      </c>
      <c r="AN267" s="180">
        <v>109078</v>
      </c>
      <c r="AO267" s="180">
        <v>236472</v>
      </c>
      <c r="AP267" s="180">
        <v>10531</v>
      </c>
      <c r="AQ267" s="180">
        <v>0</v>
      </c>
      <c r="AR267" s="180">
        <v>951599</v>
      </c>
      <c r="AS267" s="180">
        <v>97304</v>
      </c>
      <c r="AT267" s="180">
        <v>0</v>
      </c>
      <c r="AU267" s="180">
        <v>0</v>
      </c>
      <c r="AV267" s="180">
        <v>0</v>
      </c>
      <c r="AW267" s="180">
        <v>0</v>
      </c>
      <c r="AX267" s="180">
        <v>-3076</v>
      </c>
      <c r="AY267" s="180">
        <v>283369</v>
      </c>
      <c r="AZ267" s="180">
        <v>35299</v>
      </c>
      <c r="BA267" s="180">
        <v>0</v>
      </c>
      <c r="BB267" s="180">
        <v>0</v>
      </c>
      <c r="BC267" s="180">
        <v>913951</v>
      </c>
      <c r="BD267" s="180">
        <v>0</v>
      </c>
      <c r="BE267" s="180">
        <v>-211233</v>
      </c>
      <c r="BF267" s="180">
        <v>-90909</v>
      </c>
      <c r="BG267" s="180">
        <v>-15746</v>
      </c>
      <c r="BH267" s="180">
        <v>73989</v>
      </c>
      <c r="BI267" s="180">
        <v>240236</v>
      </c>
      <c r="BJ267" s="180">
        <v>1533170</v>
      </c>
      <c r="BK267" s="180">
        <v>0</v>
      </c>
      <c r="BL267" s="180">
        <v>0</v>
      </c>
      <c r="BM267" s="180">
        <v>0</v>
      </c>
      <c r="BN267" s="180">
        <v>1796025</v>
      </c>
      <c r="BO267" s="180">
        <v>639404</v>
      </c>
      <c r="BP267" s="180">
        <v>0</v>
      </c>
      <c r="BQ267" s="180">
        <v>0</v>
      </c>
      <c r="BR267" s="180">
        <v>239017</v>
      </c>
      <c r="BS267" s="180">
        <v>-638413</v>
      </c>
      <c r="BT267" s="180">
        <v>0</v>
      </c>
      <c r="BU267" s="180">
        <v>0</v>
      </c>
      <c r="BV267" s="180">
        <v>199629</v>
      </c>
      <c r="BW267" s="180">
        <v>0</v>
      </c>
      <c r="BX267" s="180">
        <v>0</v>
      </c>
      <c r="BY267" s="180">
        <v>0</v>
      </c>
      <c r="BZ267" s="180">
        <v>118641</v>
      </c>
      <c r="CA267" s="180">
        <v>5486</v>
      </c>
      <c r="CB267" s="180">
        <v>0</v>
      </c>
      <c r="CC267" s="180">
        <v>468202</v>
      </c>
      <c r="CD267" s="180">
        <v>0</v>
      </c>
      <c r="CE267" s="180">
        <v>8702648</v>
      </c>
      <c r="CF267" s="180">
        <v>121923</v>
      </c>
      <c r="CG267" s="180">
        <v>311243</v>
      </c>
      <c r="CH267" s="180">
        <v>-27941</v>
      </c>
      <c r="CI267" s="180">
        <v>308325</v>
      </c>
      <c r="CJ267" s="180">
        <v>36077020</v>
      </c>
      <c r="CK267" s="180">
        <v>319145</v>
      </c>
      <c r="CL267" s="180">
        <v>7654</v>
      </c>
      <c r="CM267" s="180">
        <v>0</v>
      </c>
      <c r="CN267" s="180">
        <v>42439</v>
      </c>
      <c r="CO267" s="180">
        <v>1587606</v>
      </c>
      <c r="CP267" s="180">
        <v>319696</v>
      </c>
      <c r="CQ267" s="180">
        <v>-277084</v>
      </c>
      <c r="CR267" s="180">
        <v>0</v>
      </c>
      <c r="CS267" s="180">
        <v>0</v>
      </c>
    </row>
    <row r="268" spans="1:97" s="180" customFormat="1" x14ac:dyDescent="0.3">
      <c r="A268" s="155">
        <v>9012</v>
      </c>
      <c r="B268" s="572" t="s">
        <v>1717</v>
      </c>
      <c r="C268" s="572" t="s">
        <v>1048</v>
      </c>
      <c r="D268" s="180">
        <v>0</v>
      </c>
      <c r="E268" s="180">
        <v>0</v>
      </c>
      <c r="F268" s="180">
        <v>0.52949999999999997</v>
      </c>
      <c r="G268" s="180">
        <v>0</v>
      </c>
      <c r="H268" s="180">
        <v>0</v>
      </c>
      <c r="I268" s="180">
        <v>2.2012</v>
      </c>
      <c r="J268" s="180">
        <v>0.54179999999999995</v>
      </c>
      <c r="K268" s="180">
        <v>0</v>
      </c>
      <c r="L268" s="180">
        <v>0.58760000000000001</v>
      </c>
      <c r="M268" s="180">
        <v>1.6456999999999999</v>
      </c>
      <c r="N268" s="180">
        <v>0</v>
      </c>
      <c r="O268" s="180">
        <v>0</v>
      </c>
      <c r="P268" s="180">
        <v>3.8250999999999999</v>
      </c>
      <c r="Q268" s="180">
        <v>0.36770000000000003</v>
      </c>
      <c r="R268" s="180">
        <v>0</v>
      </c>
      <c r="S268" s="180">
        <v>0.34279999999999999</v>
      </c>
      <c r="T268" s="180">
        <v>0</v>
      </c>
      <c r="U268" s="180">
        <v>0</v>
      </c>
      <c r="V268" s="180">
        <v>0</v>
      </c>
      <c r="W268" s="180">
        <v>2.9053</v>
      </c>
      <c r="X268" s="180">
        <v>0</v>
      </c>
      <c r="Y268" s="180">
        <v>3.0798999999999999</v>
      </c>
      <c r="Z268" s="180">
        <v>0</v>
      </c>
      <c r="AA268" s="180">
        <v>1.506</v>
      </c>
      <c r="AB268" s="180">
        <v>0</v>
      </c>
      <c r="AC268" s="180">
        <v>0.51490000000000002</v>
      </c>
      <c r="AD268" s="180">
        <v>0</v>
      </c>
      <c r="AE268" s="180">
        <v>1.6289</v>
      </c>
      <c r="AF268" s="180">
        <v>1.4433</v>
      </c>
      <c r="AG268" s="180">
        <v>1.0266</v>
      </c>
      <c r="AH268" s="180">
        <v>0</v>
      </c>
      <c r="AI268" s="180">
        <v>2.3864999999999998</v>
      </c>
      <c r="AJ268" s="180">
        <v>0</v>
      </c>
      <c r="AK268" s="180">
        <v>2.3603999999999998</v>
      </c>
      <c r="AL268" s="180">
        <v>0.76119999999999999</v>
      </c>
      <c r="AM268" s="180">
        <v>0.7581</v>
      </c>
      <c r="AN268" s="180">
        <v>0.17949999999999999</v>
      </c>
      <c r="AO268" s="180">
        <v>8.3500000000000005E-2</v>
      </c>
      <c r="AP268" s="180">
        <v>1.5105</v>
      </c>
      <c r="AQ268" s="180">
        <v>0</v>
      </c>
      <c r="AR268" s="180">
        <v>0.54490000000000005</v>
      </c>
      <c r="AS268" s="180">
        <v>0.33279999999999998</v>
      </c>
      <c r="AT268" s="180">
        <v>0</v>
      </c>
      <c r="AU268" s="180">
        <v>0</v>
      </c>
      <c r="AV268" s="180">
        <v>0</v>
      </c>
      <c r="AW268" s="180">
        <v>0</v>
      </c>
      <c r="AX268" s="180">
        <v>1.3744000000000001</v>
      </c>
      <c r="AY268" s="180">
        <v>1.1765000000000001</v>
      </c>
      <c r="AZ268" s="180">
        <v>2.0327999999999999</v>
      </c>
      <c r="BA268" s="180">
        <v>0</v>
      </c>
      <c r="BB268" s="180">
        <v>0</v>
      </c>
      <c r="BC268" s="180">
        <v>1.2756000000000001</v>
      </c>
      <c r="BD268" s="180">
        <v>0</v>
      </c>
      <c r="BE268" s="180">
        <v>1.3248</v>
      </c>
      <c r="BF268" s="180">
        <v>1.6935</v>
      </c>
      <c r="BG268" s="180">
        <v>0.87560000000000004</v>
      </c>
      <c r="BH268" s="180">
        <v>0.41649999999999998</v>
      </c>
      <c r="BI268" s="180">
        <v>1.8332999999999999</v>
      </c>
      <c r="BJ268" s="180">
        <v>1.2718</v>
      </c>
      <c r="BK268" s="180">
        <v>0</v>
      </c>
      <c r="BL268" s="180">
        <v>0</v>
      </c>
      <c r="BM268" s="180">
        <v>0</v>
      </c>
      <c r="BN268" s="180">
        <v>1.0983000000000001</v>
      </c>
      <c r="BO268" s="180">
        <v>2.1320000000000001</v>
      </c>
      <c r="BP268" s="180">
        <v>0</v>
      </c>
      <c r="BQ268" s="180">
        <v>0</v>
      </c>
      <c r="BR268" s="180">
        <v>2.1088</v>
      </c>
      <c r="BS268" s="180">
        <v>0</v>
      </c>
      <c r="BT268" s="180">
        <v>0</v>
      </c>
      <c r="BU268" s="180">
        <v>0</v>
      </c>
      <c r="BV268" s="180">
        <v>1.1906000000000001</v>
      </c>
      <c r="BW268" s="180">
        <v>0</v>
      </c>
      <c r="BX268" s="180">
        <v>0</v>
      </c>
      <c r="BY268" s="180">
        <v>0</v>
      </c>
      <c r="BZ268" s="180">
        <v>0.83850000000000002</v>
      </c>
      <c r="CA268" s="180">
        <v>4.9253999999999998</v>
      </c>
      <c r="CB268" s="180">
        <v>0</v>
      </c>
      <c r="CC268" s="180">
        <v>1.7767999999999999</v>
      </c>
      <c r="CD268" s="180">
        <v>0</v>
      </c>
      <c r="CE268" s="180">
        <v>1.0752999999999999</v>
      </c>
      <c r="CF268" s="180">
        <v>1.5557000000000001</v>
      </c>
      <c r="CG268" s="180">
        <v>2.093</v>
      </c>
      <c r="CH268" s="180">
        <v>0.26860000000000001</v>
      </c>
      <c r="CI268" s="180">
        <v>0.68240000000000001</v>
      </c>
      <c r="CJ268" s="180">
        <v>0.79920000000000002</v>
      </c>
      <c r="CK268" s="180">
        <v>0.61250000000000004</v>
      </c>
      <c r="CL268" s="180">
        <v>2.3485999999999998</v>
      </c>
      <c r="CM268" s="180">
        <v>0</v>
      </c>
      <c r="CN268" s="180">
        <v>2.1299000000000001</v>
      </c>
      <c r="CO268" s="180">
        <v>4.7220000000000004</v>
      </c>
      <c r="CP268" s="180">
        <v>1.6073999999999999</v>
      </c>
      <c r="CQ268" s="180">
        <v>0.86350000000000005</v>
      </c>
      <c r="CR268" s="180">
        <v>0</v>
      </c>
      <c r="CS268" s="180">
        <v>0</v>
      </c>
    </row>
    <row r="269" spans="1:97" s="180" customFormat="1" x14ac:dyDescent="0.3">
      <c r="A269" s="155">
        <v>9013</v>
      </c>
      <c r="B269" s="557" t="s">
        <v>1049</v>
      </c>
      <c r="C269" s="557" t="s">
        <v>1050</v>
      </c>
      <c r="D269" s="180">
        <v>0</v>
      </c>
      <c r="E269" s="180">
        <v>0</v>
      </c>
      <c r="F269" s="180">
        <v>1.21</v>
      </c>
      <c r="G269" s="180">
        <v>0</v>
      </c>
      <c r="H269" s="180">
        <v>0</v>
      </c>
      <c r="I269" s="180">
        <v>21.29</v>
      </c>
      <c r="J269" s="180">
        <v>3.3</v>
      </c>
      <c r="K269" s="180">
        <v>0</v>
      </c>
      <c r="L269" s="180">
        <v>2.56</v>
      </c>
      <c r="M269" s="180">
        <v>6.02</v>
      </c>
      <c r="N269" s="180">
        <v>0</v>
      </c>
      <c r="O269" s="180">
        <v>0</v>
      </c>
      <c r="P269" s="180">
        <v>23.83</v>
      </c>
      <c r="Q269" s="180">
        <v>2.52</v>
      </c>
      <c r="R269" s="180">
        <v>0</v>
      </c>
      <c r="S269" s="180">
        <v>2.85</v>
      </c>
      <c r="T269" s="180">
        <v>0</v>
      </c>
      <c r="U269" s="180">
        <v>0</v>
      </c>
      <c r="V269" s="180">
        <v>0</v>
      </c>
      <c r="W269" s="180">
        <v>7.35</v>
      </c>
      <c r="X269" s="180">
        <v>0</v>
      </c>
      <c r="Y269" s="180">
        <v>21.51</v>
      </c>
      <c r="Z269" s="180">
        <v>0</v>
      </c>
      <c r="AA269" s="180">
        <v>7.62</v>
      </c>
      <c r="AB269" s="180">
        <v>0</v>
      </c>
      <c r="AC269" s="180">
        <v>19.89</v>
      </c>
      <c r="AD269" s="180">
        <v>0</v>
      </c>
      <c r="AE269" s="180">
        <v>1.93</v>
      </c>
      <c r="AF269" s="180">
        <v>10.98</v>
      </c>
      <c r="AG269" s="180">
        <v>3.8</v>
      </c>
      <c r="AH269" s="180">
        <v>0</v>
      </c>
      <c r="AI269" s="180">
        <v>5.86</v>
      </c>
      <c r="AJ269" s="180">
        <v>0</v>
      </c>
      <c r="AK269" s="180">
        <v>4.3</v>
      </c>
      <c r="AL269" s="180">
        <v>1.24</v>
      </c>
      <c r="AM269" s="180">
        <v>4.09</v>
      </c>
      <c r="AN269" s="180">
        <v>2.27</v>
      </c>
      <c r="AO269" s="180">
        <v>1.37</v>
      </c>
      <c r="AP269" s="180">
        <v>45.1</v>
      </c>
      <c r="AQ269" s="180">
        <v>0</v>
      </c>
      <c r="AR269" s="180">
        <v>9.4600000000000009</v>
      </c>
      <c r="AS269" s="180">
        <v>1.49</v>
      </c>
      <c r="AT269" s="180">
        <v>0</v>
      </c>
      <c r="AU269" s="180">
        <v>0</v>
      </c>
      <c r="AV269" s="180">
        <v>0</v>
      </c>
      <c r="AW269" s="180">
        <v>0</v>
      </c>
      <c r="AX269" s="180">
        <v>7.23</v>
      </c>
      <c r="AY269" s="180">
        <v>32.35</v>
      </c>
      <c r="AZ269" s="180">
        <v>17.78</v>
      </c>
      <c r="BA269" s="180">
        <v>0</v>
      </c>
      <c r="BB269" s="180">
        <v>0</v>
      </c>
      <c r="BC269" s="180">
        <v>8.06</v>
      </c>
      <c r="BD269" s="180">
        <v>0</v>
      </c>
      <c r="BE269" s="180">
        <v>9.86</v>
      </c>
      <c r="BF269" s="180">
        <v>8.15</v>
      </c>
      <c r="BG269" s="180">
        <v>0</v>
      </c>
      <c r="BH269" s="180">
        <v>2.97</v>
      </c>
      <c r="BI269" s="180">
        <v>5.79</v>
      </c>
      <c r="BJ269" s="180">
        <v>14.77</v>
      </c>
      <c r="BK269" s="180">
        <v>0</v>
      </c>
      <c r="BL269" s="180">
        <v>0</v>
      </c>
      <c r="BM269" s="180">
        <v>0</v>
      </c>
      <c r="BN269" s="180">
        <v>14.54</v>
      </c>
      <c r="BO269" s="180">
        <v>19.100000000000001</v>
      </c>
      <c r="BP269" s="180">
        <v>0</v>
      </c>
      <c r="BQ269" s="180">
        <v>0</v>
      </c>
      <c r="BR269" s="180">
        <v>42.35</v>
      </c>
      <c r="BS269" s="180">
        <v>1</v>
      </c>
      <c r="BT269" s="180">
        <v>0</v>
      </c>
      <c r="BU269" s="180">
        <v>0</v>
      </c>
      <c r="BV269" s="180">
        <v>31.49</v>
      </c>
      <c r="BW269" s="180">
        <v>0</v>
      </c>
      <c r="BX269" s="180">
        <v>0</v>
      </c>
      <c r="BY269" s="180">
        <v>0</v>
      </c>
      <c r="BZ269" s="180">
        <v>4.95</v>
      </c>
      <c r="CA269" s="180">
        <v>41.67</v>
      </c>
      <c r="CB269" s="180">
        <v>0</v>
      </c>
      <c r="CC269" s="180">
        <v>18.87</v>
      </c>
      <c r="CD269" s="180">
        <v>0</v>
      </c>
      <c r="CE269" s="180">
        <v>9.84</v>
      </c>
      <c r="CF269" s="180">
        <v>217.81</v>
      </c>
      <c r="CG269" s="180">
        <v>3.57</v>
      </c>
      <c r="CH269" s="180">
        <v>0.99</v>
      </c>
      <c r="CI269" s="180">
        <v>4.1399999999999997</v>
      </c>
      <c r="CJ269" s="180">
        <v>2.86</v>
      </c>
      <c r="CK269" s="180">
        <v>1.33</v>
      </c>
      <c r="CL269" s="180">
        <v>163.44999999999999</v>
      </c>
      <c r="CM269" s="180">
        <v>0</v>
      </c>
      <c r="CN269" s="180">
        <v>2.4</v>
      </c>
      <c r="CO269" s="180">
        <v>37.57</v>
      </c>
      <c r="CP269" s="180">
        <v>119.39</v>
      </c>
      <c r="CQ269" s="180">
        <v>5.48</v>
      </c>
      <c r="CR269" s="180">
        <v>0</v>
      </c>
      <c r="CS269" s="180">
        <v>0</v>
      </c>
    </row>
    <row r="270" spans="1:97" s="180" customFormat="1" x14ac:dyDescent="0.3">
      <c r="A270" s="155">
        <v>9014</v>
      </c>
      <c r="B270" s="572" t="s">
        <v>1051</v>
      </c>
      <c r="C270" s="572" t="s">
        <v>1052</v>
      </c>
      <c r="D270" s="180">
        <v>0</v>
      </c>
      <c r="E270" s="180">
        <v>0</v>
      </c>
      <c r="F270" s="180">
        <v>0</v>
      </c>
      <c r="G270" s="180">
        <v>0</v>
      </c>
      <c r="H270" s="180">
        <v>0</v>
      </c>
      <c r="I270" s="180">
        <v>0</v>
      </c>
      <c r="J270" s="180">
        <v>0</v>
      </c>
      <c r="K270" s="180">
        <v>0</v>
      </c>
      <c r="L270" s="180">
        <v>0</v>
      </c>
      <c r="M270" s="180">
        <v>6.98</v>
      </c>
      <c r="N270" s="180">
        <v>0</v>
      </c>
      <c r="O270" s="180">
        <v>0</v>
      </c>
      <c r="P270" s="180">
        <v>0</v>
      </c>
      <c r="Q270" s="180">
        <v>0</v>
      </c>
      <c r="R270" s="180">
        <v>0</v>
      </c>
      <c r="S270" s="180">
        <v>0</v>
      </c>
      <c r="T270" s="180">
        <v>0</v>
      </c>
      <c r="U270" s="180">
        <v>0</v>
      </c>
      <c r="V270" s="180">
        <v>0</v>
      </c>
      <c r="W270" s="180">
        <v>0</v>
      </c>
      <c r="X270" s="180">
        <v>0</v>
      </c>
      <c r="Y270" s="180">
        <v>0</v>
      </c>
      <c r="Z270" s="180">
        <v>0</v>
      </c>
      <c r="AA270" s="180">
        <v>0</v>
      </c>
      <c r="AB270" s="180">
        <v>0</v>
      </c>
      <c r="AC270" s="180">
        <v>9.83</v>
      </c>
      <c r="AD270" s="180">
        <v>0</v>
      </c>
      <c r="AE270" s="180">
        <v>0</v>
      </c>
      <c r="AF270" s="180">
        <v>0</v>
      </c>
      <c r="AG270" s="180">
        <v>0</v>
      </c>
      <c r="AH270" s="180">
        <v>0</v>
      </c>
      <c r="AI270" s="180">
        <v>0</v>
      </c>
      <c r="AJ270" s="180">
        <v>0</v>
      </c>
      <c r="AK270" s="180">
        <v>0</v>
      </c>
      <c r="AL270" s="180">
        <v>0</v>
      </c>
      <c r="AM270" s="180">
        <v>0</v>
      </c>
      <c r="AN270" s="180">
        <v>0</v>
      </c>
      <c r="AO270" s="180">
        <v>0</v>
      </c>
      <c r="AP270" s="180">
        <v>0</v>
      </c>
      <c r="AQ270" s="180">
        <v>0</v>
      </c>
      <c r="AR270" s="180">
        <v>0</v>
      </c>
      <c r="AS270" s="180">
        <v>0</v>
      </c>
      <c r="AT270" s="180">
        <v>0</v>
      </c>
      <c r="AU270" s="180">
        <v>0</v>
      </c>
      <c r="AV270" s="180">
        <v>0</v>
      </c>
      <c r="AW270" s="180">
        <v>0</v>
      </c>
      <c r="AX270" s="180">
        <v>0</v>
      </c>
      <c r="AY270" s="180">
        <v>0</v>
      </c>
      <c r="AZ270" s="180">
        <v>0</v>
      </c>
      <c r="BA270" s="180">
        <v>2.14</v>
      </c>
      <c r="BB270" s="180">
        <v>0</v>
      </c>
      <c r="BC270" s="180">
        <v>0</v>
      </c>
      <c r="BD270" s="180">
        <v>0</v>
      </c>
      <c r="BE270" s="180">
        <v>0</v>
      </c>
      <c r="BF270" s="180">
        <v>0</v>
      </c>
      <c r="BG270" s="180">
        <v>54.01</v>
      </c>
      <c r="BH270" s="180">
        <v>0</v>
      </c>
      <c r="BI270" s="180">
        <v>0</v>
      </c>
      <c r="BJ270" s="180">
        <v>8.35</v>
      </c>
      <c r="BK270" s="180">
        <v>0</v>
      </c>
      <c r="BL270" s="180">
        <v>0</v>
      </c>
      <c r="BM270" s="180">
        <v>0</v>
      </c>
      <c r="BN270" s="180">
        <v>7.19</v>
      </c>
      <c r="BO270" s="180">
        <v>0</v>
      </c>
      <c r="BP270" s="180">
        <v>0</v>
      </c>
      <c r="BQ270" s="180">
        <v>0</v>
      </c>
      <c r="BR270" s="180">
        <v>0</v>
      </c>
      <c r="BS270" s="180">
        <v>0</v>
      </c>
      <c r="BT270" s="180">
        <v>0</v>
      </c>
      <c r="BU270" s="180">
        <v>0</v>
      </c>
      <c r="BV270" s="180">
        <v>0</v>
      </c>
      <c r="BW270" s="180">
        <v>0</v>
      </c>
      <c r="BX270" s="180">
        <v>0</v>
      </c>
      <c r="BY270" s="180">
        <v>0</v>
      </c>
      <c r="BZ270" s="180">
        <v>0</v>
      </c>
      <c r="CA270" s="180">
        <v>0</v>
      </c>
      <c r="CB270" s="180">
        <v>0</v>
      </c>
      <c r="CC270" s="180">
        <v>0</v>
      </c>
      <c r="CD270" s="180">
        <v>0</v>
      </c>
      <c r="CE270" s="180">
        <v>6.22</v>
      </c>
      <c r="CF270" s="180">
        <v>0</v>
      </c>
      <c r="CG270" s="180">
        <v>5.96</v>
      </c>
      <c r="CH270" s="180">
        <v>0</v>
      </c>
      <c r="CI270" s="180">
        <v>0</v>
      </c>
      <c r="CJ270" s="180">
        <v>0</v>
      </c>
      <c r="CK270" s="180">
        <v>40.47</v>
      </c>
      <c r="CL270" s="180">
        <v>0</v>
      </c>
      <c r="CM270" s="180">
        <v>0</v>
      </c>
      <c r="CN270" s="180">
        <v>0</v>
      </c>
      <c r="CO270" s="180">
        <v>0</v>
      </c>
      <c r="CP270" s="180">
        <v>0</v>
      </c>
      <c r="CQ270" s="180">
        <v>0</v>
      </c>
      <c r="CR270" s="180">
        <v>0</v>
      </c>
      <c r="CS270" s="180">
        <v>0</v>
      </c>
    </row>
    <row r="271" spans="1:97" s="180" customFormat="1" x14ac:dyDescent="0.3">
      <c r="A271" s="155">
        <v>9015</v>
      </c>
      <c r="B271" s="572" t="s">
        <v>1718</v>
      </c>
      <c r="C271" s="572" t="s">
        <v>351</v>
      </c>
      <c r="D271" s="180">
        <v>0</v>
      </c>
      <c r="E271" s="180">
        <v>0</v>
      </c>
      <c r="F271" s="180">
        <v>0</v>
      </c>
      <c r="G271" s="180">
        <v>0</v>
      </c>
      <c r="H271" s="180">
        <v>0</v>
      </c>
      <c r="I271" s="180">
        <v>0</v>
      </c>
      <c r="J271" s="180">
        <v>0</v>
      </c>
      <c r="K271" s="180">
        <v>0</v>
      </c>
      <c r="L271" s="180">
        <v>0</v>
      </c>
      <c r="M271" s="180">
        <v>6400126</v>
      </c>
      <c r="N271" s="180">
        <v>0</v>
      </c>
      <c r="O271" s="180">
        <v>0</v>
      </c>
      <c r="P271" s="180">
        <v>0</v>
      </c>
      <c r="Q271" s="180">
        <v>0</v>
      </c>
      <c r="R271" s="180">
        <v>0</v>
      </c>
      <c r="S271" s="180">
        <v>0</v>
      </c>
      <c r="T271" s="180">
        <v>0</v>
      </c>
      <c r="U271" s="180">
        <v>0</v>
      </c>
      <c r="V271" s="180">
        <v>0</v>
      </c>
      <c r="W271" s="180">
        <v>0</v>
      </c>
      <c r="X271" s="180">
        <v>0</v>
      </c>
      <c r="Y271" s="180">
        <v>0</v>
      </c>
      <c r="Z271" s="180">
        <v>0</v>
      </c>
      <c r="AA271" s="180">
        <v>0</v>
      </c>
      <c r="AB271" s="180">
        <v>0</v>
      </c>
      <c r="AC271" s="180">
        <v>2030942</v>
      </c>
      <c r="AD271" s="180">
        <v>0</v>
      </c>
      <c r="AE271" s="180">
        <v>0</v>
      </c>
      <c r="AF271" s="180">
        <v>0</v>
      </c>
      <c r="AG271" s="180">
        <v>0</v>
      </c>
      <c r="AH271" s="180">
        <v>0</v>
      </c>
      <c r="AI271" s="180">
        <v>0</v>
      </c>
      <c r="AJ271" s="180">
        <v>0</v>
      </c>
      <c r="AK271" s="180">
        <v>0</v>
      </c>
      <c r="AL271" s="180">
        <v>0</v>
      </c>
      <c r="AM271" s="180">
        <v>0</v>
      </c>
      <c r="AN271" s="180">
        <v>0</v>
      </c>
      <c r="AO271" s="180">
        <v>0</v>
      </c>
      <c r="AP271" s="180">
        <v>0</v>
      </c>
      <c r="AQ271" s="180">
        <v>0</v>
      </c>
      <c r="AR271" s="180">
        <v>0</v>
      </c>
      <c r="AS271" s="180">
        <v>0</v>
      </c>
      <c r="AT271" s="180">
        <v>0</v>
      </c>
      <c r="AU271" s="180">
        <v>0</v>
      </c>
      <c r="AV271" s="180">
        <v>0</v>
      </c>
      <c r="AW271" s="180">
        <v>0</v>
      </c>
      <c r="AX271" s="180">
        <v>0</v>
      </c>
      <c r="AY271" s="180">
        <v>0</v>
      </c>
      <c r="AZ271" s="180">
        <v>0</v>
      </c>
      <c r="BA271" s="180">
        <v>797470</v>
      </c>
      <c r="BB271" s="180">
        <v>0</v>
      </c>
      <c r="BC271" s="180">
        <v>0</v>
      </c>
      <c r="BD271" s="180">
        <v>0</v>
      </c>
      <c r="BE271" s="180">
        <v>0</v>
      </c>
      <c r="BF271" s="180">
        <v>0</v>
      </c>
      <c r="BG271" s="180">
        <v>52761</v>
      </c>
      <c r="BH271" s="180">
        <v>0</v>
      </c>
      <c r="BI271" s="180">
        <v>0</v>
      </c>
      <c r="BJ271" s="180">
        <v>4588929</v>
      </c>
      <c r="BK271" s="180">
        <v>0</v>
      </c>
      <c r="BL271" s="180">
        <v>0</v>
      </c>
      <c r="BM271" s="180">
        <v>0</v>
      </c>
      <c r="BN271" s="180">
        <v>1554209</v>
      </c>
      <c r="BO271" s="180">
        <v>0</v>
      </c>
      <c r="BP271" s="180">
        <v>0</v>
      </c>
      <c r="BQ271" s="180">
        <v>0</v>
      </c>
      <c r="BR271" s="180">
        <v>0</v>
      </c>
      <c r="BS271" s="180">
        <v>0</v>
      </c>
      <c r="BT271" s="180">
        <v>0</v>
      </c>
      <c r="BU271" s="180">
        <v>0</v>
      </c>
      <c r="BV271" s="180">
        <v>0</v>
      </c>
      <c r="BW271" s="180">
        <v>0</v>
      </c>
      <c r="BX271" s="180">
        <v>0</v>
      </c>
      <c r="BY271" s="180">
        <v>0</v>
      </c>
      <c r="BZ271" s="180">
        <v>0</v>
      </c>
      <c r="CA271" s="180">
        <v>0</v>
      </c>
      <c r="CB271" s="180">
        <v>0</v>
      </c>
      <c r="CC271" s="180">
        <v>0</v>
      </c>
      <c r="CD271" s="180">
        <v>0</v>
      </c>
      <c r="CE271" s="180">
        <v>16585030</v>
      </c>
      <c r="CF271" s="180">
        <v>0</v>
      </c>
      <c r="CG271" s="180">
        <v>1056222</v>
      </c>
      <c r="CH271" s="180">
        <v>0</v>
      </c>
      <c r="CI271" s="180">
        <v>0</v>
      </c>
      <c r="CJ271" s="180">
        <v>0</v>
      </c>
      <c r="CK271" s="180">
        <v>374784</v>
      </c>
      <c r="CL271" s="180">
        <v>0</v>
      </c>
      <c r="CM271" s="180">
        <v>0</v>
      </c>
      <c r="CN271" s="180">
        <v>0</v>
      </c>
      <c r="CO271" s="180">
        <v>0</v>
      </c>
      <c r="CP271" s="180">
        <v>0</v>
      </c>
      <c r="CQ271" s="180">
        <v>0</v>
      </c>
      <c r="CR271" s="180">
        <v>0</v>
      </c>
      <c r="CS271" s="180">
        <v>0</v>
      </c>
    </row>
    <row r="272" spans="1:97" s="180" customFormat="1" x14ac:dyDescent="0.3">
      <c r="A272" s="155">
        <v>9016</v>
      </c>
      <c r="B272" s="572" t="s">
        <v>1719</v>
      </c>
      <c r="C272" s="572" t="s">
        <v>351</v>
      </c>
      <c r="D272" s="180">
        <v>0</v>
      </c>
      <c r="E272" s="180">
        <v>0</v>
      </c>
      <c r="F272" s="180">
        <v>0</v>
      </c>
      <c r="G272" s="180">
        <v>0</v>
      </c>
      <c r="H272" s="180">
        <v>0</v>
      </c>
      <c r="I272" s="180">
        <v>0</v>
      </c>
      <c r="J272" s="180">
        <v>0</v>
      </c>
      <c r="K272" s="180">
        <v>0</v>
      </c>
      <c r="L272" s="180">
        <v>0</v>
      </c>
      <c r="M272" s="180">
        <v>0.84240000000000004</v>
      </c>
      <c r="N272" s="180">
        <v>0</v>
      </c>
      <c r="O272" s="180">
        <v>0</v>
      </c>
      <c r="P272" s="180">
        <v>0</v>
      </c>
      <c r="Q272" s="180">
        <v>0</v>
      </c>
      <c r="R272" s="180">
        <v>0</v>
      </c>
      <c r="S272" s="180">
        <v>0</v>
      </c>
      <c r="T272" s="180">
        <v>0</v>
      </c>
      <c r="U272" s="180">
        <v>0</v>
      </c>
      <c r="V272" s="180">
        <v>0</v>
      </c>
      <c r="W272" s="180">
        <v>0</v>
      </c>
      <c r="X272" s="180">
        <v>0</v>
      </c>
      <c r="Y272" s="180">
        <v>0</v>
      </c>
      <c r="Z272" s="180">
        <v>0</v>
      </c>
      <c r="AA272" s="180">
        <v>0</v>
      </c>
      <c r="AB272" s="180">
        <v>0</v>
      </c>
      <c r="AC272" s="180">
        <v>0.54530000000000001</v>
      </c>
      <c r="AD272" s="180">
        <v>0</v>
      </c>
      <c r="AE272" s="180">
        <v>0</v>
      </c>
      <c r="AF272" s="180">
        <v>0</v>
      </c>
      <c r="AG272" s="180">
        <v>0</v>
      </c>
      <c r="AH272" s="180">
        <v>0</v>
      </c>
      <c r="AI272" s="180">
        <v>0</v>
      </c>
      <c r="AJ272" s="180">
        <v>0</v>
      </c>
      <c r="AK272" s="180">
        <v>0</v>
      </c>
      <c r="AL272" s="180">
        <v>0</v>
      </c>
      <c r="AM272" s="180">
        <v>0</v>
      </c>
      <c r="AN272" s="180">
        <v>0</v>
      </c>
      <c r="AO272" s="180">
        <v>0</v>
      </c>
      <c r="AP272" s="180">
        <v>0</v>
      </c>
      <c r="AQ272" s="180">
        <v>0</v>
      </c>
      <c r="AR272" s="180">
        <v>0</v>
      </c>
      <c r="AS272" s="180">
        <v>0</v>
      </c>
      <c r="AT272" s="180">
        <v>0</v>
      </c>
      <c r="AU272" s="180">
        <v>0</v>
      </c>
      <c r="AV272" s="180">
        <v>0</v>
      </c>
      <c r="AW272" s="180">
        <v>0</v>
      </c>
      <c r="AX272" s="180">
        <v>0</v>
      </c>
      <c r="AY272" s="180">
        <v>0</v>
      </c>
      <c r="AZ272" s="180">
        <v>0</v>
      </c>
      <c r="BA272" s="180">
        <v>0.12139999999999999</v>
      </c>
      <c r="BB272" s="180">
        <v>0</v>
      </c>
      <c r="BC272" s="180">
        <v>0</v>
      </c>
      <c r="BD272" s="180">
        <v>0</v>
      </c>
      <c r="BE272" s="180">
        <v>0</v>
      </c>
      <c r="BF272" s="180">
        <v>0</v>
      </c>
      <c r="BG272" s="180">
        <v>1.8018000000000001</v>
      </c>
      <c r="BH272" s="180">
        <v>0</v>
      </c>
      <c r="BI272" s="180">
        <v>0</v>
      </c>
      <c r="BJ272" s="180">
        <v>0.63519999999999999</v>
      </c>
      <c r="BK272" s="180">
        <v>0</v>
      </c>
      <c r="BL272" s="180">
        <v>0</v>
      </c>
      <c r="BM272" s="180">
        <v>0</v>
      </c>
      <c r="BN272" s="180">
        <v>0.36309999999999998</v>
      </c>
      <c r="BO272" s="180">
        <v>0</v>
      </c>
      <c r="BP272" s="180">
        <v>0</v>
      </c>
      <c r="BQ272" s="180">
        <v>0</v>
      </c>
      <c r="BR272" s="180">
        <v>0</v>
      </c>
      <c r="BS272" s="180">
        <v>0</v>
      </c>
      <c r="BT272" s="180">
        <v>0</v>
      </c>
      <c r="BU272" s="180">
        <v>0</v>
      </c>
      <c r="BV272" s="180">
        <v>0</v>
      </c>
      <c r="BW272" s="180">
        <v>0</v>
      </c>
      <c r="BX272" s="180">
        <v>0</v>
      </c>
      <c r="BY272" s="180">
        <v>0</v>
      </c>
      <c r="BZ272" s="180">
        <v>0</v>
      </c>
      <c r="CA272" s="180">
        <v>0</v>
      </c>
      <c r="CB272" s="180">
        <v>0</v>
      </c>
      <c r="CC272" s="180">
        <v>0</v>
      </c>
      <c r="CD272" s="180">
        <v>0</v>
      </c>
      <c r="CE272" s="180">
        <v>0.44009999999999999</v>
      </c>
      <c r="CF272" s="180">
        <v>0</v>
      </c>
      <c r="CG272" s="180">
        <v>0.91930000000000001</v>
      </c>
      <c r="CH272" s="180">
        <v>0</v>
      </c>
      <c r="CI272" s="180">
        <v>0</v>
      </c>
      <c r="CJ272" s="180">
        <v>0</v>
      </c>
      <c r="CK272" s="180">
        <v>0.6653</v>
      </c>
      <c r="CL272" s="180">
        <v>0</v>
      </c>
      <c r="CM272" s="180">
        <v>0</v>
      </c>
      <c r="CN272" s="180">
        <v>0</v>
      </c>
      <c r="CO272" s="180">
        <v>0</v>
      </c>
      <c r="CP272" s="180">
        <v>0</v>
      </c>
      <c r="CQ272" s="180">
        <v>0</v>
      </c>
      <c r="CR272" s="180">
        <v>0</v>
      </c>
      <c r="CS272" s="180">
        <v>0</v>
      </c>
    </row>
    <row r="273" spans="1:104" s="180" customFormat="1" x14ac:dyDescent="0.3">
      <c r="A273" s="155">
        <v>9017</v>
      </c>
      <c r="B273" s="557" t="s">
        <v>1053</v>
      </c>
      <c r="C273" s="557" t="s">
        <v>1054</v>
      </c>
      <c r="D273" s="180">
        <v>0</v>
      </c>
      <c r="E273" s="180">
        <v>0</v>
      </c>
      <c r="F273" s="180">
        <v>0</v>
      </c>
      <c r="G273" s="180">
        <v>0</v>
      </c>
      <c r="H273" s="180">
        <v>0</v>
      </c>
      <c r="I273" s="180">
        <v>0</v>
      </c>
      <c r="J273" s="180">
        <v>0</v>
      </c>
      <c r="K273" s="180">
        <v>0</v>
      </c>
      <c r="L273" s="180">
        <v>0</v>
      </c>
      <c r="M273" s="180">
        <v>6.98</v>
      </c>
      <c r="N273" s="180">
        <v>0</v>
      </c>
      <c r="O273" s="180">
        <v>0</v>
      </c>
      <c r="P273" s="180">
        <v>0</v>
      </c>
      <c r="Q273" s="180">
        <v>0</v>
      </c>
      <c r="R273" s="180">
        <v>0</v>
      </c>
      <c r="S273" s="180">
        <v>0</v>
      </c>
      <c r="T273" s="180">
        <v>0</v>
      </c>
      <c r="U273" s="180">
        <v>0</v>
      </c>
      <c r="V273" s="180">
        <v>0</v>
      </c>
      <c r="W273" s="180">
        <v>0</v>
      </c>
      <c r="X273" s="180">
        <v>0</v>
      </c>
      <c r="Y273" s="180">
        <v>0</v>
      </c>
      <c r="Z273" s="180">
        <v>0</v>
      </c>
      <c r="AA273" s="180">
        <v>0</v>
      </c>
      <c r="AB273" s="180">
        <v>0</v>
      </c>
      <c r="AC273" s="180">
        <v>9.83</v>
      </c>
      <c r="AD273" s="180">
        <v>0</v>
      </c>
      <c r="AE273" s="180">
        <v>0</v>
      </c>
      <c r="AF273" s="180">
        <v>0</v>
      </c>
      <c r="AG273" s="180">
        <v>0</v>
      </c>
      <c r="AH273" s="180">
        <v>0</v>
      </c>
      <c r="AI273" s="180">
        <v>0</v>
      </c>
      <c r="AJ273" s="180">
        <v>0</v>
      </c>
      <c r="AK273" s="180">
        <v>0</v>
      </c>
      <c r="AL273" s="180">
        <v>0</v>
      </c>
      <c r="AM273" s="180">
        <v>0</v>
      </c>
      <c r="AN273" s="180">
        <v>0</v>
      </c>
      <c r="AO273" s="180">
        <v>0</v>
      </c>
      <c r="AP273" s="180">
        <v>0</v>
      </c>
      <c r="AQ273" s="180">
        <v>0</v>
      </c>
      <c r="AR273" s="180">
        <v>0</v>
      </c>
      <c r="AS273" s="180">
        <v>0</v>
      </c>
      <c r="AT273" s="180">
        <v>0</v>
      </c>
      <c r="AU273" s="180">
        <v>0</v>
      </c>
      <c r="AV273" s="180">
        <v>0</v>
      </c>
      <c r="AW273" s="180">
        <v>0</v>
      </c>
      <c r="AX273" s="180">
        <v>0</v>
      </c>
      <c r="AY273" s="180">
        <v>0</v>
      </c>
      <c r="AZ273" s="180">
        <v>0</v>
      </c>
      <c r="BA273" s="180">
        <v>2.14</v>
      </c>
      <c r="BB273" s="180">
        <v>0</v>
      </c>
      <c r="BC273" s="180">
        <v>0</v>
      </c>
      <c r="BD273" s="180">
        <v>0</v>
      </c>
      <c r="BE273" s="180">
        <v>0</v>
      </c>
      <c r="BF273" s="180">
        <v>0</v>
      </c>
      <c r="BG273" s="180">
        <v>54.01</v>
      </c>
      <c r="BH273" s="180">
        <v>0</v>
      </c>
      <c r="BI273" s="180">
        <v>0</v>
      </c>
      <c r="BJ273" s="180">
        <v>8.35</v>
      </c>
      <c r="BK273" s="180">
        <v>0</v>
      </c>
      <c r="BL273" s="180">
        <v>0</v>
      </c>
      <c r="BM273" s="180">
        <v>0</v>
      </c>
      <c r="BN273" s="180">
        <v>7.19</v>
      </c>
      <c r="BO273" s="180">
        <v>0</v>
      </c>
      <c r="BP273" s="180">
        <v>0</v>
      </c>
      <c r="BQ273" s="180">
        <v>0</v>
      </c>
      <c r="BR273" s="180">
        <v>0</v>
      </c>
      <c r="BS273" s="180">
        <v>0</v>
      </c>
      <c r="BT273" s="180">
        <v>0</v>
      </c>
      <c r="BU273" s="180">
        <v>0</v>
      </c>
      <c r="BV273" s="180">
        <v>0</v>
      </c>
      <c r="BW273" s="180">
        <v>0</v>
      </c>
      <c r="BX273" s="180">
        <v>0</v>
      </c>
      <c r="BY273" s="180">
        <v>0</v>
      </c>
      <c r="BZ273" s="180">
        <v>0</v>
      </c>
      <c r="CA273" s="180">
        <v>0</v>
      </c>
      <c r="CB273" s="180">
        <v>0</v>
      </c>
      <c r="CC273" s="180">
        <v>0</v>
      </c>
      <c r="CD273" s="180">
        <v>0</v>
      </c>
      <c r="CE273" s="180">
        <v>6.22</v>
      </c>
      <c r="CF273" s="180">
        <v>0</v>
      </c>
      <c r="CG273" s="180">
        <v>5.96</v>
      </c>
      <c r="CH273" s="180">
        <v>0</v>
      </c>
      <c r="CI273" s="180">
        <v>0</v>
      </c>
      <c r="CJ273" s="180">
        <v>0</v>
      </c>
      <c r="CK273" s="180">
        <v>40.47</v>
      </c>
      <c r="CL273" s="180">
        <v>0</v>
      </c>
      <c r="CM273" s="180">
        <v>0</v>
      </c>
      <c r="CN273" s="180">
        <v>0</v>
      </c>
      <c r="CO273" s="180">
        <v>0</v>
      </c>
      <c r="CP273" s="180">
        <v>0</v>
      </c>
      <c r="CQ273" s="180">
        <v>0</v>
      </c>
      <c r="CR273" s="180">
        <v>0</v>
      </c>
      <c r="CS273" s="180">
        <v>0</v>
      </c>
    </row>
    <row r="274" spans="1:104" s="180" customFormat="1" ht="86.4" x14ac:dyDescent="0.3">
      <c r="A274" s="155">
        <v>9018</v>
      </c>
      <c r="B274" s="527" t="s">
        <v>1055</v>
      </c>
      <c r="C274" s="527" t="s">
        <v>1056</v>
      </c>
      <c r="D274" s="180">
        <v>5898</v>
      </c>
      <c r="E274" s="180">
        <v>1562406</v>
      </c>
      <c r="F274" s="180">
        <v>189789</v>
      </c>
      <c r="G274" s="180">
        <v>3867</v>
      </c>
      <c r="H274" s="180">
        <v>714115</v>
      </c>
      <c r="I274" s="180">
        <v>20313</v>
      </c>
      <c r="J274" s="180">
        <v>942667</v>
      </c>
      <c r="K274" s="180">
        <v>0</v>
      </c>
      <c r="L274" s="180">
        <v>45429</v>
      </c>
      <c r="M274" s="180">
        <v>2166311</v>
      </c>
      <c r="N274" s="180">
        <v>0</v>
      </c>
      <c r="O274" s="180">
        <v>61489</v>
      </c>
      <c r="P274" s="180">
        <v>369244</v>
      </c>
      <c r="Q274" s="180">
        <v>388613</v>
      </c>
      <c r="R274" s="180">
        <v>0</v>
      </c>
      <c r="S274" s="180">
        <v>11451</v>
      </c>
      <c r="T274" s="180">
        <v>273164</v>
      </c>
      <c r="U274" s="180">
        <v>216129</v>
      </c>
      <c r="V274" s="180">
        <v>312985</v>
      </c>
      <c r="W274" s="180">
        <v>1173176</v>
      </c>
      <c r="X274" s="180">
        <v>975798</v>
      </c>
      <c r="Y274" s="180">
        <v>16662</v>
      </c>
      <c r="Z274" s="180">
        <v>306786</v>
      </c>
      <c r="AA274" s="180">
        <v>443221</v>
      </c>
      <c r="AB274" s="180">
        <v>8691</v>
      </c>
      <c r="AC274" s="180">
        <v>445210</v>
      </c>
      <c r="AD274" s="180">
        <v>0</v>
      </c>
      <c r="AE274" s="180">
        <v>157086</v>
      </c>
      <c r="AF274" s="180">
        <v>2016</v>
      </c>
      <c r="AG274" s="180">
        <v>5848182</v>
      </c>
      <c r="AH274" s="180">
        <v>141844</v>
      </c>
      <c r="AI274" s="180">
        <v>249481</v>
      </c>
      <c r="AJ274" s="180">
        <v>18600</v>
      </c>
      <c r="AK274" s="180">
        <v>1901</v>
      </c>
      <c r="AL274" s="180">
        <v>1117635</v>
      </c>
      <c r="AM274" s="180">
        <v>1237582</v>
      </c>
      <c r="AN274" s="180">
        <v>563442</v>
      </c>
      <c r="AO274" s="180">
        <v>121556</v>
      </c>
      <c r="AP274" s="180">
        <v>4715</v>
      </c>
      <c r="AQ274" s="180">
        <v>36006</v>
      </c>
      <c r="AR274" s="180">
        <v>78166</v>
      </c>
      <c r="AS274" s="180">
        <v>175448</v>
      </c>
      <c r="AT274" s="180">
        <v>8414</v>
      </c>
      <c r="AU274" s="180">
        <v>0</v>
      </c>
      <c r="AV274" s="180">
        <v>219702</v>
      </c>
      <c r="AW274" s="180">
        <v>3218</v>
      </c>
      <c r="AX274" s="180">
        <v>14183</v>
      </c>
      <c r="AY274" s="180">
        <v>434739</v>
      </c>
      <c r="AZ274" s="180">
        <v>12946</v>
      </c>
      <c r="BA274" s="180">
        <v>12522502</v>
      </c>
      <c r="BB274" s="180">
        <v>978762</v>
      </c>
      <c r="BC274" s="180">
        <v>354849</v>
      </c>
      <c r="BD274" s="180">
        <v>0</v>
      </c>
      <c r="BE274" s="180">
        <v>214802</v>
      </c>
      <c r="BF274" s="180">
        <v>188051</v>
      </c>
      <c r="BG274" s="180">
        <v>33007</v>
      </c>
      <c r="BH274" s="180">
        <v>266099</v>
      </c>
      <c r="BI274" s="180">
        <v>628919</v>
      </c>
      <c r="BJ274" s="180">
        <v>2306821</v>
      </c>
      <c r="BK274" s="180">
        <v>77407</v>
      </c>
      <c r="BL274" s="180">
        <v>0</v>
      </c>
      <c r="BM274" s="180">
        <v>2343061</v>
      </c>
      <c r="BN274" s="180">
        <v>2462248</v>
      </c>
      <c r="BO274" s="180">
        <v>519081</v>
      </c>
      <c r="BP274" s="180">
        <v>40810</v>
      </c>
      <c r="BQ274" s="180">
        <v>754150</v>
      </c>
      <c r="BR274" s="180">
        <v>109117</v>
      </c>
      <c r="BS274" s="180">
        <v>3714112</v>
      </c>
      <c r="BT274" s="180">
        <v>358428</v>
      </c>
      <c r="BU274" s="180">
        <v>339423</v>
      </c>
      <c r="BV274" s="180">
        <v>149013</v>
      </c>
      <c r="BW274" s="180">
        <v>199075</v>
      </c>
      <c r="BX274" s="180">
        <v>0</v>
      </c>
      <c r="BY274" s="180">
        <v>0</v>
      </c>
      <c r="BZ274" s="180">
        <v>3237341</v>
      </c>
      <c r="CA274" s="180">
        <v>8446</v>
      </c>
      <c r="CB274" s="180">
        <v>0</v>
      </c>
      <c r="CC274" s="180">
        <v>1753079</v>
      </c>
      <c r="CD274" s="180">
        <v>48742407</v>
      </c>
      <c r="CE274" s="180">
        <v>17046944</v>
      </c>
      <c r="CF274" s="180">
        <v>9672</v>
      </c>
      <c r="CG274" s="180">
        <v>203548</v>
      </c>
      <c r="CH274" s="180">
        <v>58280</v>
      </c>
      <c r="CI274" s="180">
        <v>226136</v>
      </c>
      <c r="CJ274" s="180">
        <v>77630939</v>
      </c>
      <c r="CK274" s="180">
        <v>1212145</v>
      </c>
      <c r="CL274" s="180">
        <v>195519</v>
      </c>
      <c r="CM274" s="180">
        <v>189507</v>
      </c>
      <c r="CN274" s="180">
        <v>132059</v>
      </c>
      <c r="CO274" s="180">
        <v>1159050</v>
      </c>
      <c r="CP274" s="180">
        <v>622553</v>
      </c>
      <c r="CQ274" s="180">
        <v>503182</v>
      </c>
      <c r="CR274" s="180">
        <v>362275</v>
      </c>
      <c r="CS274" s="180">
        <v>2029806</v>
      </c>
    </row>
    <row r="275" spans="1:104" s="180" customFormat="1" ht="115.2" x14ac:dyDescent="0.3">
      <c r="A275" s="155">
        <v>9019</v>
      </c>
      <c r="B275" s="557" t="s">
        <v>1057</v>
      </c>
      <c r="C275" s="578" t="s">
        <v>1058</v>
      </c>
      <c r="D275" s="180">
        <v>5898</v>
      </c>
      <c r="E275" s="180">
        <v>1562406</v>
      </c>
      <c r="F275" s="180">
        <v>189789</v>
      </c>
      <c r="G275" s="180">
        <v>3867</v>
      </c>
      <c r="H275" s="180">
        <v>714115</v>
      </c>
      <c r="I275" s="180">
        <v>20313</v>
      </c>
      <c r="J275" s="180">
        <v>942667</v>
      </c>
      <c r="K275" s="180">
        <v>0</v>
      </c>
      <c r="L275" s="180">
        <v>45429</v>
      </c>
      <c r="M275" s="180">
        <v>2166311</v>
      </c>
      <c r="N275" s="180">
        <v>0</v>
      </c>
      <c r="O275" s="180">
        <v>61489</v>
      </c>
      <c r="P275" s="180">
        <v>369244</v>
      </c>
      <c r="Q275" s="180">
        <v>388613</v>
      </c>
      <c r="R275" s="180">
        <v>0</v>
      </c>
      <c r="S275" s="180">
        <v>11451</v>
      </c>
      <c r="T275" s="180">
        <v>273164</v>
      </c>
      <c r="U275" s="180">
        <v>216129</v>
      </c>
      <c r="V275" s="180">
        <v>312985</v>
      </c>
      <c r="W275" s="180">
        <v>1173176</v>
      </c>
      <c r="X275" s="180">
        <v>975798</v>
      </c>
      <c r="Y275" s="180">
        <v>16662</v>
      </c>
      <c r="Z275" s="180">
        <v>306786</v>
      </c>
      <c r="AA275" s="180">
        <v>443221</v>
      </c>
      <c r="AB275" s="180">
        <v>8691</v>
      </c>
      <c r="AC275" s="180">
        <v>445210</v>
      </c>
      <c r="AD275" s="180">
        <v>0</v>
      </c>
      <c r="AE275" s="180">
        <v>157086</v>
      </c>
      <c r="AF275" s="180">
        <v>2016</v>
      </c>
      <c r="AG275" s="180">
        <v>5848182</v>
      </c>
      <c r="AH275" s="180">
        <v>141844</v>
      </c>
      <c r="AI275" s="180">
        <v>249481</v>
      </c>
      <c r="AJ275" s="180">
        <v>18600</v>
      </c>
      <c r="AK275" s="180">
        <v>1901</v>
      </c>
      <c r="AL275" s="180">
        <v>1117635</v>
      </c>
      <c r="AM275" s="180">
        <v>1237582</v>
      </c>
      <c r="AN275" s="180">
        <v>563442</v>
      </c>
      <c r="AO275" s="180">
        <v>121556</v>
      </c>
      <c r="AP275" s="180">
        <v>4715</v>
      </c>
      <c r="AQ275" s="180">
        <v>36006</v>
      </c>
      <c r="AR275" s="180">
        <v>78166</v>
      </c>
      <c r="AS275" s="180">
        <v>175448</v>
      </c>
      <c r="AT275" s="180">
        <v>8414</v>
      </c>
      <c r="AU275" s="180">
        <v>0</v>
      </c>
      <c r="AV275" s="180">
        <v>219702</v>
      </c>
      <c r="AW275" s="180">
        <v>3218</v>
      </c>
      <c r="AX275" s="180">
        <v>14183</v>
      </c>
      <c r="AY275" s="180">
        <v>434739</v>
      </c>
      <c r="AZ275" s="180">
        <v>12946</v>
      </c>
      <c r="BA275" s="180">
        <v>12522502</v>
      </c>
      <c r="BB275" s="180">
        <v>978762</v>
      </c>
      <c r="BC275" s="180">
        <v>354849</v>
      </c>
      <c r="BD275" s="180">
        <v>0</v>
      </c>
      <c r="BE275" s="180">
        <v>214802</v>
      </c>
      <c r="BF275" s="180">
        <v>188051</v>
      </c>
      <c r="BG275" s="180">
        <v>33007</v>
      </c>
      <c r="BH275" s="180">
        <v>266099</v>
      </c>
      <c r="BI275" s="180">
        <v>628919</v>
      </c>
      <c r="BJ275" s="180">
        <v>2306821</v>
      </c>
      <c r="BK275" s="180">
        <v>77407</v>
      </c>
      <c r="BL275" s="180">
        <v>0</v>
      </c>
      <c r="BM275" s="180">
        <v>2343061</v>
      </c>
      <c r="BN275" s="180">
        <v>2462248</v>
      </c>
      <c r="BO275" s="180">
        <v>519081</v>
      </c>
      <c r="BP275" s="180">
        <v>40810</v>
      </c>
      <c r="BQ275" s="180">
        <v>754150</v>
      </c>
      <c r="BR275" s="180">
        <v>109117</v>
      </c>
      <c r="BS275" s="180">
        <v>3714112</v>
      </c>
      <c r="BT275" s="180">
        <v>358428</v>
      </c>
      <c r="BU275" s="180">
        <v>339423</v>
      </c>
      <c r="BV275" s="180">
        <v>149013</v>
      </c>
      <c r="BW275" s="180">
        <v>199075</v>
      </c>
      <c r="BX275" s="180">
        <v>0</v>
      </c>
      <c r="BY275" s="180">
        <v>0</v>
      </c>
      <c r="BZ275" s="180">
        <v>3237341</v>
      </c>
      <c r="CA275" s="180">
        <v>8446</v>
      </c>
      <c r="CB275" s="180">
        <v>0</v>
      </c>
      <c r="CC275" s="180">
        <v>1753079</v>
      </c>
      <c r="CD275" s="180">
        <v>48742407</v>
      </c>
      <c r="CE275" s="180">
        <v>17046944</v>
      </c>
      <c r="CF275" s="180">
        <v>9672</v>
      </c>
      <c r="CG275" s="180">
        <v>203548</v>
      </c>
      <c r="CH275" s="180">
        <v>58280</v>
      </c>
      <c r="CI275" s="180">
        <v>226136</v>
      </c>
      <c r="CJ275" s="180">
        <v>77630939</v>
      </c>
      <c r="CK275" s="180">
        <v>1212145</v>
      </c>
      <c r="CL275" s="180">
        <v>195519</v>
      </c>
      <c r="CM275" s="180">
        <v>189507</v>
      </c>
      <c r="CN275" s="180">
        <v>132059</v>
      </c>
      <c r="CO275" s="180">
        <v>1159050</v>
      </c>
      <c r="CP275" s="180">
        <v>622553</v>
      </c>
      <c r="CQ275" s="180">
        <v>503182</v>
      </c>
      <c r="CR275" s="180">
        <v>362275</v>
      </c>
      <c r="CS275" s="180">
        <v>2029806</v>
      </c>
    </row>
    <row r="276" spans="1:104" s="799" customFormat="1" ht="28.8" x14ac:dyDescent="0.3">
      <c r="A276" s="800"/>
      <c r="B276" s="799" t="s">
        <v>1932</v>
      </c>
      <c r="C276" s="933" t="s">
        <v>1724</v>
      </c>
      <c r="D276" s="799">
        <f t="shared" ref="D276:J276" si="0">(D106+D135-D3-D4-D5-D8+D191)/(D132+D109+D11-D133-D108-D240)</f>
        <v>4.4913925958058885</v>
      </c>
      <c r="E276" s="799">
        <f t="shared" si="0"/>
        <v>1.2057968507775938</v>
      </c>
      <c r="F276" s="799">
        <f t="shared" si="0"/>
        <v>0.29486400959309994</v>
      </c>
      <c r="G276" s="799">
        <f t="shared" si="0"/>
        <v>5.7536855591783773</v>
      </c>
      <c r="H276" s="799">
        <f t="shared" si="0"/>
        <v>0.98661163778345073</v>
      </c>
      <c r="I276" s="799">
        <f t="shared" si="0"/>
        <v>0.95908642221732066</v>
      </c>
      <c r="J276" s="799">
        <f t="shared" si="0"/>
        <v>0.33544857254487243</v>
      </c>
      <c r="K276" s="799">
        <f>(L106+L135-L3-L4-L5-L8+L191)/(L132+L109+L11-L133-L108-L240)</f>
        <v>0.95414871623717323</v>
      </c>
      <c r="L276" s="799">
        <f t="shared" ref="L276:T276" si="1">(L106+L135-L3-L4-L5-L8+L191)/(L132+L109+L11-L133-L108-L240)</f>
        <v>0.95414871623717323</v>
      </c>
      <c r="M276" s="799">
        <f t="shared" si="1"/>
        <v>0.79926370863060836</v>
      </c>
      <c r="N276" s="799" t="e">
        <f t="shared" si="1"/>
        <v>#DIV/0!</v>
      </c>
      <c r="O276" s="799">
        <f t="shared" si="1"/>
        <v>3.9516137217091241</v>
      </c>
      <c r="P276" s="799">
        <f t="shared" si="1"/>
        <v>5.4538461393287774</v>
      </c>
      <c r="Q276" s="799">
        <f t="shared" si="1"/>
        <v>0.58419898648689894</v>
      </c>
      <c r="R276" s="799">
        <f t="shared" si="1"/>
        <v>4.5218443361591349</v>
      </c>
      <c r="S276" s="799">
        <f t="shared" si="1"/>
        <v>1.2372865736781575</v>
      </c>
      <c r="T276" s="799">
        <f t="shared" si="1"/>
        <v>0.56633760701265723</v>
      </c>
      <c r="V276" s="799">
        <f t="shared" ref="V276:AU276" si="2">(V106+V135-V3-V4-V5-V8+V191)/(V132+V109+V11-V133-V108-V240)</f>
        <v>1.3308653798796903</v>
      </c>
      <c r="W276" s="799">
        <f t="shared" si="2"/>
        <v>0.3925914627574128</v>
      </c>
      <c r="X276" s="799">
        <f t="shared" si="2"/>
        <v>0.69496602569591848</v>
      </c>
      <c r="Y276" s="799">
        <f t="shared" si="2"/>
        <v>8.5918954471267455</v>
      </c>
      <c r="Z276" s="799">
        <f t="shared" si="2"/>
        <v>1.5551109192856842</v>
      </c>
      <c r="AA276" s="799">
        <f t="shared" si="2"/>
        <v>0.65454661129982261</v>
      </c>
      <c r="AB276" s="799">
        <f t="shared" si="2"/>
        <v>2.8622469884454644</v>
      </c>
      <c r="AC276" s="799">
        <f t="shared" si="2"/>
        <v>0.26760632515955718</v>
      </c>
      <c r="AD276" s="799" t="e">
        <f t="shared" si="2"/>
        <v>#DIV/0!</v>
      </c>
      <c r="AE276" s="799">
        <f t="shared" si="2"/>
        <v>0.96289620508215656</v>
      </c>
      <c r="AF276" s="799">
        <f t="shared" si="2"/>
        <v>2.5723342046403839</v>
      </c>
      <c r="AG276" s="799">
        <f t="shared" si="2"/>
        <v>0.58113123792403931</v>
      </c>
      <c r="AH276" s="799">
        <f t="shared" si="2"/>
        <v>3.3541721883356761</v>
      </c>
      <c r="AI276" s="799">
        <f t="shared" si="2"/>
        <v>1.0346311871237868</v>
      </c>
      <c r="AJ276" s="799">
        <f t="shared" si="2"/>
        <v>0.66867602498801781</v>
      </c>
      <c r="AK276" s="799">
        <f t="shared" si="2"/>
        <v>4.9759807683166164</v>
      </c>
      <c r="AL276" s="799">
        <f t="shared" si="2"/>
        <v>2.5824074958247181</v>
      </c>
      <c r="AM276" s="799">
        <f t="shared" si="2"/>
        <v>0.7773165303057028</v>
      </c>
      <c r="AN276" s="799">
        <f t="shared" si="2"/>
        <v>0.30694332197834939</v>
      </c>
      <c r="AO276" s="799">
        <f t="shared" si="2"/>
        <v>0.69544775500659572</v>
      </c>
      <c r="AP276" s="799">
        <f t="shared" si="2"/>
        <v>1.0945957845772922</v>
      </c>
      <c r="AQ276" s="799">
        <f t="shared" si="2"/>
        <v>9.802477944617447</v>
      </c>
      <c r="AR276" s="799">
        <f t="shared" si="2"/>
        <v>1.3246605441472494</v>
      </c>
      <c r="AS276" s="799">
        <f t="shared" si="2"/>
        <v>1.1160504604218395</v>
      </c>
      <c r="AT276" s="799">
        <f t="shared" si="2"/>
        <v>3.4806814385925842</v>
      </c>
      <c r="AU276" s="799">
        <f t="shared" si="2"/>
        <v>11.200298139323259</v>
      </c>
      <c r="AV276" s="799">
        <f>(AW106+AW135-AW3-AW4-AW5-AW8+AW191)/(AW132+AW109+AW11-AW133-AW108-AW240)</f>
        <v>0.89203804060328917</v>
      </c>
      <c r="AW276" s="799">
        <f t="shared" ref="AW276:BR276" si="3">(AW106+AW135-AW3-AW4-AW5-AW8+AW191)/(AW132+AW109+AW11-AW133-AW108-AW240)</f>
        <v>0.89203804060328917</v>
      </c>
      <c r="AX276" s="799">
        <f t="shared" si="3"/>
        <v>1.0268121021521672</v>
      </c>
      <c r="AY276" s="799">
        <f t="shared" si="3"/>
        <v>0.59990527981969954</v>
      </c>
      <c r="AZ276" s="799">
        <f t="shared" si="3"/>
        <v>3.9990544543911395</v>
      </c>
      <c r="BA276" s="799">
        <f t="shared" si="3"/>
        <v>0.35032477751430996</v>
      </c>
      <c r="BB276" s="799">
        <f t="shared" si="3"/>
        <v>2.7183956975016557</v>
      </c>
      <c r="BC276" s="799">
        <f t="shared" si="3"/>
        <v>0.42769248478758071</v>
      </c>
      <c r="BD276" s="799">
        <f t="shared" si="3"/>
        <v>2.5355912869188257</v>
      </c>
      <c r="BE276" s="799">
        <f t="shared" si="3"/>
        <v>1.5245948264436033</v>
      </c>
      <c r="BF276" s="799">
        <f t="shared" si="3"/>
        <v>1.7639498881366074</v>
      </c>
      <c r="BG276" s="799">
        <f t="shared" si="3"/>
        <v>1.3358552325324997</v>
      </c>
      <c r="BH276" s="799">
        <f t="shared" si="3"/>
        <v>0.80992626254711975</v>
      </c>
      <c r="BI276" s="799">
        <f t="shared" si="3"/>
        <v>0.91753330591321258</v>
      </c>
      <c r="BJ276" s="799">
        <f t="shared" si="3"/>
        <v>0.46757949858173758</v>
      </c>
      <c r="BK276" s="799">
        <f t="shared" si="3"/>
        <v>1.8983243202071749</v>
      </c>
      <c r="BL276" s="799">
        <f t="shared" si="3"/>
        <v>4.1053716851117139</v>
      </c>
      <c r="BM276" s="799">
        <f t="shared" si="3"/>
        <v>1.382946634695756</v>
      </c>
      <c r="BN276" s="799">
        <f t="shared" si="3"/>
        <v>0.65536244171259006</v>
      </c>
      <c r="BO276" s="799">
        <f t="shared" si="3"/>
        <v>0.96003621040576281</v>
      </c>
      <c r="BP276" s="799">
        <f t="shared" si="3"/>
        <v>2.5148857994041709</v>
      </c>
      <c r="BQ276" s="799">
        <f t="shared" si="3"/>
        <v>2.1196677431406767</v>
      </c>
      <c r="BR276" s="799">
        <f t="shared" si="3"/>
        <v>0.55187416367508624</v>
      </c>
      <c r="BS276" s="799">
        <f t="shared" ref="BS276:CA276" si="4">(BS106+BS135-BS3-BS4-BS5-BS8+BS191)/(BS132+BS109+BS11-BS133-BS108-BS240)</f>
        <v>8.2927418441277876</v>
      </c>
      <c r="BT276" s="799">
        <f t="shared" si="4"/>
        <v>2.7636911007678351</v>
      </c>
      <c r="BU276" s="799">
        <f t="shared" si="4"/>
        <v>2.6470065626939987</v>
      </c>
      <c r="BV276" s="799">
        <f t="shared" si="4"/>
        <v>0.82985962870454144</v>
      </c>
      <c r="BW276" s="799">
        <f t="shared" si="4"/>
        <v>1.0780086548704384</v>
      </c>
      <c r="BX276" s="799" t="e">
        <f t="shared" si="4"/>
        <v>#DIV/0!</v>
      </c>
      <c r="BY276" s="799" t="e">
        <f t="shared" si="4"/>
        <v>#DIV/0!</v>
      </c>
      <c r="BZ276" s="799">
        <f t="shared" si="4"/>
        <v>0.34008569176273634</v>
      </c>
      <c r="CA276" s="799">
        <f t="shared" si="4"/>
        <v>4.0262324138695025</v>
      </c>
      <c r="CB276" s="799" t="e">
        <f t="shared" ref="CB276:CD276" si="5">(CB106+CB135-CB3-CB4-CB5-CB8+CB191)/(CB132+CB109+CB11-CB133-CB108-CB240)</f>
        <v>#DIV/0!</v>
      </c>
      <c r="CC276" s="799">
        <f t="shared" si="5"/>
        <v>0.55444751102816625</v>
      </c>
      <c r="CD276" s="799">
        <f t="shared" si="5"/>
        <v>0.54722897146242722</v>
      </c>
      <c r="CE276" s="799">
        <f t="shared" ref="CE276:CS276" si="6">(CE106+CE135-CE3-CE4-CE5-CE8+CE191)/(CE132+CE109+CE11-CE133-CE108-CE240)</f>
        <v>0.41357840646445793</v>
      </c>
      <c r="CF276" s="799">
        <f t="shared" si="6"/>
        <v>0.57666925991724827</v>
      </c>
      <c r="CG276" s="799">
        <f t="shared" si="6"/>
        <v>0.73560794971397114</v>
      </c>
      <c r="CH276" s="799">
        <f t="shared" si="6"/>
        <v>0.29155696051116015</v>
      </c>
      <c r="CI276" s="799">
        <f t="shared" si="6"/>
        <v>0.76729142759561086</v>
      </c>
      <c r="CJ276" s="799">
        <f t="shared" si="6"/>
        <v>0.4614433031567316</v>
      </c>
      <c r="CK276" s="799">
        <f t="shared" si="6"/>
        <v>1.2949478924538478</v>
      </c>
      <c r="CL276" s="799">
        <f t="shared" si="6"/>
        <v>1.9655823336283669</v>
      </c>
      <c r="CM276" s="799">
        <f t="shared" si="6"/>
        <v>1.0816777443376584</v>
      </c>
      <c r="CN276" s="799">
        <f t="shared" si="6"/>
        <v>2.4156732663004044</v>
      </c>
      <c r="CO276" s="799">
        <f t="shared" si="6"/>
        <v>1.3850014301761959</v>
      </c>
      <c r="CP276" s="799">
        <f t="shared" si="6"/>
        <v>1.1952511127664598</v>
      </c>
      <c r="CQ276" s="799">
        <f t="shared" si="6"/>
        <v>1.4471979964879738</v>
      </c>
      <c r="CR276" s="799">
        <f t="shared" si="6"/>
        <v>1.3684089256519867</v>
      </c>
      <c r="CS276" s="799">
        <f t="shared" si="6"/>
        <v>1.303438640368132</v>
      </c>
    </row>
    <row r="277" spans="1:104" s="571" customFormat="1" ht="25.2" customHeight="1" x14ac:dyDescent="0.3">
      <c r="A277" s="570" t="s">
        <v>1941</v>
      </c>
      <c r="B277" s="571" t="s">
        <v>1942</v>
      </c>
      <c r="D277" s="982" t="e">
        <f t="shared" ref="D277:AI277" si="7">1-((D123+D124+D125+D126)/(D115+D116+D117+D118))</f>
        <v>#DIV/0!</v>
      </c>
      <c r="E277" s="982" t="e">
        <f t="shared" si="7"/>
        <v>#DIV/0!</v>
      </c>
      <c r="F277" s="982">
        <f t="shared" si="7"/>
        <v>0.55928470935185892</v>
      </c>
      <c r="G277" s="982" t="e">
        <f t="shared" si="7"/>
        <v>#DIV/0!</v>
      </c>
      <c r="H277" s="982" t="e">
        <f t="shared" si="7"/>
        <v>#DIV/0!</v>
      </c>
      <c r="I277" s="982">
        <f t="shared" si="7"/>
        <v>0.58253153616599695</v>
      </c>
      <c r="J277" s="982">
        <f t="shared" si="7"/>
        <v>0.59146343913696009</v>
      </c>
      <c r="K277" s="982" t="e">
        <f t="shared" si="7"/>
        <v>#DIV/0!</v>
      </c>
      <c r="L277" s="982">
        <f t="shared" si="7"/>
        <v>0.18122901876769903</v>
      </c>
      <c r="M277" s="982">
        <f t="shared" si="7"/>
        <v>0.44279796404442251</v>
      </c>
      <c r="N277" s="982" t="e">
        <f t="shared" si="7"/>
        <v>#DIV/0!</v>
      </c>
      <c r="O277" s="982" t="e">
        <f t="shared" si="7"/>
        <v>#DIV/0!</v>
      </c>
      <c r="P277" s="982">
        <f t="shared" si="7"/>
        <v>0.58747067269574882</v>
      </c>
      <c r="Q277" s="982">
        <f t="shared" si="7"/>
        <v>0.65857262298002994</v>
      </c>
      <c r="R277" s="982" t="e">
        <f t="shared" si="7"/>
        <v>#DIV/0!</v>
      </c>
      <c r="S277" s="982">
        <f t="shared" si="7"/>
        <v>0.65698170250838528</v>
      </c>
      <c r="T277" s="982" t="e">
        <f t="shared" si="7"/>
        <v>#DIV/0!</v>
      </c>
      <c r="U277" s="982" t="e">
        <f t="shared" si="7"/>
        <v>#DIV/0!</v>
      </c>
      <c r="V277" s="982" t="e">
        <f t="shared" si="7"/>
        <v>#DIV/0!</v>
      </c>
      <c r="W277" s="982">
        <f t="shared" si="7"/>
        <v>0.6445150503438668</v>
      </c>
      <c r="X277" s="982" t="e">
        <f t="shared" si="7"/>
        <v>#DIV/0!</v>
      </c>
      <c r="Y277" s="982">
        <f t="shared" si="7"/>
        <v>0.45804802133637967</v>
      </c>
      <c r="Z277" s="982" t="e">
        <f t="shared" si="7"/>
        <v>#DIV/0!</v>
      </c>
      <c r="AA277" s="982">
        <f t="shared" si="7"/>
        <v>0.62627359647861192</v>
      </c>
      <c r="AB277" s="982" t="e">
        <f t="shared" si="7"/>
        <v>#DIV/0!</v>
      </c>
      <c r="AC277" s="982">
        <f t="shared" si="7"/>
        <v>0.23036838933046033</v>
      </c>
      <c r="AD277" s="982" t="e">
        <f t="shared" si="7"/>
        <v>#DIV/0!</v>
      </c>
      <c r="AE277" s="982">
        <f t="shared" si="7"/>
        <v>0.28757402067238658</v>
      </c>
      <c r="AF277" s="982">
        <f t="shared" si="7"/>
        <v>0.56359216701081916</v>
      </c>
      <c r="AG277" s="982">
        <f t="shared" si="7"/>
        <v>0.32627863661335366</v>
      </c>
      <c r="AH277" s="982" t="e">
        <f t="shared" si="7"/>
        <v>#DIV/0!</v>
      </c>
      <c r="AI277" s="982">
        <f t="shared" si="7"/>
        <v>0.61850342606118902</v>
      </c>
      <c r="AJ277" s="982" t="e">
        <f t="shared" ref="AJ277:BR277" si="8">1-((AJ123+AJ124+AJ125+AJ126)/(AJ115+AJ116+AJ117+AJ118))</f>
        <v>#DIV/0!</v>
      </c>
      <c r="AK277" s="982">
        <f t="shared" si="8"/>
        <v>0.90794970204783343</v>
      </c>
      <c r="AL277" s="982">
        <f t="shared" si="8"/>
        <v>0.72865177296612926</v>
      </c>
      <c r="AM277" s="982">
        <f t="shared" si="8"/>
        <v>0.59492009518091393</v>
      </c>
      <c r="AN277" s="982">
        <f t="shared" si="8"/>
        <v>0.34814703161243987</v>
      </c>
      <c r="AO277" s="982">
        <f t="shared" si="8"/>
        <v>0.3338052760747996</v>
      </c>
      <c r="AP277" s="982">
        <f t="shared" si="8"/>
        <v>0.17326683063788795</v>
      </c>
      <c r="AQ277" s="982" t="e">
        <f t="shared" si="8"/>
        <v>#DIV/0!</v>
      </c>
      <c r="AR277" s="982">
        <f t="shared" si="8"/>
        <v>0.49067451206955381</v>
      </c>
      <c r="AS277" s="982">
        <f t="shared" si="8"/>
        <v>0.40278067746043589</v>
      </c>
      <c r="AT277" s="982" t="e">
        <f t="shared" si="8"/>
        <v>#DIV/0!</v>
      </c>
      <c r="AU277" s="982" t="e">
        <f t="shared" si="8"/>
        <v>#DIV/0!</v>
      </c>
      <c r="AV277" s="982" t="e">
        <f t="shared" si="8"/>
        <v>#DIV/0!</v>
      </c>
      <c r="AW277" s="982" t="e">
        <f t="shared" si="8"/>
        <v>#DIV/0!</v>
      </c>
      <c r="AX277" s="982">
        <f t="shared" si="8"/>
        <v>0.2815785972230811</v>
      </c>
      <c r="AY277" s="982">
        <f t="shared" si="8"/>
        <v>0.47624263973214798</v>
      </c>
      <c r="AZ277" s="982">
        <f t="shared" si="8"/>
        <v>0.5908491686387578</v>
      </c>
      <c r="BA277" s="982" t="e">
        <f t="shared" si="8"/>
        <v>#DIV/0!</v>
      </c>
      <c r="BB277" s="982" t="e">
        <f t="shared" si="8"/>
        <v>#DIV/0!</v>
      </c>
      <c r="BC277" s="982">
        <f t="shared" si="8"/>
        <v>0.45491141059654039</v>
      </c>
      <c r="BD277" s="982" t="e">
        <f t="shared" si="8"/>
        <v>#DIV/0!</v>
      </c>
      <c r="BE277" s="982">
        <f t="shared" si="8"/>
        <v>0.41285321800207297</v>
      </c>
      <c r="BF277" s="982">
        <f t="shared" si="8"/>
        <v>0.58622130120730875</v>
      </c>
      <c r="BG277" s="982">
        <f t="shared" si="8"/>
        <v>0.53341185913620859</v>
      </c>
      <c r="BH277" s="982">
        <f t="shared" si="8"/>
        <v>0.6606882266516827</v>
      </c>
      <c r="BI277" s="982">
        <f t="shared" si="8"/>
        <v>0.58728173369997561</v>
      </c>
      <c r="BJ277" s="982">
        <f t="shared" si="8"/>
        <v>0.38083075481456563</v>
      </c>
      <c r="BK277" s="982" t="e">
        <f t="shared" si="8"/>
        <v>#DIV/0!</v>
      </c>
      <c r="BL277" s="982" t="e">
        <f t="shared" si="8"/>
        <v>#DIV/0!</v>
      </c>
      <c r="BM277" s="982" t="e">
        <f t="shared" si="8"/>
        <v>#DIV/0!</v>
      </c>
      <c r="BN277" s="982">
        <f t="shared" si="8"/>
        <v>0.34308117920712955</v>
      </c>
      <c r="BO277" s="982">
        <f t="shared" si="8"/>
        <v>0.52313744217670233</v>
      </c>
      <c r="BP277" s="982" t="e">
        <f t="shared" si="8"/>
        <v>#DIV/0!</v>
      </c>
      <c r="BQ277" s="982" t="e">
        <f t="shared" si="8"/>
        <v>#DIV/0!</v>
      </c>
      <c r="BR277" s="982">
        <f t="shared" si="8"/>
        <v>0.43862672577561235</v>
      </c>
      <c r="BS277" s="982" t="e">
        <f t="shared" ref="BS277:CA277" si="9">1-((BS123+BS124+BS125+BS126)/(BS115+BS116+BS117+BS118))</f>
        <v>#DIV/0!</v>
      </c>
      <c r="BT277" s="982" t="e">
        <f t="shared" si="9"/>
        <v>#DIV/0!</v>
      </c>
      <c r="BU277" s="982" t="e">
        <f t="shared" si="9"/>
        <v>#DIV/0!</v>
      </c>
      <c r="BV277" s="982">
        <f t="shared" si="9"/>
        <v>0.55406892721983991</v>
      </c>
      <c r="BW277" s="982" t="e">
        <f t="shared" si="9"/>
        <v>#DIV/0!</v>
      </c>
      <c r="BX277" s="982" t="e">
        <f t="shared" si="9"/>
        <v>#DIV/0!</v>
      </c>
      <c r="BY277" s="982" t="e">
        <f t="shared" si="9"/>
        <v>#DIV/0!</v>
      </c>
      <c r="BZ277" s="982">
        <f t="shared" si="9"/>
        <v>0.53831581576766074</v>
      </c>
      <c r="CA277" s="982">
        <f t="shared" si="9"/>
        <v>0.75416594064006504</v>
      </c>
      <c r="CB277" s="982" t="e">
        <f t="shared" ref="CB277:CD277" si="10">1-((CB123+CB124+CB125+CB126)/(CB115+CB116+CB117+CB118))</f>
        <v>#DIV/0!</v>
      </c>
      <c r="CC277" s="982">
        <f t="shared" si="10"/>
        <v>0.39573805624724601</v>
      </c>
      <c r="CD277" s="982" t="e">
        <f t="shared" si="10"/>
        <v>#DIV/0!</v>
      </c>
      <c r="CE277" s="982">
        <f t="shared" ref="CE277:CS277" si="11">1-((CE123+CE124+CE125+CE126)/(CE115+CE116+CE117+CE118))</f>
        <v>0.51325690626899778</v>
      </c>
      <c r="CF277" s="982">
        <f t="shared" si="11"/>
        <v>0.91432714264809867</v>
      </c>
      <c r="CG277" s="982">
        <f t="shared" si="11"/>
        <v>0.45715241191894584</v>
      </c>
      <c r="CH277" s="982">
        <f t="shared" si="11"/>
        <v>0.58145689736785633</v>
      </c>
      <c r="CI277" s="982">
        <f t="shared" si="11"/>
        <v>0.69375614156007259</v>
      </c>
      <c r="CJ277" s="982">
        <f t="shared" si="11"/>
        <v>0.60074992280980721</v>
      </c>
      <c r="CK277" s="982">
        <f t="shared" si="11"/>
        <v>0.48704118191319712</v>
      </c>
      <c r="CL277" s="982">
        <f t="shared" si="11"/>
        <v>0.37964469328569539</v>
      </c>
      <c r="CM277" s="982" t="e">
        <f t="shared" si="11"/>
        <v>#DIV/0!</v>
      </c>
      <c r="CN277" s="982">
        <f t="shared" si="11"/>
        <v>0.43050476687591177</v>
      </c>
      <c r="CO277" s="982">
        <f t="shared" si="11"/>
        <v>0.3313827109139712</v>
      </c>
      <c r="CP277" s="982">
        <f t="shared" si="11"/>
        <v>0.35749580672462877</v>
      </c>
      <c r="CQ277" s="982">
        <f t="shared" si="11"/>
        <v>0.57638056284487438</v>
      </c>
      <c r="CR277" s="982" t="e">
        <f t="shared" si="11"/>
        <v>#DIV/0!</v>
      </c>
      <c r="CS277" s="982" t="e">
        <f t="shared" si="11"/>
        <v>#DIV/0!</v>
      </c>
    </row>
    <row r="278" spans="1:104" s="562" customFormat="1" x14ac:dyDescent="0.3">
      <c r="A278" s="561"/>
      <c r="D278" s="949"/>
      <c r="E278" s="949"/>
      <c r="F278" s="949"/>
      <c r="G278" s="949"/>
      <c r="H278" s="949"/>
      <c r="I278" s="949"/>
      <c r="J278" s="949"/>
      <c r="K278" s="949"/>
      <c r="L278"/>
      <c r="M278" s="949"/>
      <c r="N278" s="949"/>
      <c r="O278" s="949"/>
      <c r="P278" s="949"/>
      <c r="Q278" s="949"/>
      <c r="R278" s="949"/>
      <c r="S278" s="949"/>
      <c r="T278" s="949"/>
      <c r="U278" s="949"/>
      <c r="V278" s="949"/>
      <c r="W278" s="949"/>
      <c r="X278" s="949"/>
      <c r="Y278" s="949"/>
      <c r="Z278" s="949"/>
      <c r="AA278" s="949"/>
      <c r="AB278" s="949"/>
      <c r="AC278" s="949"/>
      <c r="AD278" s="949"/>
      <c r="AE278" s="949"/>
      <c r="AF278" s="949"/>
      <c r="AG278" s="949"/>
      <c r="AH278" s="949"/>
      <c r="AI278" s="949"/>
      <c r="AJ278" s="949"/>
      <c r="AK278" s="949"/>
      <c r="AL278" s="949"/>
      <c r="AM278" s="949"/>
      <c r="AN278" s="949"/>
      <c r="AO278" s="949"/>
      <c r="AP278" s="949"/>
      <c r="AQ278" s="949"/>
      <c r="AR278" s="949"/>
      <c r="AS278" s="949"/>
      <c r="AT278" s="949"/>
      <c r="AU278" s="949"/>
      <c r="AV278" s="949"/>
      <c r="AW278" s="949"/>
      <c r="AX278" s="949"/>
      <c r="AY278" s="949"/>
      <c r="AZ278" s="949"/>
      <c r="BA278" s="949"/>
      <c r="BB278" s="949"/>
      <c r="BC278" s="949"/>
      <c r="BD278" s="949"/>
      <c r="BE278" s="949"/>
      <c r="BF278" s="949"/>
      <c r="BG278" s="949"/>
      <c r="BH278" s="949"/>
      <c r="BI278" s="949"/>
      <c r="BJ278" s="949"/>
      <c r="BK278" s="949"/>
      <c r="BL278" s="949"/>
      <c r="BM278" s="949"/>
      <c r="BN278" s="949"/>
      <c r="BO278" s="949"/>
      <c r="BP278" s="949"/>
      <c r="BQ278" s="949"/>
      <c r="BR278" s="949"/>
    </row>
    <row r="279" spans="1:104" s="562" customFormat="1" x14ac:dyDescent="0.3">
      <c r="A279" s="561"/>
      <c r="D279" s="949"/>
      <c r="E279" s="949"/>
      <c r="F279" s="949"/>
      <c r="G279" s="949"/>
      <c r="H279" s="949"/>
      <c r="I279" s="949"/>
      <c r="J279" s="949"/>
      <c r="K279" s="949"/>
      <c r="L279"/>
      <c r="M279" s="949"/>
      <c r="N279" s="949"/>
      <c r="O279" s="949"/>
      <c r="P279" s="949"/>
      <c r="Q279" s="949"/>
      <c r="R279" s="949"/>
      <c r="S279" s="949"/>
      <c r="T279" s="949"/>
      <c r="U279" s="949"/>
      <c r="V279" s="949"/>
      <c r="W279" s="949"/>
      <c r="X279" s="949"/>
      <c r="Y279" s="949"/>
      <c r="Z279" s="949"/>
      <c r="AA279" s="949"/>
      <c r="AB279" s="949"/>
      <c r="AC279" s="949"/>
      <c r="AD279" s="949"/>
      <c r="AE279" s="949"/>
      <c r="AF279" s="949"/>
      <c r="AG279" s="949"/>
      <c r="AH279" s="949"/>
      <c r="AI279" s="949"/>
      <c r="AJ279" s="949"/>
      <c r="AK279" s="949"/>
      <c r="AL279" s="949"/>
      <c r="AM279" s="949"/>
      <c r="AN279" s="949"/>
      <c r="AO279" s="949"/>
      <c r="AP279" s="949"/>
      <c r="AQ279" s="949"/>
      <c r="AR279" s="949"/>
      <c r="AS279" s="949"/>
      <c r="AT279" s="949"/>
      <c r="AU279" s="949"/>
      <c r="AV279" s="949"/>
      <c r="AW279" s="949"/>
      <c r="AX279" s="949"/>
      <c r="AY279" s="949"/>
      <c r="AZ279" s="949"/>
      <c r="BA279" s="949"/>
      <c r="BB279" s="949"/>
      <c r="BC279" s="949"/>
      <c r="BD279" s="949"/>
      <c r="BE279" s="949"/>
      <c r="BF279" s="949"/>
      <c r="BG279" s="949"/>
      <c r="BH279" s="949"/>
      <c r="BI279" s="949"/>
      <c r="BJ279" s="949"/>
      <c r="BK279" s="949"/>
      <c r="BL279" s="949"/>
      <c r="BM279" s="949"/>
      <c r="BN279" s="949"/>
      <c r="BO279" s="949"/>
      <c r="BP279" s="949"/>
      <c r="BQ279" s="949"/>
      <c r="BR279" s="949"/>
    </row>
    <row r="280" spans="1:104" x14ac:dyDescent="0.3">
      <c r="B280" s="180"/>
      <c r="C280" s="180" t="s">
        <v>1723</v>
      </c>
      <c r="D280" s="574">
        <f t="shared" ref="D280:AI280" si="12">D257</f>
        <v>8668283</v>
      </c>
      <c r="E280" s="574">
        <f t="shared" si="12"/>
        <v>94152418.609999999</v>
      </c>
      <c r="F280" s="574">
        <f t="shared" si="12"/>
        <v>97379657.566499993</v>
      </c>
      <c r="G280" s="574">
        <f t="shared" si="12"/>
        <v>7413257.5549999997</v>
      </c>
      <c r="H280" s="574">
        <f t="shared" si="12"/>
        <v>290192701.88599998</v>
      </c>
      <c r="I280" s="574">
        <f t="shared" si="12"/>
        <v>49794849.090000004</v>
      </c>
      <c r="J280" s="574">
        <f t="shared" si="12"/>
        <v>161255378.41</v>
      </c>
      <c r="K280" s="574">
        <f t="shared" si="12"/>
        <v>50425.1</v>
      </c>
      <c r="L280" s="574">
        <f t="shared" si="12"/>
        <v>35093437.030000001</v>
      </c>
      <c r="M280" s="574">
        <f t="shared" si="12"/>
        <v>2270835790.6199999</v>
      </c>
      <c r="N280" s="574">
        <f t="shared" si="12"/>
        <v>50428.01</v>
      </c>
      <c r="O280" s="574">
        <f t="shared" si="12"/>
        <v>15973474.609999999</v>
      </c>
      <c r="P280" s="574">
        <f t="shared" si="12"/>
        <v>60180116.009999998</v>
      </c>
      <c r="Q280" s="574">
        <f t="shared" si="12"/>
        <v>67432201.049999997</v>
      </c>
      <c r="R280" s="574">
        <f t="shared" si="12"/>
        <v>2885884.04</v>
      </c>
      <c r="S280" s="574">
        <f t="shared" si="12"/>
        <v>26352478.73</v>
      </c>
      <c r="T280" s="574">
        <f t="shared" si="12"/>
        <v>41600508.649999999</v>
      </c>
      <c r="U280" s="574">
        <f t="shared" si="12"/>
        <v>88575832.607500002</v>
      </c>
      <c r="V280" s="574">
        <f t="shared" si="12"/>
        <v>218581726.15000001</v>
      </c>
      <c r="W280" s="574">
        <f t="shared" si="12"/>
        <v>666921641.78999996</v>
      </c>
      <c r="X280" s="574">
        <f t="shared" si="12"/>
        <v>125297326.14</v>
      </c>
      <c r="Y280" s="574">
        <f t="shared" si="12"/>
        <v>80079165.010000005</v>
      </c>
      <c r="Z280" s="574">
        <f t="shared" si="12"/>
        <v>156593234.465</v>
      </c>
      <c r="AA280" s="574">
        <f t="shared" si="12"/>
        <v>154142980.16</v>
      </c>
      <c r="AB280" s="574">
        <f t="shared" si="12"/>
        <v>1632289.86</v>
      </c>
      <c r="AC280" s="574">
        <f t="shared" si="12"/>
        <v>805480743.38999999</v>
      </c>
      <c r="AD280" s="574">
        <f t="shared" si="12"/>
        <v>50439.01</v>
      </c>
      <c r="AE280" s="574">
        <f t="shared" si="12"/>
        <v>55805874.710000001</v>
      </c>
      <c r="AF280" s="574">
        <f t="shared" si="12"/>
        <v>26575445.460000001</v>
      </c>
      <c r="AG280" s="574">
        <f t="shared" si="12"/>
        <v>1115833350.3900001</v>
      </c>
      <c r="AH280" s="574">
        <f t="shared" si="12"/>
        <v>29767003.289999999</v>
      </c>
      <c r="AI280" s="574">
        <f t="shared" si="12"/>
        <v>168256501.06</v>
      </c>
      <c r="AJ280" s="574">
        <f t="shared" ref="AJ280:CS280" si="13">AJ257</f>
        <v>58408118.600000001</v>
      </c>
      <c r="AK280" s="574">
        <f t="shared" si="13"/>
        <v>37760082.899999999</v>
      </c>
      <c r="AL280" s="574">
        <f t="shared" si="13"/>
        <v>244769830.63</v>
      </c>
      <c r="AM280" s="574">
        <f t="shared" si="13"/>
        <v>228986903.84</v>
      </c>
      <c r="AN280" s="574">
        <f t="shared" si="13"/>
        <v>137166409.38999999</v>
      </c>
      <c r="AO280" s="574">
        <f t="shared" si="13"/>
        <v>106313242.37100001</v>
      </c>
      <c r="AP280" s="574">
        <f t="shared" si="13"/>
        <v>5914283.5700000003</v>
      </c>
      <c r="AQ280" s="574">
        <f t="shared" si="13"/>
        <v>28572715.710000001</v>
      </c>
      <c r="AR280" s="574">
        <f t="shared" si="13"/>
        <v>319682580.75999999</v>
      </c>
      <c r="AS280" s="574">
        <f t="shared" si="13"/>
        <v>49178197.289999999</v>
      </c>
      <c r="AT280" s="574">
        <f t="shared" si="13"/>
        <v>7568368.3300000001</v>
      </c>
      <c r="AU280" s="574">
        <f t="shared" si="13"/>
        <v>18601427.879999999</v>
      </c>
      <c r="AV280" s="574">
        <f t="shared" si="13"/>
        <v>17536587.225000001</v>
      </c>
      <c r="AW280" s="574">
        <f t="shared" si="13"/>
        <v>2771093.71</v>
      </c>
      <c r="AX280" s="574">
        <f t="shared" si="13"/>
        <v>14473751.18</v>
      </c>
      <c r="AY280" s="574">
        <f t="shared" si="13"/>
        <v>217947303.41600001</v>
      </c>
      <c r="AZ280" s="574">
        <f t="shared" si="13"/>
        <v>38060166.950000003</v>
      </c>
      <c r="BA280" s="574">
        <f t="shared" si="13"/>
        <v>2228046385.915</v>
      </c>
      <c r="BB280" s="574">
        <f t="shared" si="13"/>
        <v>78589670.120000005</v>
      </c>
      <c r="BC280" s="574">
        <f t="shared" si="13"/>
        <v>221400425.06999999</v>
      </c>
      <c r="BD280" s="574">
        <f t="shared" si="13"/>
        <v>46629288.859999999</v>
      </c>
      <c r="BE280" s="574">
        <f t="shared" si="13"/>
        <v>62577635.390000001</v>
      </c>
      <c r="BF280" s="574">
        <f t="shared" si="13"/>
        <v>65751828.259999998</v>
      </c>
      <c r="BG280" s="574">
        <f t="shared" si="13"/>
        <v>19327471.260000002</v>
      </c>
      <c r="BH280" s="574">
        <f t="shared" si="13"/>
        <v>83619293.760000005</v>
      </c>
      <c r="BI280" s="574">
        <f t="shared" si="13"/>
        <v>182136777.09999999</v>
      </c>
      <c r="BJ280" s="574">
        <f t="shared" si="13"/>
        <v>1211707057.5599999</v>
      </c>
      <c r="BK280" s="574">
        <f t="shared" si="13"/>
        <v>7480956.6200000001</v>
      </c>
      <c r="BL280" s="574">
        <f t="shared" si="13"/>
        <v>3540153.08</v>
      </c>
      <c r="BM280" s="574">
        <f t="shared" si="13"/>
        <v>541728971.85500002</v>
      </c>
      <c r="BN280" s="574">
        <f t="shared" si="13"/>
        <v>712704401.9892</v>
      </c>
      <c r="BO280" s="574">
        <f t="shared" si="13"/>
        <v>264664110.00999999</v>
      </c>
      <c r="BP280" s="574">
        <f t="shared" si="13"/>
        <v>4016910.79</v>
      </c>
      <c r="BQ280" s="574">
        <f t="shared" si="13"/>
        <v>60975614.188000001</v>
      </c>
      <c r="BR280" s="574">
        <f t="shared" si="13"/>
        <v>98785413.060000002</v>
      </c>
      <c r="BS280" s="574">
        <f t="shared" si="13"/>
        <v>364417276.88</v>
      </c>
      <c r="BT280" s="574">
        <f t="shared" si="13"/>
        <v>40129972</v>
      </c>
      <c r="BU280" s="574">
        <f t="shared" si="13"/>
        <v>26170598.120000001</v>
      </c>
      <c r="BV280" s="574">
        <f t="shared" si="13"/>
        <v>114715828.5</v>
      </c>
      <c r="BW280" s="574">
        <f t="shared" si="13"/>
        <v>104394418.33</v>
      </c>
      <c r="BX280" s="574">
        <f t="shared" si="13"/>
        <v>50470.01</v>
      </c>
      <c r="BY280" s="574">
        <f t="shared" si="13"/>
        <v>50471.01</v>
      </c>
      <c r="BZ280" s="574">
        <f t="shared" si="13"/>
        <v>252540283.91</v>
      </c>
      <c r="CA280" s="574">
        <f t="shared" si="13"/>
        <v>10699487.609999999</v>
      </c>
      <c r="CB280" s="574">
        <f t="shared" si="13"/>
        <v>50473.01</v>
      </c>
      <c r="CC280" s="574">
        <f t="shared" si="13"/>
        <v>336812972.94999999</v>
      </c>
      <c r="CD280" s="574">
        <f t="shared" si="13"/>
        <v>4587609539.665</v>
      </c>
      <c r="CE280" s="574">
        <f t="shared" si="13"/>
        <v>3920225163.8850002</v>
      </c>
      <c r="CF280" s="574">
        <f t="shared" si="13"/>
        <v>62621524.420000002</v>
      </c>
      <c r="CG280" s="574">
        <f t="shared" si="13"/>
        <v>224267441.51499999</v>
      </c>
      <c r="CH280" s="574">
        <f t="shared" si="13"/>
        <v>34705578.82</v>
      </c>
      <c r="CI280" s="574">
        <f t="shared" si="13"/>
        <v>128171607.73</v>
      </c>
      <c r="CJ280" s="574">
        <f t="shared" si="13"/>
        <v>13346863317.1024</v>
      </c>
      <c r="CK280" s="574">
        <f t="shared" si="13"/>
        <v>545445684.45500004</v>
      </c>
      <c r="CL280" s="574">
        <f t="shared" si="13"/>
        <v>45237018.710000001</v>
      </c>
      <c r="CM280" s="574">
        <f t="shared" si="13"/>
        <v>123444284.90000001</v>
      </c>
      <c r="CN280" s="574">
        <f t="shared" si="13"/>
        <v>39749018.210000001</v>
      </c>
      <c r="CO280" s="574">
        <f t="shared" si="13"/>
        <v>468257452.9023</v>
      </c>
      <c r="CP280" s="574">
        <f t="shared" si="13"/>
        <v>177925350.16</v>
      </c>
      <c r="CQ280" s="574">
        <f t="shared" si="13"/>
        <v>107428228.04000001</v>
      </c>
      <c r="CR280" s="574">
        <f t="shared" si="13"/>
        <v>81009301.375</v>
      </c>
      <c r="CS280" s="574">
        <f t="shared" si="13"/>
        <v>445188784.77999997</v>
      </c>
      <c r="CT280" s="180"/>
      <c r="CU280" s="180"/>
    </row>
    <row r="281" spans="1:104" x14ac:dyDescent="0.3">
      <c r="B281" s="180"/>
      <c r="C281" s="180"/>
      <c r="D281" s="180"/>
      <c r="E281" s="180"/>
      <c r="F281" s="180"/>
      <c r="G281" s="180"/>
      <c r="H281" s="180"/>
      <c r="I281" s="180"/>
      <c r="J281" s="180"/>
      <c r="K281" s="180"/>
      <c r="L281" s="983" t="e">
        <f>L278/L279</f>
        <v>#DIV/0!</v>
      </c>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104" x14ac:dyDescent="0.3">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104" x14ac:dyDescent="0.3">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row>
    <row r="284" spans="1:104" x14ac:dyDescent="0.3">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row>
    <row r="285" spans="1:104" x14ac:dyDescent="0.3">
      <c r="A285" s="556">
        <v>906</v>
      </c>
      <c r="B285" s="180"/>
      <c r="C285" s="180">
        <v>204</v>
      </c>
      <c r="D285" s="180">
        <f t="shared" ref="D285:AI285" si="14">D203</f>
        <v>1</v>
      </c>
      <c r="E285" s="180">
        <f t="shared" si="14"/>
        <v>1</v>
      </c>
      <c r="F285" s="180">
        <f t="shared" si="14"/>
        <v>1</v>
      </c>
      <c r="G285" s="180">
        <f t="shared" si="14"/>
        <v>1</v>
      </c>
      <c r="H285" s="180">
        <f t="shared" si="14"/>
        <v>1</v>
      </c>
      <c r="I285" s="180">
        <f t="shared" si="14"/>
        <v>1</v>
      </c>
      <c r="J285" s="180">
        <f t="shared" si="14"/>
        <v>1</v>
      </c>
      <c r="K285" s="180">
        <f t="shared" si="14"/>
        <v>0</v>
      </c>
      <c r="L285" s="180">
        <f t="shared" si="14"/>
        <v>1</v>
      </c>
      <c r="M285" s="180">
        <f t="shared" si="14"/>
        <v>1</v>
      </c>
      <c r="N285" s="180">
        <f t="shared" si="14"/>
        <v>0</v>
      </c>
      <c r="O285" s="180">
        <f t="shared" si="14"/>
        <v>1</v>
      </c>
      <c r="P285" s="180">
        <f t="shared" si="14"/>
        <v>1</v>
      </c>
      <c r="Q285" s="180">
        <f t="shared" si="14"/>
        <v>1</v>
      </c>
      <c r="R285" s="180">
        <f t="shared" si="14"/>
        <v>1</v>
      </c>
      <c r="S285" s="180">
        <f t="shared" si="14"/>
        <v>1</v>
      </c>
      <c r="T285" s="180">
        <f t="shared" si="14"/>
        <v>1</v>
      </c>
      <c r="U285" s="180">
        <f t="shared" si="14"/>
        <v>1</v>
      </c>
      <c r="V285" s="180">
        <f t="shared" si="14"/>
        <v>1</v>
      </c>
      <c r="W285" s="180">
        <f t="shared" si="14"/>
        <v>1</v>
      </c>
      <c r="X285" s="180">
        <f t="shared" si="14"/>
        <v>1</v>
      </c>
      <c r="Y285" s="180">
        <f t="shared" si="14"/>
        <v>1</v>
      </c>
      <c r="Z285" s="180">
        <f t="shared" si="14"/>
        <v>1</v>
      </c>
      <c r="AA285" s="180">
        <f t="shared" si="14"/>
        <v>1</v>
      </c>
      <c r="AB285" s="180">
        <f t="shared" si="14"/>
        <v>1</v>
      </c>
      <c r="AC285" s="180">
        <f t="shared" si="14"/>
        <v>1</v>
      </c>
      <c r="AD285" s="180">
        <f t="shared" si="14"/>
        <v>0</v>
      </c>
      <c r="AE285" s="180">
        <f t="shared" si="14"/>
        <v>1</v>
      </c>
      <c r="AF285" s="180">
        <f t="shared" si="14"/>
        <v>1</v>
      </c>
      <c r="AG285" s="180">
        <f t="shared" si="14"/>
        <v>1</v>
      </c>
      <c r="AH285" s="180">
        <f t="shared" si="14"/>
        <v>1</v>
      </c>
      <c r="AI285" s="180">
        <f t="shared" si="14"/>
        <v>1</v>
      </c>
      <c r="AJ285" s="180">
        <f t="shared" ref="AJ285:BO285" si="15">AJ203</f>
        <v>1</v>
      </c>
      <c r="AK285" s="180">
        <f t="shared" si="15"/>
        <v>1</v>
      </c>
      <c r="AL285" s="180">
        <f t="shared" si="15"/>
        <v>1</v>
      </c>
      <c r="AM285" s="180">
        <f t="shared" si="15"/>
        <v>1</v>
      </c>
      <c r="AN285" s="180">
        <f t="shared" si="15"/>
        <v>1</v>
      </c>
      <c r="AO285" s="180">
        <f t="shared" si="15"/>
        <v>1</v>
      </c>
      <c r="AP285" s="180">
        <f t="shared" si="15"/>
        <v>1</v>
      </c>
      <c r="AQ285" s="180">
        <f t="shared" si="15"/>
        <v>1</v>
      </c>
      <c r="AR285" s="180">
        <f t="shared" si="15"/>
        <v>1</v>
      </c>
      <c r="AS285" s="180">
        <f t="shared" si="15"/>
        <v>1</v>
      </c>
      <c r="AT285" s="180">
        <f t="shared" si="15"/>
        <v>1</v>
      </c>
      <c r="AU285" s="180">
        <f t="shared" si="15"/>
        <v>1</v>
      </c>
      <c r="AV285" s="180">
        <f t="shared" si="15"/>
        <v>1</v>
      </c>
      <c r="AW285" s="180">
        <f t="shared" si="15"/>
        <v>1</v>
      </c>
      <c r="AX285" s="180">
        <f t="shared" si="15"/>
        <v>1</v>
      </c>
      <c r="AY285" s="180">
        <f t="shared" si="15"/>
        <v>1</v>
      </c>
      <c r="AZ285" s="180">
        <f t="shared" si="15"/>
        <v>1</v>
      </c>
      <c r="BA285" s="180">
        <f t="shared" si="15"/>
        <v>1</v>
      </c>
      <c r="BB285" s="180">
        <f t="shared" si="15"/>
        <v>1</v>
      </c>
      <c r="BC285" s="180">
        <f t="shared" si="15"/>
        <v>1</v>
      </c>
      <c r="BD285" s="180">
        <f t="shared" si="15"/>
        <v>1</v>
      </c>
      <c r="BE285" s="180">
        <f t="shared" si="15"/>
        <v>1</v>
      </c>
      <c r="BF285" s="180">
        <f t="shared" si="15"/>
        <v>1</v>
      </c>
      <c r="BG285" s="180">
        <f t="shared" si="15"/>
        <v>1</v>
      </c>
      <c r="BH285" s="180">
        <f t="shared" si="15"/>
        <v>1</v>
      </c>
      <c r="BI285" s="180">
        <f t="shared" si="15"/>
        <v>1</v>
      </c>
      <c r="BJ285" s="180">
        <f t="shared" si="15"/>
        <v>1</v>
      </c>
      <c r="BK285" s="180">
        <f t="shared" si="15"/>
        <v>1</v>
      </c>
      <c r="BL285" s="180">
        <f t="shared" si="15"/>
        <v>1</v>
      </c>
      <c r="BM285" s="180">
        <f t="shared" si="15"/>
        <v>2</v>
      </c>
      <c r="BN285" s="180">
        <f t="shared" si="15"/>
        <v>1</v>
      </c>
      <c r="BO285" s="180">
        <f t="shared" si="15"/>
        <v>1</v>
      </c>
      <c r="BP285" s="180">
        <f t="shared" ref="BP285:CZ285" si="16">BP203</f>
        <v>1</v>
      </c>
      <c r="BQ285" s="180">
        <f t="shared" si="16"/>
        <v>1</v>
      </c>
      <c r="BR285" s="180">
        <f t="shared" si="16"/>
        <v>1</v>
      </c>
      <c r="BS285" s="180">
        <f t="shared" si="16"/>
        <v>1</v>
      </c>
      <c r="BT285" s="180">
        <f t="shared" si="16"/>
        <v>1</v>
      </c>
      <c r="BU285" s="180">
        <f t="shared" si="16"/>
        <v>1</v>
      </c>
      <c r="BV285" s="180">
        <f t="shared" si="16"/>
        <v>1</v>
      </c>
      <c r="BW285" s="180">
        <f t="shared" si="16"/>
        <v>1</v>
      </c>
      <c r="BX285" s="180">
        <f t="shared" si="16"/>
        <v>0</v>
      </c>
      <c r="BY285" s="180">
        <f t="shared" si="16"/>
        <v>0</v>
      </c>
      <c r="BZ285" s="180">
        <f t="shared" si="16"/>
        <v>1</v>
      </c>
      <c r="CA285" s="180">
        <f t="shared" si="16"/>
        <v>1</v>
      </c>
      <c r="CB285" s="180">
        <f t="shared" si="16"/>
        <v>0</v>
      </c>
      <c r="CC285" s="180">
        <f t="shared" si="16"/>
        <v>1</v>
      </c>
      <c r="CD285" s="180">
        <f t="shared" si="16"/>
        <v>1</v>
      </c>
      <c r="CE285" s="180">
        <f t="shared" si="16"/>
        <v>1</v>
      </c>
      <c r="CF285" s="180">
        <f t="shared" si="16"/>
        <v>1</v>
      </c>
      <c r="CG285" s="180">
        <f t="shared" si="16"/>
        <v>1</v>
      </c>
      <c r="CH285" s="180">
        <f t="shared" si="16"/>
        <v>1</v>
      </c>
      <c r="CI285" s="180">
        <f t="shared" si="16"/>
        <v>1</v>
      </c>
      <c r="CJ285" s="180">
        <f t="shared" si="16"/>
        <v>1</v>
      </c>
      <c r="CK285" s="180">
        <f t="shared" si="16"/>
        <v>1</v>
      </c>
      <c r="CL285" s="180">
        <f t="shared" si="16"/>
        <v>1</v>
      </c>
      <c r="CM285" s="180">
        <f t="shared" si="16"/>
        <v>1</v>
      </c>
      <c r="CN285" s="180">
        <f t="shared" si="16"/>
        <v>1</v>
      </c>
      <c r="CO285" s="180">
        <f t="shared" si="16"/>
        <v>1</v>
      </c>
      <c r="CP285" s="180">
        <f t="shared" si="16"/>
        <v>1</v>
      </c>
      <c r="CQ285" s="180">
        <f t="shared" si="16"/>
        <v>1</v>
      </c>
      <c r="CR285" s="180">
        <f t="shared" si="16"/>
        <v>1</v>
      </c>
      <c r="CS285" s="180">
        <f t="shared" si="16"/>
        <v>1</v>
      </c>
      <c r="CT285" s="180">
        <f t="shared" si="16"/>
        <v>0</v>
      </c>
      <c r="CU285" s="180">
        <f t="shared" si="16"/>
        <v>0</v>
      </c>
      <c r="CV285" s="180">
        <f t="shared" si="16"/>
        <v>0</v>
      </c>
      <c r="CW285" s="180">
        <f t="shared" si="16"/>
        <v>0</v>
      </c>
      <c r="CX285" s="180">
        <f t="shared" si="16"/>
        <v>0</v>
      </c>
      <c r="CY285" s="180">
        <f t="shared" si="16"/>
        <v>0</v>
      </c>
      <c r="CZ285" s="180">
        <f t="shared" si="16"/>
        <v>0</v>
      </c>
    </row>
    <row r="286" spans="1:104" x14ac:dyDescent="0.3">
      <c r="A286" s="556">
        <v>907</v>
      </c>
      <c r="B286" s="180"/>
      <c r="C286" s="180">
        <v>205</v>
      </c>
      <c r="D286" s="180">
        <f t="shared" ref="D286:AI286" si="17">D204</f>
        <v>1</v>
      </c>
      <c r="E286" s="180">
        <f t="shared" si="17"/>
        <v>2</v>
      </c>
      <c r="F286" s="180">
        <f t="shared" si="17"/>
        <v>2</v>
      </c>
      <c r="G286" s="180">
        <f t="shared" si="17"/>
        <v>1</v>
      </c>
      <c r="H286" s="180">
        <f t="shared" si="17"/>
        <v>2</v>
      </c>
      <c r="I286" s="180">
        <f t="shared" si="17"/>
        <v>2</v>
      </c>
      <c r="J286" s="180">
        <f t="shared" si="17"/>
        <v>2</v>
      </c>
      <c r="K286" s="180">
        <f t="shared" si="17"/>
        <v>0</v>
      </c>
      <c r="L286" s="180">
        <f t="shared" si="17"/>
        <v>1</v>
      </c>
      <c r="M286" s="180">
        <f t="shared" si="17"/>
        <v>2</v>
      </c>
      <c r="N286" s="180">
        <f t="shared" si="17"/>
        <v>0</v>
      </c>
      <c r="O286" s="180">
        <f t="shared" si="17"/>
        <v>1</v>
      </c>
      <c r="P286" s="180">
        <f t="shared" si="17"/>
        <v>1</v>
      </c>
      <c r="Q286" s="180">
        <f t="shared" si="17"/>
        <v>2</v>
      </c>
      <c r="R286" s="180">
        <f t="shared" si="17"/>
        <v>2</v>
      </c>
      <c r="S286" s="180">
        <f t="shared" si="17"/>
        <v>2</v>
      </c>
      <c r="T286" s="180">
        <f t="shared" si="17"/>
        <v>1</v>
      </c>
      <c r="U286" s="180">
        <f t="shared" si="17"/>
        <v>2</v>
      </c>
      <c r="V286" s="180">
        <f t="shared" si="17"/>
        <v>2</v>
      </c>
      <c r="W286" s="180">
        <f t="shared" si="17"/>
        <v>2</v>
      </c>
      <c r="X286" s="180">
        <f t="shared" si="17"/>
        <v>2</v>
      </c>
      <c r="Y286" s="180">
        <f t="shared" si="17"/>
        <v>1</v>
      </c>
      <c r="Z286" s="180">
        <f t="shared" si="17"/>
        <v>2</v>
      </c>
      <c r="AA286" s="180">
        <f t="shared" si="17"/>
        <v>2</v>
      </c>
      <c r="AB286" s="180">
        <f t="shared" si="17"/>
        <v>1</v>
      </c>
      <c r="AC286" s="180">
        <f t="shared" si="17"/>
        <v>2</v>
      </c>
      <c r="AD286" s="180">
        <f t="shared" si="17"/>
        <v>0</v>
      </c>
      <c r="AE286" s="180">
        <f t="shared" si="17"/>
        <v>1</v>
      </c>
      <c r="AF286" s="180">
        <f t="shared" si="17"/>
        <v>1</v>
      </c>
      <c r="AG286" s="180">
        <f t="shared" si="17"/>
        <v>1</v>
      </c>
      <c r="AH286" s="180">
        <f t="shared" si="17"/>
        <v>2</v>
      </c>
      <c r="AI286" s="180">
        <f t="shared" si="17"/>
        <v>2</v>
      </c>
      <c r="AJ286" s="180">
        <f t="shared" ref="AJ286:BO286" si="18">AJ204</f>
        <v>2</v>
      </c>
      <c r="AK286" s="180">
        <f t="shared" si="18"/>
        <v>1</v>
      </c>
      <c r="AL286" s="180">
        <f t="shared" si="18"/>
        <v>2</v>
      </c>
      <c r="AM286" s="180">
        <f t="shared" si="18"/>
        <v>2</v>
      </c>
      <c r="AN286" s="180">
        <f t="shared" si="18"/>
        <v>2</v>
      </c>
      <c r="AO286" s="180">
        <f t="shared" si="18"/>
        <v>2</v>
      </c>
      <c r="AP286" s="180">
        <f t="shared" si="18"/>
        <v>1</v>
      </c>
      <c r="AQ286" s="180">
        <f t="shared" si="18"/>
        <v>1</v>
      </c>
      <c r="AR286" s="180">
        <f t="shared" si="18"/>
        <v>2</v>
      </c>
      <c r="AS286" s="180">
        <f t="shared" si="18"/>
        <v>1</v>
      </c>
      <c r="AT286" s="180">
        <f t="shared" si="18"/>
        <v>2</v>
      </c>
      <c r="AU286" s="180">
        <f t="shared" si="18"/>
        <v>1</v>
      </c>
      <c r="AV286" s="180">
        <f t="shared" si="18"/>
        <v>1</v>
      </c>
      <c r="AW286" s="180">
        <f t="shared" si="18"/>
        <v>1</v>
      </c>
      <c r="AX286" s="180">
        <f t="shared" si="18"/>
        <v>1</v>
      </c>
      <c r="AY286" s="180">
        <f t="shared" si="18"/>
        <v>1</v>
      </c>
      <c r="AZ286" s="180">
        <f t="shared" si="18"/>
        <v>1</v>
      </c>
      <c r="BA286" s="180">
        <f t="shared" si="18"/>
        <v>2</v>
      </c>
      <c r="BB286" s="180">
        <f t="shared" si="18"/>
        <v>1</v>
      </c>
      <c r="BC286" s="180">
        <f t="shared" si="18"/>
        <v>2</v>
      </c>
      <c r="BD286" s="180">
        <f t="shared" si="18"/>
        <v>2</v>
      </c>
      <c r="BE286" s="180">
        <f t="shared" si="18"/>
        <v>1</v>
      </c>
      <c r="BF286" s="180">
        <f t="shared" si="18"/>
        <v>2</v>
      </c>
      <c r="BG286" s="180">
        <f t="shared" si="18"/>
        <v>1</v>
      </c>
      <c r="BH286" s="180">
        <f t="shared" si="18"/>
        <v>2</v>
      </c>
      <c r="BI286" s="180">
        <f t="shared" si="18"/>
        <v>2</v>
      </c>
      <c r="BJ286" s="180">
        <f t="shared" si="18"/>
        <v>2</v>
      </c>
      <c r="BK286" s="180">
        <f t="shared" si="18"/>
        <v>2</v>
      </c>
      <c r="BL286" s="180">
        <f t="shared" si="18"/>
        <v>2</v>
      </c>
      <c r="BM286" s="180">
        <f t="shared" si="18"/>
        <v>2</v>
      </c>
      <c r="BN286" s="180">
        <f t="shared" si="18"/>
        <v>2</v>
      </c>
      <c r="BO286" s="180">
        <f t="shared" si="18"/>
        <v>2</v>
      </c>
      <c r="BP286" s="180">
        <f t="shared" ref="BP286:CZ286" si="19">BP204</f>
        <v>1</v>
      </c>
      <c r="BQ286" s="180">
        <f t="shared" si="19"/>
        <v>2</v>
      </c>
      <c r="BR286" s="180">
        <f t="shared" si="19"/>
        <v>2</v>
      </c>
      <c r="BS286" s="180">
        <f t="shared" si="19"/>
        <v>2</v>
      </c>
      <c r="BT286" s="180">
        <f t="shared" si="19"/>
        <v>1</v>
      </c>
      <c r="BU286" s="180">
        <f t="shared" si="19"/>
        <v>2</v>
      </c>
      <c r="BV286" s="180">
        <f t="shared" si="19"/>
        <v>2</v>
      </c>
      <c r="BW286" s="180">
        <f t="shared" si="19"/>
        <v>1</v>
      </c>
      <c r="BX286" s="180">
        <f t="shared" si="19"/>
        <v>0</v>
      </c>
      <c r="BY286" s="180">
        <f t="shared" si="19"/>
        <v>0</v>
      </c>
      <c r="BZ286" s="180">
        <f t="shared" si="19"/>
        <v>2</v>
      </c>
      <c r="CA286" s="180">
        <f t="shared" si="19"/>
        <v>1</v>
      </c>
      <c r="CB286" s="180">
        <f t="shared" si="19"/>
        <v>0</v>
      </c>
      <c r="CC286" s="180">
        <f t="shared" si="19"/>
        <v>2</v>
      </c>
      <c r="CD286" s="180">
        <f t="shared" si="19"/>
        <v>2</v>
      </c>
      <c r="CE286" s="180">
        <f t="shared" si="19"/>
        <v>2</v>
      </c>
      <c r="CF286" s="180">
        <f t="shared" si="19"/>
        <v>2</v>
      </c>
      <c r="CG286" s="180">
        <f t="shared" si="19"/>
        <v>2</v>
      </c>
      <c r="CH286" s="180">
        <f t="shared" si="19"/>
        <v>2</v>
      </c>
      <c r="CI286" s="180">
        <f t="shared" si="19"/>
        <v>2</v>
      </c>
      <c r="CJ286" s="180">
        <f t="shared" si="19"/>
        <v>2</v>
      </c>
      <c r="CK286" s="180">
        <f t="shared" si="19"/>
        <v>2</v>
      </c>
      <c r="CL286" s="180">
        <f t="shared" si="19"/>
        <v>2</v>
      </c>
      <c r="CM286" s="180">
        <f t="shared" si="19"/>
        <v>2</v>
      </c>
      <c r="CN286" s="180">
        <f t="shared" si="19"/>
        <v>1</v>
      </c>
      <c r="CO286" s="180">
        <f t="shared" si="19"/>
        <v>1</v>
      </c>
      <c r="CP286" s="180">
        <f t="shared" si="19"/>
        <v>2</v>
      </c>
      <c r="CQ286" s="180">
        <f t="shared" si="19"/>
        <v>1</v>
      </c>
      <c r="CR286" s="180">
        <f t="shared" si="19"/>
        <v>2</v>
      </c>
      <c r="CS286" s="180">
        <f t="shared" si="19"/>
        <v>2</v>
      </c>
      <c r="CT286" s="180">
        <f t="shared" si="19"/>
        <v>0</v>
      </c>
      <c r="CU286" s="180">
        <f t="shared" si="19"/>
        <v>0</v>
      </c>
      <c r="CV286" s="180">
        <f t="shared" si="19"/>
        <v>0</v>
      </c>
      <c r="CW286" s="180">
        <f t="shared" si="19"/>
        <v>0</v>
      </c>
      <c r="CX286" s="180">
        <f t="shared" si="19"/>
        <v>0</v>
      </c>
      <c r="CY286" s="180">
        <f t="shared" si="19"/>
        <v>0</v>
      </c>
      <c r="CZ286" s="180">
        <f t="shared" si="19"/>
        <v>0</v>
      </c>
    </row>
    <row r="287" spans="1:104" x14ac:dyDescent="0.3">
      <c r="A287" s="556">
        <v>951</v>
      </c>
      <c r="B287" s="180"/>
      <c r="C287" s="180">
        <v>209</v>
      </c>
      <c r="D287" s="180">
        <f t="shared" ref="D287:AI287" si="20">D209</f>
        <v>2</v>
      </c>
      <c r="E287" s="180">
        <f t="shared" si="20"/>
        <v>2</v>
      </c>
      <c r="F287" s="180">
        <f t="shared" si="20"/>
        <v>2</v>
      </c>
      <c r="G287" s="180">
        <f t="shared" si="20"/>
        <v>2</v>
      </c>
      <c r="H287" s="180">
        <f t="shared" si="20"/>
        <v>2</v>
      </c>
      <c r="I287" s="180">
        <f t="shared" si="20"/>
        <v>2</v>
      </c>
      <c r="J287" s="180">
        <f t="shared" si="20"/>
        <v>2</v>
      </c>
      <c r="K287" s="180">
        <f t="shared" si="20"/>
        <v>0</v>
      </c>
      <c r="L287" s="180">
        <f t="shared" si="20"/>
        <v>2</v>
      </c>
      <c r="M287" s="180">
        <f t="shared" si="20"/>
        <v>2</v>
      </c>
      <c r="N287" s="180">
        <f t="shared" si="20"/>
        <v>0</v>
      </c>
      <c r="O287" s="180">
        <f t="shared" si="20"/>
        <v>2</v>
      </c>
      <c r="P287" s="180">
        <f t="shared" si="20"/>
        <v>2</v>
      </c>
      <c r="Q287" s="180">
        <f t="shared" si="20"/>
        <v>2</v>
      </c>
      <c r="R287" s="180">
        <f t="shared" si="20"/>
        <v>2</v>
      </c>
      <c r="S287" s="180">
        <f t="shared" si="20"/>
        <v>2</v>
      </c>
      <c r="T287" s="180">
        <f t="shared" si="20"/>
        <v>2</v>
      </c>
      <c r="U287" s="180">
        <f t="shared" si="20"/>
        <v>2</v>
      </c>
      <c r="V287" s="180">
        <f t="shared" si="20"/>
        <v>2</v>
      </c>
      <c r="W287" s="180">
        <f t="shared" si="20"/>
        <v>2</v>
      </c>
      <c r="X287" s="180">
        <f t="shared" si="20"/>
        <v>2</v>
      </c>
      <c r="Y287" s="180">
        <f t="shared" si="20"/>
        <v>2</v>
      </c>
      <c r="Z287" s="180">
        <f t="shared" si="20"/>
        <v>2</v>
      </c>
      <c r="AA287" s="180">
        <f t="shared" si="20"/>
        <v>2</v>
      </c>
      <c r="AB287" s="180">
        <f t="shared" si="20"/>
        <v>2</v>
      </c>
      <c r="AC287" s="180">
        <f t="shared" si="20"/>
        <v>2</v>
      </c>
      <c r="AD287" s="180">
        <f t="shared" si="20"/>
        <v>0</v>
      </c>
      <c r="AE287" s="180">
        <f t="shared" si="20"/>
        <v>2</v>
      </c>
      <c r="AF287" s="180">
        <f t="shared" si="20"/>
        <v>2</v>
      </c>
      <c r="AG287" s="180">
        <f t="shared" si="20"/>
        <v>2</v>
      </c>
      <c r="AH287" s="180">
        <f t="shared" si="20"/>
        <v>2</v>
      </c>
      <c r="AI287" s="180">
        <f t="shared" si="20"/>
        <v>2</v>
      </c>
      <c r="AJ287" s="180">
        <f t="shared" ref="AJ287:BO287" si="21">AJ209</f>
        <v>2</v>
      </c>
      <c r="AK287" s="180">
        <f t="shared" si="21"/>
        <v>2</v>
      </c>
      <c r="AL287" s="180">
        <f t="shared" si="21"/>
        <v>2</v>
      </c>
      <c r="AM287" s="180">
        <f t="shared" si="21"/>
        <v>2</v>
      </c>
      <c r="AN287" s="180">
        <f t="shared" si="21"/>
        <v>2</v>
      </c>
      <c r="AO287" s="180">
        <f t="shared" si="21"/>
        <v>2</v>
      </c>
      <c r="AP287" s="180">
        <f t="shared" si="21"/>
        <v>2</v>
      </c>
      <c r="AQ287" s="180">
        <f t="shared" si="21"/>
        <v>2</v>
      </c>
      <c r="AR287" s="180">
        <f t="shared" si="21"/>
        <v>2</v>
      </c>
      <c r="AS287" s="180">
        <f t="shared" si="21"/>
        <v>1</v>
      </c>
      <c r="AT287" s="180">
        <f t="shared" si="21"/>
        <v>2</v>
      </c>
      <c r="AU287" s="180">
        <f t="shared" si="21"/>
        <v>2</v>
      </c>
      <c r="AV287" s="180">
        <f t="shared" si="21"/>
        <v>1</v>
      </c>
      <c r="AW287" s="180">
        <f t="shared" si="21"/>
        <v>1</v>
      </c>
      <c r="AX287" s="180">
        <f t="shared" si="21"/>
        <v>2</v>
      </c>
      <c r="AY287" s="180">
        <f t="shared" si="21"/>
        <v>2</v>
      </c>
      <c r="AZ287" s="180">
        <f t="shared" si="21"/>
        <v>2</v>
      </c>
      <c r="BA287" s="180">
        <f t="shared" si="21"/>
        <v>2</v>
      </c>
      <c r="BB287" s="180">
        <f t="shared" si="21"/>
        <v>2</v>
      </c>
      <c r="BC287" s="180">
        <f t="shared" si="21"/>
        <v>2</v>
      </c>
      <c r="BD287" s="180">
        <f t="shared" si="21"/>
        <v>2</v>
      </c>
      <c r="BE287" s="180">
        <f t="shared" si="21"/>
        <v>2</v>
      </c>
      <c r="BF287" s="180">
        <f t="shared" si="21"/>
        <v>2</v>
      </c>
      <c r="BG287" s="180">
        <f t="shared" si="21"/>
        <v>1</v>
      </c>
      <c r="BH287" s="180">
        <f t="shared" si="21"/>
        <v>2</v>
      </c>
      <c r="BI287" s="180">
        <f t="shared" si="21"/>
        <v>2</v>
      </c>
      <c r="BJ287" s="180">
        <f t="shared" si="21"/>
        <v>2</v>
      </c>
      <c r="BK287" s="180">
        <f t="shared" si="21"/>
        <v>2</v>
      </c>
      <c r="BL287" s="180">
        <f t="shared" si="21"/>
        <v>2</v>
      </c>
      <c r="BM287" s="180">
        <f t="shared" si="21"/>
        <v>2</v>
      </c>
      <c r="BN287" s="180">
        <f t="shared" si="21"/>
        <v>2</v>
      </c>
      <c r="BO287" s="180">
        <f t="shared" si="21"/>
        <v>2</v>
      </c>
      <c r="BP287" s="180">
        <f t="shared" ref="BP287:CZ287" si="22">BP209</f>
        <v>2</v>
      </c>
      <c r="BQ287" s="180">
        <f t="shared" si="22"/>
        <v>2</v>
      </c>
      <c r="BR287" s="180">
        <f t="shared" si="22"/>
        <v>2</v>
      </c>
      <c r="BS287" s="180">
        <f t="shared" si="22"/>
        <v>2</v>
      </c>
      <c r="BT287" s="180">
        <f t="shared" si="22"/>
        <v>2</v>
      </c>
      <c r="BU287" s="180">
        <f t="shared" si="22"/>
        <v>2</v>
      </c>
      <c r="BV287" s="180">
        <f t="shared" si="22"/>
        <v>2</v>
      </c>
      <c r="BW287" s="180">
        <f t="shared" si="22"/>
        <v>2</v>
      </c>
      <c r="BX287" s="180">
        <f t="shared" si="22"/>
        <v>0</v>
      </c>
      <c r="BY287" s="180">
        <f t="shared" si="22"/>
        <v>0</v>
      </c>
      <c r="BZ287" s="180">
        <f t="shared" si="22"/>
        <v>2</v>
      </c>
      <c r="CA287" s="180">
        <f t="shared" si="22"/>
        <v>2</v>
      </c>
      <c r="CB287" s="180">
        <f t="shared" si="22"/>
        <v>0</v>
      </c>
      <c r="CC287" s="180">
        <f t="shared" si="22"/>
        <v>2</v>
      </c>
      <c r="CD287" s="180">
        <f t="shared" si="22"/>
        <v>2</v>
      </c>
      <c r="CE287" s="180">
        <f t="shared" si="22"/>
        <v>2</v>
      </c>
      <c r="CF287" s="180">
        <f t="shared" si="22"/>
        <v>2</v>
      </c>
      <c r="CG287" s="180">
        <f t="shared" si="22"/>
        <v>2</v>
      </c>
      <c r="CH287" s="180">
        <f t="shared" si="22"/>
        <v>2</v>
      </c>
      <c r="CI287" s="180">
        <f t="shared" si="22"/>
        <v>2</v>
      </c>
      <c r="CJ287" s="180">
        <f t="shared" si="22"/>
        <v>2</v>
      </c>
      <c r="CK287" s="180">
        <f t="shared" si="22"/>
        <v>2</v>
      </c>
      <c r="CL287" s="180">
        <f t="shared" si="22"/>
        <v>2</v>
      </c>
      <c r="CM287" s="180">
        <f t="shared" si="22"/>
        <v>2</v>
      </c>
      <c r="CN287" s="180">
        <f t="shared" si="22"/>
        <v>2</v>
      </c>
      <c r="CO287" s="180">
        <f t="shared" si="22"/>
        <v>2</v>
      </c>
      <c r="CP287" s="180">
        <f t="shared" si="22"/>
        <v>2</v>
      </c>
      <c r="CQ287" s="180">
        <f t="shared" si="22"/>
        <v>2</v>
      </c>
      <c r="CR287" s="180">
        <f t="shared" si="22"/>
        <v>2</v>
      </c>
      <c r="CS287" s="180">
        <f t="shared" si="22"/>
        <v>2</v>
      </c>
      <c r="CT287" s="180">
        <f t="shared" si="22"/>
        <v>0</v>
      </c>
      <c r="CU287" s="180">
        <f t="shared" si="22"/>
        <v>0</v>
      </c>
      <c r="CV287" s="180">
        <f t="shared" si="22"/>
        <v>0</v>
      </c>
      <c r="CW287" s="180">
        <f t="shared" si="22"/>
        <v>0</v>
      </c>
      <c r="CX287" s="180">
        <f t="shared" si="22"/>
        <v>0</v>
      </c>
      <c r="CY287" s="180">
        <f t="shared" si="22"/>
        <v>0</v>
      </c>
      <c r="CZ287" s="180">
        <f t="shared" si="22"/>
        <v>0</v>
      </c>
    </row>
    <row r="288" spans="1:104" x14ac:dyDescent="0.3">
      <c r="A288" s="556">
        <v>953</v>
      </c>
      <c r="B288" s="180"/>
      <c r="C288" s="180">
        <v>211</v>
      </c>
      <c r="D288" s="180">
        <f t="shared" ref="D288:AI288" si="23">D211</f>
        <v>2</v>
      </c>
      <c r="E288" s="180">
        <f t="shared" si="23"/>
        <v>2</v>
      </c>
      <c r="F288" s="180">
        <f t="shared" si="23"/>
        <v>2</v>
      </c>
      <c r="G288" s="180">
        <f t="shared" si="23"/>
        <v>2</v>
      </c>
      <c r="H288" s="180">
        <f t="shared" si="23"/>
        <v>2</v>
      </c>
      <c r="I288" s="180">
        <f t="shared" si="23"/>
        <v>2</v>
      </c>
      <c r="J288" s="180">
        <f t="shared" si="23"/>
        <v>2</v>
      </c>
      <c r="K288" s="180">
        <f t="shared" si="23"/>
        <v>0</v>
      </c>
      <c r="L288" s="180">
        <f t="shared" si="23"/>
        <v>2</v>
      </c>
      <c r="M288" s="180">
        <f t="shared" si="23"/>
        <v>2</v>
      </c>
      <c r="N288" s="180">
        <f t="shared" si="23"/>
        <v>0</v>
      </c>
      <c r="O288" s="180">
        <f t="shared" si="23"/>
        <v>2</v>
      </c>
      <c r="P288" s="180">
        <f t="shared" si="23"/>
        <v>2</v>
      </c>
      <c r="Q288" s="180">
        <f t="shared" si="23"/>
        <v>2</v>
      </c>
      <c r="R288" s="180">
        <f t="shared" si="23"/>
        <v>2</v>
      </c>
      <c r="S288" s="180">
        <f t="shared" si="23"/>
        <v>2</v>
      </c>
      <c r="T288" s="180">
        <f t="shared" si="23"/>
        <v>2</v>
      </c>
      <c r="U288" s="180">
        <f t="shared" si="23"/>
        <v>2</v>
      </c>
      <c r="V288" s="180">
        <f t="shared" si="23"/>
        <v>2</v>
      </c>
      <c r="W288" s="180">
        <f t="shared" si="23"/>
        <v>2</v>
      </c>
      <c r="X288" s="180">
        <f t="shared" si="23"/>
        <v>2</v>
      </c>
      <c r="Y288" s="180">
        <f t="shared" si="23"/>
        <v>2</v>
      </c>
      <c r="Z288" s="180">
        <f t="shared" si="23"/>
        <v>2</v>
      </c>
      <c r="AA288" s="180">
        <f t="shared" si="23"/>
        <v>2</v>
      </c>
      <c r="AB288" s="180">
        <f t="shared" si="23"/>
        <v>2</v>
      </c>
      <c r="AC288" s="180">
        <f t="shared" si="23"/>
        <v>2</v>
      </c>
      <c r="AD288" s="180">
        <f t="shared" si="23"/>
        <v>0</v>
      </c>
      <c r="AE288" s="180">
        <f t="shared" si="23"/>
        <v>2</v>
      </c>
      <c r="AF288" s="180">
        <f t="shared" si="23"/>
        <v>2</v>
      </c>
      <c r="AG288" s="180">
        <f t="shared" si="23"/>
        <v>2</v>
      </c>
      <c r="AH288" s="180">
        <f t="shared" si="23"/>
        <v>2</v>
      </c>
      <c r="AI288" s="180">
        <f t="shared" si="23"/>
        <v>2</v>
      </c>
      <c r="AJ288" s="180">
        <f t="shared" ref="AJ288:BO288" si="24">AJ211</f>
        <v>2</v>
      </c>
      <c r="AK288" s="180">
        <f t="shared" si="24"/>
        <v>2</v>
      </c>
      <c r="AL288" s="180">
        <f t="shared" si="24"/>
        <v>2</v>
      </c>
      <c r="AM288" s="180">
        <f t="shared" si="24"/>
        <v>2</v>
      </c>
      <c r="AN288" s="180">
        <f t="shared" si="24"/>
        <v>2</v>
      </c>
      <c r="AO288" s="180">
        <f t="shared" si="24"/>
        <v>2</v>
      </c>
      <c r="AP288" s="180">
        <f t="shared" si="24"/>
        <v>2</v>
      </c>
      <c r="AQ288" s="180">
        <f t="shared" si="24"/>
        <v>2</v>
      </c>
      <c r="AR288" s="180">
        <f t="shared" si="24"/>
        <v>2</v>
      </c>
      <c r="AS288" s="180">
        <f t="shared" si="24"/>
        <v>2</v>
      </c>
      <c r="AT288" s="180">
        <f t="shared" si="24"/>
        <v>2</v>
      </c>
      <c r="AU288" s="180">
        <f t="shared" si="24"/>
        <v>2</v>
      </c>
      <c r="AV288" s="180">
        <f t="shared" si="24"/>
        <v>2</v>
      </c>
      <c r="AW288" s="180">
        <f t="shared" si="24"/>
        <v>2</v>
      </c>
      <c r="AX288" s="180">
        <f t="shared" si="24"/>
        <v>2</v>
      </c>
      <c r="AY288" s="180">
        <f t="shared" si="24"/>
        <v>2</v>
      </c>
      <c r="AZ288" s="180">
        <f t="shared" si="24"/>
        <v>2</v>
      </c>
      <c r="BA288" s="180">
        <f t="shared" si="24"/>
        <v>2</v>
      </c>
      <c r="BB288" s="180">
        <f t="shared" si="24"/>
        <v>2</v>
      </c>
      <c r="BC288" s="180">
        <f t="shared" si="24"/>
        <v>2</v>
      </c>
      <c r="BD288" s="180">
        <f t="shared" si="24"/>
        <v>2</v>
      </c>
      <c r="BE288" s="180">
        <f t="shared" si="24"/>
        <v>2</v>
      </c>
      <c r="BF288" s="180">
        <f t="shared" si="24"/>
        <v>2</v>
      </c>
      <c r="BG288" s="180">
        <f t="shared" si="24"/>
        <v>2</v>
      </c>
      <c r="BH288" s="180">
        <f t="shared" si="24"/>
        <v>2</v>
      </c>
      <c r="BI288" s="180">
        <f t="shared" si="24"/>
        <v>2</v>
      </c>
      <c r="BJ288" s="180">
        <f t="shared" si="24"/>
        <v>2</v>
      </c>
      <c r="BK288" s="180">
        <f t="shared" si="24"/>
        <v>2</v>
      </c>
      <c r="BL288" s="180">
        <f t="shared" si="24"/>
        <v>2</v>
      </c>
      <c r="BM288" s="180">
        <f t="shared" si="24"/>
        <v>2</v>
      </c>
      <c r="BN288" s="180">
        <f t="shared" si="24"/>
        <v>2</v>
      </c>
      <c r="BO288" s="180">
        <f t="shared" si="24"/>
        <v>2</v>
      </c>
      <c r="BP288" s="180">
        <f t="shared" ref="BP288:CZ288" si="25">BP211</f>
        <v>2</v>
      </c>
      <c r="BQ288" s="180">
        <f t="shared" si="25"/>
        <v>2</v>
      </c>
      <c r="BR288" s="180">
        <f t="shared" si="25"/>
        <v>2</v>
      </c>
      <c r="BS288" s="180">
        <f t="shared" si="25"/>
        <v>2</v>
      </c>
      <c r="BT288" s="180">
        <f t="shared" si="25"/>
        <v>2</v>
      </c>
      <c r="BU288" s="180">
        <f t="shared" si="25"/>
        <v>2</v>
      </c>
      <c r="BV288" s="180">
        <f t="shared" si="25"/>
        <v>2</v>
      </c>
      <c r="BW288" s="180">
        <f t="shared" si="25"/>
        <v>2</v>
      </c>
      <c r="BX288" s="180">
        <f t="shared" si="25"/>
        <v>0</v>
      </c>
      <c r="BY288" s="180">
        <f t="shared" si="25"/>
        <v>0</v>
      </c>
      <c r="BZ288" s="180">
        <f t="shared" si="25"/>
        <v>2</v>
      </c>
      <c r="CA288" s="180">
        <f t="shared" si="25"/>
        <v>2</v>
      </c>
      <c r="CB288" s="180">
        <f t="shared" si="25"/>
        <v>0</v>
      </c>
      <c r="CC288" s="180">
        <f t="shared" si="25"/>
        <v>2</v>
      </c>
      <c r="CD288" s="180">
        <f t="shared" si="25"/>
        <v>2</v>
      </c>
      <c r="CE288" s="180">
        <f t="shared" si="25"/>
        <v>2</v>
      </c>
      <c r="CF288" s="180">
        <f t="shared" si="25"/>
        <v>2</v>
      </c>
      <c r="CG288" s="180">
        <f t="shared" si="25"/>
        <v>2</v>
      </c>
      <c r="CH288" s="180">
        <f t="shared" si="25"/>
        <v>2</v>
      </c>
      <c r="CI288" s="180">
        <f t="shared" si="25"/>
        <v>2</v>
      </c>
      <c r="CJ288" s="180">
        <f t="shared" si="25"/>
        <v>2</v>
      </c>
      <c r="CK288" s="180">
        <f t="shared" si="25"/>
        <v>2</v>
      </c>
      <c r="CL288" s="180">
        <f t="shared" si="25"/>
        <v>2</v>
      </c>
      <c r="CM288" s="180">
        <f t="shared" si="25"/>
        <v>2</v>
      </c>
      <c r="CN288" s="180">
        <f t="shared" si="25"/>
        <v>2</v>
      </c>
      <c r="CO288" s="180">
        <f t="shared" si="25"/>
        <v>2</v>
      </c>
      <c r="CP288" s="180">
        <f t="shared" si="25"/>
        <v>2</v>
      </c>
      <c r="CQ288" s="180">
        <f t="shared" si="25"/>
        <v>2</v>
      </c>
      <c r="CR288" s="180">
        <f t="shared" si="25"/>
        <v>2</v>
      </c>
      <c r="CS288" s="180">
        <f t="shared" si="25"/>
        <v>2</v>
      </c>
      <c r="CT288" s="180">
        <f t="shared" si="25"/>
        <v>0</v>
      </c>
      <c r="CU288" s="180">
        <f t="shared" si="25"/>
        <v>0</v>
      </c>
      <c r="CV288" s="180">
        <f t="shared" si="25"/>
        <v>0</v>
      </c>
      <c r="CW288" s="180">
        <f t="shared" si="25"/>
        <v>0</v>
      </c>
      <c r="CX288" s="180">
        <f t="shared" si="25"/>
        <v>0</v>
      </c>
      <c r="CY288" s="180">
        <f t="shared" si="25"/>
        <v>0</v>
      </c>
      <c r="CZ288" s="180">
        <f t="shared" si="25"/>
        <v>0</v>
      </c>
    </row>
    <row r="289" spans="1:104" x14ac:dyDescent="0.3">
      <c r="A289" s="556">
        <v>955</v>
      </c>
      <c r="B289" s="180"/>
      <c r="C289" s="180">
        <v>213</v>
      </c>
      <c r="D289" s="180">
        <f t="shared" ref="D289:AI289" si="26">D213</f>
        <v>0</v>
      </c>
      <c r="E289" s="180">
        <f t="shared" si="26"/>
        <v>0</v>
      </c>
      <c r="F289" s="180">
        <f t="shared" si="26"/>
        <v>0</v>
      </c>
      <c r="G289" s="180">
        <f t="shared" si="26"/>
        <v>3</v>
      </c>
      <c r="H289" s="180">
        <f t="shared" si="26"/>
        <v>0</v>
      </c>
      <c r="I289" s="180">
        <f t="shared" si="26"/>
        <v>0</v>
      </c>
      <c r="J289" s="180">
        <f t="shared" si="26"/>
        <v>0</v>
      </c>
      <c r="K289" s="180">
        <f t="shared" si="26"/>
        <v>0</v>
      </c>
      <c r="L289" s="180">
        <f t="shared" si="26"/>
        <v>2</v>
      </c>
      <c r="M289" s="180">
        <f t="shared" si="26"/>
        <v>0</v>
      </c>
      <c r="N289" s="180">
        <f t="shared" si="26"/>
        <v>0</v>
      </c>
      <c r="O289" s="180">
        <f t="shared" si="26"/>
        <v>0</v>
      </c>
      <c r="P289" s="180">
        <f t="shared" si="26"/>
        <v>1</v>
      </c>
      <c r="Q289" s="180">
        <f t="shared" si="26"/>
        <v>0</v>
      </c>
      <c r="R289" s="180">
        <f t="shared" si="26"/>
        <v>1</v>
      </c>
      <c r="S289" s="180">
        <f t="shared" si="26"/>
        <v>0</v>
      </c>
      <c r="T289" s="180">
        <f t="shared" si="26"/>
        <v>0</v>
      </c>
      <c r="U289" s="180">
        <f t="shared" si="26"/>
        <v>0</v>
      </c>
      <c r="V289" s="180">
        <f t="shared" si="26"/>
        <v>0</v>
      </c>
      <c r="W289" s="180">
        <f t="shared" si="26"/>
        <v>0</v>
      </c>
      <c r="X289" s="180">
        <f t="shared" si="26"/>
        <v>0</v>
      </c>
      <c r="Y289" s="180">
        <f t="shared" si="26"/>
        <v>0</v>
      </c>
      <c r="Z289" s="180">
        <f t="shared" si="26"/>
        <v>0</v>
      </c>
      <c r="AA289" s="180">
        <f t="shared" si="26"/>
        <v>0</v>
      </c>
      <c r="AB289" s="180">
        <f t="shared" si="26"/>
        <v>0</v>
      </c>
      <c r="AC289" s="180">
        <f t="shared" si="26"/>
        <v>0</v>
      </c>
      <c r="AD289" s="180">
        <f t="shared" si="26"/>
        <v>0</v>
      </c>
      <c r="AE289" s="180">
        <f t="shared" si="26"/>
        <v>2</v>
      </c>
      <c r="AF289" s="180">
        <f t="shared" si="26"/>
        <v>0</v>
      </c>
      <c r="AG289" s="180">
        <f t="shared" si="26"/>
        <v>0</v>
      </c>
      <c r="AH289" s="180">
        <f t="shared" si="26"/>
        <v>0</v>
      </c>
      <c r="AI289" s="180">
        <f t="shared" si="26"/>
        <v>0</v>
      </c>
      <c r="AJ289" s="180">
        <f t="shared" ref="AJ289:BO289" si="27">AJ213</f>
        <v>0</v>
      </c>
      <c r="AK289" s="180">
        <f t="shared" si="27"/>
        <v>0</v>
      </c>
      <c r="AL289" s="180">
        <f t="shared" si="27"/>
        <v>0</v>
      </c>
      <c r="AM289" s="180">
        <f t="shared" si="27"/>
        <v>1</v>
      </c>
      <c r="AN289" s="180">
        <f t="shared" si="27"/>
        <v>2</v>
      </c>
      <c r="AO289" s="180">
        <f t="shared" si="27"/>
        <v>0</v>
      </c>
      <c r="AP289" s="180">
        <f t="shared" si="27"/>
        <v>0</v>
      </c>
      <c r="AQ289" s="180">
        <f t="shared" si="27"/>
        <v>0</v>
      </c>
      <c r="AR289" s="180">
        <f t="shared" si="27"/>
        <v>0</v>
      </c>
      <c r="AS289" s="180">
        <f t="shared" si="27"/>
        <v>2</v>
      </c>
      <c r="AT289" s="180">
        <f t="shared" si="27"/>
        <v>0</v>
      </c>
      <c r="AU289" s="180">
        <f t="shared" si="27"/>
        <v>0</v>
      </c>
      <c r="AV289" s="180">
        <f t="shared" si="27"/>
        <v>1</v>
      </c>
      <c r="AW289" s="180">
        <f t="shared" si="27"/>
        <v>0</v>
      </c>
      <c r="AX289" s="180">
        <f t="shared" si="27"/>
        <v>0</v>
      </c>
      <c r="AY289" s="180">
        <f t="shared" si="27"/>
        <v>0</v>
      </c>
      <c r="AZ289" s="180">
        <f t="shared" si="27"/>
        <v>0</v>
      </c>
      <c r="BA289" s="180">
        <f t="shared" si="27"/>
        <v>0</v>
      </c>
      <c r="BB289" s="180">
        <f t="shared" si="27"/>
        <v>0</v>
      </c>
      <c r="BC289" s="180">
        <f t="shared" si="27"/>
        <v>1</v>
      </c>
      <c r="BD289" s="180">
        <f t="shared" si="27"/>
        <v>0</v>
      </c>
      <c r="BE289" s="180">
        <f t="shared" si="27"/>
        <v>0</v>
      </c>
      <c r="BF289" s="180">
        <f t="shared" si="27"/>
        <v>0</v>
      </c>
      <c r="BG289" s="180">
        <f t="shared" si="27"/>
        <v>0</v>
      </c>
      <c r="BH289" s="180">
        <f t="shared" si="27"/>
        <v>0</v>
      </c>
      <c r="BI289" s="180">
        <f t="shared" si="27"/>
        <v>0</v>
      </c>
      <c r="BJ289" s="180">
        <f t="shared" si="27"/>
        <v>0</v>
      </c>
      <c r="BK289" s="180">
        <f t="shared" si="27"/>
        <v>0</v>
      </c>
      <c r="BL289" s="180">
        <f t="shared" si="27"/>
        <v>0</v>
      </c>
      <c r="BM289" s="180">
        <f t="shared" si="27"/>
        <v>1</v>
      </c>
      <c r="BN289" s="180">
        <f t="shared" si="27"/>
        <v>0</v>
      </c>
      <c r="BO289" s="180">
        <f t="shared" si="27"/>
        <v>0</v>
      </c>
      <c r="BP289" s="180">
        <f t="shared" ref="BP289:CZ289" si="28">BP213</f>
        <v>1</v>
      </c>
      <c r="BQ289" s="180">
        <f t="shared" si="28"/>
        <v>0</v>
      </c>
      <c r="BR289" s="180">
        <f t="shared" si="28"/>
        <v>1</v>
      </c>
      <c r="BS289" s="180">
        <f t="shared" si="28"/>
        <v>0</v>
      </c>
      <c r="BT289" s="180">
        <f t="shared" si="28"/>
        <v>0</v>
      </c>
      <c r="BU289" s="180">
        <f t="shared" si="28"/>
        <v>0</v>
      </c>
      <c r="BV289" s="180">
        <f t="shared" si="28"/>
        <v>0</v>
      </c>
      <c r="BW289" s="180">
        <f t="shared" si="28"/>
        <v>1</v>
      </c>
      <c r="BX289" s="180">
        <f t="shared" si="28"/>
        <v>0</v>
      </c>
      <c r="BY289" s="180">
        <f t="shared" si="28"/>
        <v>0</v>
      </c>
      <c r="BZ289" s="180">
        <f t="shared" si="28"/>
        <v>2</v>
      </c>
      <c r="CA289" s="180">
        <f t="shared" si="28"/>
        <v>0</v>
      </c>
      <c r="CB289" s="180">
        <f t="shared" si="28"/>
        <v>0</v>
      </c>
      <c r="CC289" s="180">
        <f t="shared" si="28"/>
        <v>2</v>
      </c>
      <c r="CD289" s="180">
        <f t="shared" si="28"/>
        <v>0</v>
      </c>
      <c r="CE289" s="180">
        <f t="shared" si="28"/>
        <v>0</v>
      </c>
      <c r="CF289" s="180">
        <f t="shared" si="28"/>
        <v>0</v>
      </c>
      <c r="CG289" s="180">
        <f t="shared" si="28"/>
        <v>1</v>
      </c>
      <c r="CH289" s="180">
        <f t="shared" si="28"/>
        <v>1</v>
      </c>
      <c r="CI289" s="180">
        <f t="shared" si="28"/>
        <v>0</v>
      </c>
      <c r="CJ289" s="180">
        <f t="shared" si="28"/>
        <v>0</v>
      </c>
      <c r="CK289" s="180">
        <f t="shared" si="28"/>
        <v>2</v>
      </c>
      <c r="CL289" s="180">
        <f t="shared" si="28"/>
        <v>0</v>
      </c>
      <c r="CM289" s="180">
        <f t="shared" si="28"/>
        <v>0</v>
      </c>
      <c r="CN289" s="180">
        <f t="shared" si="28"/>
        <v>1</v>
      </c>
      <c r="CO289" s="180">
        <f t="shared" si="28"/>
        <v>0</v>
      </c>
      <c r="CP289" s="180">
        <f t="shared" si="28"/>
        <v>0</v>
      </c>
      <c r="CQ289" s="180">
        <f t="shared" si="28"/>
        <v>0</v>
      </c>
      <c r="CR289" s="180">
        <f t="shared" si="28"/>
        <v>0</v>
      </c>
      <c r="CS289" s="180">
        <f t="shared" si="28"/>
        <v>0</v>
      </c>
      <c r="CT289" s="180">
        <f t="shared" si="28"/>
        <v>0</v>
      </c>
      <c r="CU289" s="180">
        <f t="shared" si="28"/>
        <v>0</v>
      </c>
      <c r="CV289" s="180">
        <f t="shared" si="28"/>
        <v>0</v>
      </c>
      <c r="CW289" s="180">
        <f t="shared" si="28"/>
        <v>0</v>
      </c>
      <c r="CX289" s="180">
        <f t="shared" si="28"/>
        <v>0</v>
      </c>
      <c r="CY289" s="180">
        <f t="shared" si="28"/>
        <v>0</v>
      </c>
      <c r="CZ289" s="180">
        <f t="shared" si="28"/>
        <v>0</v>
      </c>
    </row>
    <row r="290" spans="1:104" x14ac:dyDescent="0.3">
      <c r="A290" s="556">
        <v>957</v>
      </c>
      <c r="B290" s="180"/>
      <c r="C290" s="180">
        <v>215</v>
      </c>
      <c r="D290" s="180">
        <f t="shared" ref="D290:AI290" si="29">D215</f>
        <v>0</v>
      </c>
      <c r="E290" s="180">
        <f t="shared" si="29"/>
        <v>0</v>
      </c>
      <c r="F290" s="180">
        <f t="shared" si="29"/>
        <v>0</v>
      </c>
      <c r="G290" s="180">
        <f t="shared" si="29"/>
        <v>0</v>
      </c>
      <c r="H290" s="180">
        <f t="shared" si="29"/>
        <v>0</v>
      </c>
      <c r="I290" s="180">
        <f t="shared" si="29"/>
        <v>0</v>
      </c>
      <c r="J290" s="180">
        <f t="shared" si="29"/>
        <v>0</v>
      </c>
      <c r="K290" s="180">
        <f t="shared" si="29"/>
        <v>0</v>
      </c>
      <c r="L290" s="180">
        <f t="shared" si="29"/>
        <v>0</v>
      </c>
      <c r="M290" s="180">
        <f t="shared" si="29"/>
        <v>0</v>
      </c>
      <c r="N290" s="180">
        <f t="shared" si="29"/>
        <v>0</v>
      </c>
      <c r="O290" s="180">
        <f t="shared" si="29"/>
        <v>0</v>
      </c>
      <c r="P290" s="180">
        <f t="shared" si="29"/>
        <v>0</v>
      </c>
      <c r="Q290" s="180">
        <f t="shared" si="29"/>
        <v>2</v>
      </c>
      <c r="R290" s="180">
        <f t="shared" si="29"/>
        <v>0</v>
      </c>
      <c r="S290" s="180">
        <f t="shared" si="29"/>
        <v>0</v>
      </c>
      <c r="T290" s="180">
        <f t="shared" si="29"/>
        <v>0</v>
      </c>
      <c r="U290" s="180">
        <f t="shared" si="29"/>
        <v>0</v>
      </c>
      <c r="V290" s="180">
        <f t="shared" si="29"/>
        <v>0</v>
      </c>
      <c r="W290" s="180">
        <f t="shared" si="29"/>
        <v>0</v>
      </c>
      <c r="X290" s="180">
        <f t="shared" si="29"/>
        <v>0</v>
      </c>
      <c r="Y290" s="180">
        <f t="shared" si="29"/>
        <v>0</v>
      </c>
      <c r="Z290" s="180">
        <f t="shared" si="29"/>
        <v>0</v>
      </c>
      <c r="AA290" s="180">
        <f t="shared" si="29"/>
        <v>0</v>
      </c>
      <c r="AB290" s="180">
        <f t="shared" si="29"/>
        <v>0</v>
      </c>
      <c r="AC290" s="180">
        <f t="shared" si="29"/>
        <v>0</v>
      </c>
      <c r="AD290" s="180">
        <f t="shared" si="29"/>
        <v>0</v>
      </c>
      <c r="AE290" s="180">
        <f t="shared" si="29"/>
        <v>0</v>
      </c>
      <c r="AF290" s="180">
        <f t="shared" si="29"/>
        <v>0</v>
      </c>
      <c r="AG290" s="180">
        <f t="shared" si="29"/>
        <v>0</v>
      </c>
      <c r="AH290" s="180">
        <f t="shared" si="29"/>
        <v>0</v>
      </c>
      <c r="AI290" s="180">
        <f t="shared" si="29"/>
        <v>0</v>
      </c>
      <c r="AJ290" s="180">
        <f t="shared" ref="AJ290:BO290" si="30">AJ215</f>
        <v>0</v>
      </c>
      <c r="AK290" s="180">
        <f t="shared" si="30"/>
        <v>2</v>
      </c>
      <c r="AL290" s="180">
        <f t="shared" si="30"/>
        <v>0</v>
      </c>
      <c r="AM290" s="180">
        <f t="shared" si="30"/>
        <v>1</v>
      </c>
      <c r="AN290" s="180">
        <f t="shared" si="30"/>
        <v>0</v>
      </c>
      <c r="AO290" s="180">
        <f t="shared" si="30"/>
        <v>2</v>
      </c>
      <c r="AP290" s="180">
        <f t="shared" si="30"/>
        <v>0</v>
      </c>
      <c r="AQ290" s="180">
        <f t="shared" si="30"/>
        <v>0</v>
      </c>
      <c r="AR290" s="180">
        <f t="shared" si="30"/>
        <v>0</v>
      </c>
      <c r="AS290" s="180">
        <f t="shared" si="30"/>
        <v>3</v>
      </c>
      <c r="AT290" s="180">
        <f t="shared" si="30"/>
        <v>0</v>
      </c>
      <c r="AU290" s="180">
        <f t="shared" si="30"/>
        <v>0</v>
      </c>
      <c r="AV290" s="180">
        <f t="shared" si="30"/>
        <v>1</v>
      </c>
      <c r="AW290" s="180">
        <f t="shared" si="30"/>
        <v>0</v>
      </c>
      <c r="AX290" s="180">
        <f t="shared" si="30"/>
        <v>1</v>
      </c>
      <c r="AY290" s="180">
        <f t="shared" si="30"/>
        <v>0</v>
      </c>
      <c r="AZ290" s="180">
        <f t="shared" si="30"/>
        <v>1</v>
      </c>
      <c r="BA290" s="180">
        <f t="shared" si="30"/>
        <v>0</v>
      </c>
      <c r="BB290" s="180">
        <f t="shared" si="30"/>
        <v>0</v>
      </c>
      <c r="BC290" s="180">
        <f t="shared" si="30"/>
        <v>0</v>
      </c>
      <c r="BD290" s="180">
        <f t="shared" si="30"/>
        <v>0</v>
      </c>
      <c r="BE290" s="180">
        <f t="shared" si="30"/>
        <v>0</v>
      </c>
      <c r="BF290" s="180">
        <f t="shared" si="30"/>
        <v>0</v>
      </c>
      <c r="BG290" s="180">
        <f t="shared" si="30"/>
        <v>2</v>
      </c>
      <c r="BH290" s="180">
        <f t="shared" si="30"/>
        <v>0</v>
      </c>
      <c r="BI290" s="180">
        <f t="shared" si="30"/>
        <v>0</v>
      </c>
      <c r="BJ290" s="180">
        <f t="shared" si="30"/>
        <v>0</v>
      </c>
      <c r="BK290" s="180">
        <f t="shared" si="30"/>
        <v>0</v>
      </c>
      <c r="BL290" s="180">
        <f t="shared" si="30"/>
        <v>0</v>
      </c>
      <c r="BM290" s="180">
        <f t="shared" si="30"/>
        <v>1</v>
      </c>
      <c r="BN290" s="180">
        <f t="shared" si="30"/>
        <v>1</v>
      </c>
      <c r="BO290" s="180">
        <f t="shared" si="30"/>
        <v>0</v>
      </c>
      <c r="BP290" s="180">
        <f t="shared" ref="BP290:CZ290" si="31">BP215</f>
        <v>0</v>
      </c>
      <c r="BQ290" s="180">
        <f t="shared" si="31"/>
        <v>0</v>
      </c>
      <c r="BR290" s="180">
        <f t="shared" si="31"/>
        <v>0</v>
      </c>
      <c r="BS290" s="180">
        <f t="shared" si="31"/>
        <v>0</v>
      </c>
      <c r="BT290" s="180">
        <f t="shared" si="31"/>
        <v>0</v>
      </c>
      <c r="BU290" s="180">
        <f t="shared" si="31"/>
        <v>0</v>
      </c>
      <c r="BV290" s="180">
        <f t="shared" si="31"/>
        <v>0</v>
      </c>
      <c r="BW290" s="180">
        <f t="shared" si="31"/>
        <v>0</v>
      </c>
      <c r="BX290" s="180">
        <f t="shared" si="31"/>
        <v>0</v>
      </c>
      <c r="BY290" s="180">
        <f t="shared" si="31"/>
        <v>0</v>
      </c>
      <c r="BZ290" s="180">
        <f t="shared" si="31"/>
        <v>0</v>
      </c>
      <c r="CA290" s="180">
        <f t="shared" si="31"/>
        <v>2</v>
      </c>
      <c r="CB290" s="180">
        <f t="shared" si="31"/>
        <v>0</v>
      </c>
      <c r="CC290" s="180">
        <f t="shared" si="31"/>
        <v>0</v>
      </c>
      <c r="CD290" s="180">
        <f t="shared" si="31"/>
        <v>0</v>
      </c>
      <c r="CE290" s="180">
        <f t="shared" si="31"/>
        <v>0</v>
      </c>
      <c r="CF290" s="180">
        <f t="shared" si="31"/>
        <v>0</v>
      </c>
      <c r="CG290" s="180">
        <f t="shared" si="31"/>
        <v>2</v>
      </c>
      <c r="CH290" s="180">
        <f t="shared" si="31"/>
        <v>0</v>
      </c>
      <c r="CI290" s="180">
        <f t="shared" si="31"/>
        <v>0</v>
      </c>
      <c r="CJ290" s="180">
        <f t="shared" si="31"/>
        <v>0</v>
      </c>
      <c r="CK290" s="180">
        <f t="shared" si="31"/>
        <v>0</v>
      </c>
      <c r="CL290" s="180">
        <f t="shared" si="31"/>
        <v>0</v>
      </c>
      <c r="CM290" s="180">
        <f t="shared" si="31"/>
        <v>0</v>
      </c>
      <c r="CN290" s="180">
        <f t="shared" si="31"/>
        <v>1</v>
      </c>
      <c r="CO290" s="180">
        <f t="shared" si="31"/>
        <v>1</v>
      </c>
      <c r="CP290" s="180">
        <f t="shared" si="31"/>
        <v>0</v>
      </c>
      <c r="CQ290" s="180">
        <f t="shared" si="31"/>
        <v>3</v>
      </c>
      <c r="CR290" s="180">
        <f t="shared" si="31"/>
        <v>0</v>
      </c>
      <c r="CS290" s="180">
        <f t="shared" si="31"/>
        <v>0</v>
      </c>
      <c r="CT290" s="180">
        <f t="shared" si="31"/>
        <v>0</v>
      </c>
      <c r="CU290" s="180">
        <f t="shared" si="31"/>
        <v>0</v>
      </c>
      <c r="CV290" s="180">
        <f t="shared" si="31"/>
        <v>0</v>
      </c>
      <c r="CW290" s="180">
        <f t="shared" si="31"/>
        <v>0</v>
      </c>
      <c r="CX290" s="180">
        <f t="shared" si="31"/>
        <v>0</v>
      </c>
      <c r="CY290" s="180">
        <f t="shared" si="31"/>
        <v>0</v>
      </c>
      <c r="CZ290" s="180">
        <f t="shared" si="31"/>
        <v>0</v>
      </c>
    </row>
    <row r="291" spans="1:104" x14ac:dyDescent="0.3">
      <c r="A291" s="556">
        <v>959</v>
      </c>
      <c r="B291" s="180"/>
      <c r="C291" s="180">
        <v>217</v>
      </c>
      <c r="D291" s="180">
        <f t="shared" ref="D291:AI291" si="32">D217</f>
        <v>2</v>
      </c>
      <c r="E291" s="180">
        <f t="shared" si="32"/>
        <v>2</v>
      </c>
      <c r="F291" s="180">
        <f t="shared" si="32"/>
        <v>2</v>
      </c>
      <c r="G291" s="180">
        <f t="shared" si="32"/>
        <v>3</v>
      </c>
      <c r="H291" s="180">
        <f t="shared" si="32"/>
        <v>2</v>
      </c>
      <c r="I291" s="180">
        <f t="shared" si="32"/>
        <v>2</v>
      </c>
      <c r="J291" s="180">
        <f t="shared" si="32"/>
        <v>2</v>
      </c>
      <c r="K291" s="180">
        <f t="shared" si="32"/>
        <v>0</v>
      </c>
      <c r="L291" s="180">
        <f t="shared" si="32"/>
        <v>2</v>
      </c>
      <c r="M291" s="180">
        <f t="shared" si="32"/>
        <v>2</v>
      </c>
      <c r="N291" s="180">
        <f t="shared" si="32"/>
        <v>0</v>
      </c>
      <c r="O291" s="180">
        <f t="shared" si="32"/>
        <v>2</v>
      </c>
      <c r="P291" s="180">
        <f t="shared" si="32"/>
        <v>2</v>
      </c>
      <c r="Q291" s="180">
        <f t="shared" si="32"/>
        <v>2</v>
      </c>
      <c r="R291" s="180">
        <f t="shared" si="32"/>
        <v>3</v>
      </c>
      <c r="S291" s="180">
        <f t="shared" si="32"/>
        <v>2</v>
      </c>
      <c r="T291" s="180">
        <f t="shared" si="32"/>
        <v>3</v>
      </c>
      <c r="U291" s="180">
        <f t="shared" si="32"/>
        <v>3</v>
      </c>
      <c r="V291" s="180">
        <f t="shared" si="32"/>
        <v>2</v>
      </c>
      <c r="W291" s="180">
        <f t="shared" si="32"/>
        <v>2</v>
      </c>
      <c r="X291" s="180">
        <f t="shared" si="32"/>
        <v>2</v>
      </c>
      <c r="Y291" s="180">
        <f t="shared" si="32"/>
        <v>3</v>
      </c>
      <c r="Z291" s="180">
        <f t="shared" si="32"/>
        <v>2</v>
      </c>
      <c r="AA291" s="180">
        <f t="shared" si="32"/>
        <v>2</v>
      </c>
      <c r="AB291" s="180">
        <f t="shared" si="32"/>
        <v>3</v>
      </c>
      <c r="AC291" s="180">
        <f t="shared" si="32"/>
        <v>2</v>
      </c>
      <c r="AD291" s="180">
        <f t="shared" si="32"/>
        <v>0</v>
      </c>
      <c r="AE291" s="180">
        <f t="shared" si="32"/>
        <v>2</v>
      </c>
      <c r="AF291" s="180">
        <f t="shared" si="32"/>
        <v>2</v>
      </c>
      <c r="AG291" s="180">
        <f t="shared" si="32"/>
        <v>2</v>
      </c>
      <c r="AH291" s="180">
        <f t="shared" si="32"/>
        <v>3</v>
      </c>
      <c r="AI291" s="180">
        <f t="shared" si="32"/>
        <v>2</v>
      </c>
      <c r="AJ291" s="180">
        <f t="shared" ref="AJ291:BO291" si="33">AJ217</f>
        <v>3</v>
      </c>
      <c r="AK291" s="180">
        <f t="shared" si="33"/>
        <v>3</v>
      </c>
      <c r="AL291" s="180">
        <f t="shared" si="33"/>
        <v>2</v>
      </c>
      <c r="AM291" s="180">
        <f t="shared" si="33"/>
        <v>3</v>
      </c>
      <c r="AN291" s="180">
        <f t="shared" si="33"/>
        <v>2</v>
      </c>
      <c r="AO291" s="180">
        <f t="shared" si="33"/>
        <v>2</v>
      </c>
      <c r="AP291" s="180">
        <f t="shared" si="33"/>
        <v>2</v>
      </c>
      <c r="AQ291" s="180">
        <f t="shared" si="33"/>
        <v>3</v>
      </c>
      <c r="AR291" s="180">
        <f t="shared" si="33"/>
        <v>2</v>
      </c>
      <c r="AS291" s="180">
        <f t="shared" si="33"/>
        <v>2</v>
      </c>
      <c r="AT291" s="180">
        <f t="shared" si="33"/>
        <v>2</v>
      </c>
      <c r="AU291" s="180">
        <f t="shared" si="33"/>
        <v>3</v>
      </c>
      <c r="AV291" s="180">
        <f t="shared" si="33"/>
        <v>2</v>
      </c>
      <c r="AW291" s="180">
        <f t="shared" si="33"/>
        <v>3</v>
      </c>
      <c r="AX291" s="180">
        <f t="shared" si="33"/>
        <v>2</v>
      </c>
      <c r="AY291" s="180">
        <f t="shared" si="33"/>
        <v>2</v>
      </c>
      <c r="AZ291" s="180">
        <f t="shared" si="33"/>
        <v>2</v>
      </c>
      <c r="BA291" s="180">
        <f t="shared" si="33"/>
        <v>2</v>
      </c>
      <c r="BB291" s="180">
        <f t="shared" si="33"/>
        <v>3</v>
      </c>
      <c r="BC291" s="180">
        <f t="shared" si="33"/>
        <v>2</v>
      </c>
      <c r="BD291" s="180">
        <f t="shared" si="33"/>
        <v>2</v>
      </c>
      <c r="BE291" s="180">
        <f t="shared" si="33"/>
        <v>2</v>
      </c>
      <c r="BF291" s="180">
        <f t="shared" si="33"/>
        <v>3</v>
      </c>
      <c r="BG291" s="180">
        <f t="shared" si="33"/>
        <v>2</v>
      </c>
      <c r="BH291" s="180">
        <f t="shared" si="33"/>
        <v>2</v>
      </c>
      <c r="BI291" s="180">
        <f t="shared" si="33"/>
        <v>2</v>
      </c>
      <c r="BJ291" s="180">
        <f t="shared" si="33"/>
        <v>2</v>
      </c>
      <c r="BK291" s="180">
        <f t="shared" si="33"/>
        <v>2</v>
      </c>
      <c r="BL291" s="180">
        <f t="shared" si="33"/>
        <v>2</v>
      </c>
      <c r="BM291" s="180">
        <f t="shared" si="33"/>
        <v>2</v>
      </c>
      <c r="BN291" s="180">
        <f t="shared" si="33"/>
        <v>2</v>
      </c>
      <c r="BO291" s="180">
        <f t="shared" si="33"/>
        <v>2</v>
      </c>
      <c r="BP291" s="180">
        <f t="shared" ref="BP291:CZ291" si="34">BP217</f>
        <v>3</v>
      </c>
      <c r="BQ291" s="180">
        <f t="shared" si="34"/>
        <v>2</v>
      </c>
      <c r="BR291" s="180">
        <f t="shared" si="34"/>
        <v>3</v>
      </c>
      <c r="BS291" s="180">
        <f t="shared" si="34"/>
        <v>2</v>
      </c>
      <c r="BT291" s="180">
        <f t="shared" si="34"/>
        <v>2</v>
      </c>
      <c r="BU291" s="180">
        <f t="shared" si="34"/>
        <v>2</v>
      </c>
      <c r="BV291" s="180">
        <f t="shared" si="34"/>
        <v>2</v>
      </c>
      <c r="BW291" s="180">
        <f t="shared" si="34"/>
        <v>2</v>
      </c>
      <c r="BX291" s="180">
        <f t="shared" si="34"/>
        <v>0</v>
      </c>
      <c r="BY291" s="180">
        <f t="shared" si="34"/>
        <v>0</v>
      </c>
      <c r="BZ291" s="180">
        <f t="shared" si="34"/>
        <v>3</v>
      </c>
      <c r="CA291" s="180">
        <f t="shared" si="34"/>
        <v>3</v>
      </c>
      <c r="CB291" s="180">
        <f t="shared" si="34"/>
        <v>0</v>
      </c>
      <c r="CC291" s="180">
        <f t="shared" si="34"/>
        <v>2</v>
      </c>
      <c r="CD291" s="180">
        <f t="shared" si="34"/>
        <v>2</v>
      </c>
      <c r="CE291" s="180">
        <f t="shared" si="34"/>
        <v>2</v>
      </c>
      <c r="CF291" s="180">
        <f t="shared" si="34"/>
        <v>2</v>
      </c>
      <c r="CG291" s="180">
        <f t="shared" si="34"/>
        <v>2</v>
      </c>
      <c r="CH291" s="180">
        <f t="shared" si="34"/>
        <v>2</v>
      </c>
      <c r="CI291" s="180">
        <f t="shared" si="34"/>
        <v>2</v>
      </c>
      <c r="CJ291" s="180">
        <f t="shared" si="34"/>
        <v>2</v>
      </c>
      <c r="CK291" s="180">
        <f t="shared" si="34"/>
        <v>2</v>
      </c>
      <c r="CL291" s="180">
        <f t="shared" si="34"/>
        <v>2</v>
      </c>
      <c r="CM291" s="180">
        <f t="shared" si="34"/>
        <v>2</v>
      </c>
      <c r="CN291" s="180">
        <f t="shared" si="34"/>
        <v>2</v>
      </c>
      <c r="CO291" s="180">
        <f t="shared" si="34"/>
        <v>3</v>
      </c>
      <c r="CP291" s="180">
        <f t="shared" si="34"/>
        <v>2</v>
      </c>
      <c r="CQ291" s="180">
        <f t="shared" si="34"/>
        <v>2</v>
      </c>
      <c r="CR291" s="180">
        <f t="shared" si="34"/>
        <v>2</v>
      </c>
      <c r="CS291" s="180">
        <f t="shared" si="34"/>
        <v>2</v>
      </c>
      <c r="CT291" s="180">
        <f t="shared" si="34"/>
        <v>0</v>
      </c>
      <c r="CU291" s="180">
        <f t="shared" si="34"/>
        <v>0</v>
      </c>
      <c r="CV291" s="180">
        <f t="shared" si="34"/>
        <v>0</v>
      </c>
      <c r="CW291" s="180">
        <f t="shared" si="34"/>
        <v>0</v>
      </c>
      <c r="CX291" s="180">
        <f t="shared" si="34"/>
        <v>0</v>
      </c>
      <c r="CY291" s="180">
        <f t="shared" si="34"/>
        <v>0</v>
      </c>
      <c r="CZ291" s="180">
        <f t="shared" si="34"/>
        <v>0</v>
      </c>
    </row>
    <row r="292" spans="1:104" x14ac:dyDescent="0.3">
      <c r="A292" s="556">
        <v>973</v>
      </c>
      <c r="B292" s="180"/>
      <c r="C292" s="180">
        <v>223</v>
      </c>
      <c r="D292" s="180">
        <f t="shared" ref="D292:AI292" si="35">D223</f>
        <v>0</v>
      </c>
      <c r="E292" s="180">
        <f t="shared" si="35"/>
        <v>0</v>
      </c>
      <c r="F292" s="180">
        <f t="shared" si="35"/>
        <v>0</v>
      </c>
      <c r="G292" s="180">
        <f t="shared" si="35"/>
        <v>0</v>
      </c>
      <c r="H292" s="180">
        <f t="shared" si="35"/>
        <v>0</v>
      </c>
      <c r="I292" s="180">
        <f t="shared" si="35"/>
        <v>0</v>
      </c>
      <c r="J292" s="180">
        <f t="shared" si="35"/>
        <v>0</v>
      </c>
      <c r="K292" s="180">
        <f t="shared" si="35"/>
        <v>0</v>
      </c>
      <c r="L292" s="180">
        <f t="shared" si="35"/>
        <v>0</v>
      </c>
      <c r="M292" s="180">
        <f t="shared" si="35"/>
        <v>0</v>
      </c>
      <c r="N292" s="180">
        <f t="shared" si="35"/>
        <v>0</v>
      </c>
      <c r="O292" s="180">
        <f t="shared" si="35"/>
        <v>0</v>
      </c>
      <c r="P292" s="180">
        <f t="shared" si="35"/>
        <v>0</v>
      </c>
      <c r="Q292" s="180">
        <f t="shared" si="35"/>
        <v>0</v>
      </c>
      <c r="R292" s="180">
        <f t="shared" si="35"/>
        <v>0</v>
      </c>
      <c r="S292" s="180">
        <f t="shared" si="35"/>
        <v>0</v>
      </c>
      <c r="T292" s="180">
        <f t="shared" si="35"/>
        <v>0</v>
      </c>
      <c r="U292" s="180">
        <f t="shared" si="35"/>
        <v>0</v>
      </c>
      <c r="V292" s="180">
        <f t="shared" si="35"/>
        <v>0</v>
      </c>
      <c r="W292" s="180">
        <f t="shared" si="35"/>
        <v>0</v>
      </c>
      <c r="X292" s="180">
        <f t="shared" si="35"/>
        <v>0</v>
      </c>
      <c r="Y292" s="180">
        <f t="shared" si="35"/>
        <v>0</v>
      </c>
      <c r="Z292" s="180">
        <f t="shared" si="35"/>
        <v>0</v>
      </c>
      <c r="AA292" s="180">
        <f t="shared" si="35"/>
        <v>0</v>
      </c>
      <c r="AB292" s="180">
        <f t="shared" si="35"/>
        <v>0</v>
      </c>
      <c r="AC292" s="180">
        <f t="shared" si="35"/>
        <v>0</v>
      </c>
      <c r="AD292" s="180">
        <f t="shared" si="35"/>
        <v>0</v>
      </c>
      <c r="AE292" s="180">
        <f t="shared" si="35"/>
        <v>0</v>
      </c>
      <c r="AF292" s="180">
        <f t="shared" si="35"/>
        <v>0</v>
      </c>
      <c r="AG292" s="180">
        <f t="shared" si="35"/>
        <v>0</v>
      </c>
      <c r="AH292" s="180">
        <f t="shared" si="35"/>
        <v>0</v>
      </c>
      <c r="AI292" s="180">
        <f t="shared" si="35"/>
        <v>0</v>
      </c>
      <c r="AJ292" s="180">
        <f t="shared" ref="AJ292:BO292" si="36">AJ223</f>
        <v>0</v>
      </c>
      <c r="AK292" s="180">
        <f t="shared" si="36"/>
        <v>0</v>
      </c>
      <c r="AL292" s="180">
        <f t="shared" si="36"/>
        <v>0</v>
      </c>
      <c r="AM292" s="180">
        <f t="shared" si="36"/>
        <v>0</v>
      </c>
      <c r="AN292" s="180">
        <f t="shared" si="36"/>
        <v>0</v>
      </c>
      <c r="AO292" s="180">
        <f t="shared" si="36"/>
        <v>1</v>
      </c>
      <c r="AP292" s="180">
        <f t="shared" si="36"/>
        <v>0</v>
      </c>
      <c r="AQ292" s="180">
        <f t="shared" si="36"/>
        <v>0</v>
      </c>
      <c r="AR292" s="180">
        <f t="shared" si="36"/>
        <v>0</v>
      </c>
      <c r="AS292" s="180">
        <f t="shared" si="36"/>
        <v>0</v>
      </c>
      <c r="AT292" s="180">
        <f t="shared" si="36"/>
        <v>0</v>
      </c>
      <c r="AU292" s="180">
        <f t="shared" si="36"/>
        <v>0</v>
      </c>
      <c r="AV292" s="180">
        <f t="shared" si="36"/>
        <v>0</v>
      </c>
      <c r="AW292" s="180">
        <f t="shared" si="36"/>
        <v>0</v>
      </c>
      <c r="AX292" s="180">
        <f t="shared" si="36"/>
        <v>0</v>
      </c>
      <c r="AY292" s="180">
        <f t="shared" si="36"/>
        <v>1</v>
      </c>
      <c r="AZ292" s="180">
        <f t="shared" si="36"/>
        <v>0</v>
      </c>
      <c r="BA292" s="180">
        <f t="shared" si="36"/>
        <v>0</v>
      </c>
      <c r="BB292" s="180">
        <f t="shared" si="36"/>
        <v>0</v>
      </c>
      <c r="BC292" s="180">
        <f t="shared" si="36"/>
        <v>0</v>
      </c>
      <c r="BD292" s="180">
        <f t="shared" si="36"/>
        <v>0</v>
      </c>
      <c r="BE292" s="180">
        <f t="shared" si="36"/>
        <v>0</v>
      </c>
      <c r="BF292" s="180">
        <f t="shared" si="36"/>
        <v>0</v>
      </c>
      <c r="BG292" s="180">
        <f t="shared" si="36"/>
        <v>1</v>
      </c>
      <c r="BH292" s="180">
        <f t="shared" si="36"/>
        <v>0</v>
      </c>
      <c r="BI292" s="180">
        <f t="shared" si="36"/>
        <v>0</v>
      </c>
      <c r="BJ292" s="180">
        <f t="shared" si="36"/>
        <v>0</v>
      </c>
      <c r="BK292" s="180">
        <f t="shared" si="36"/>
        <v>0</v>
      </c>
      <c r="BL292" s="180">
        <f t="shared" si="36"/>
        <v>0</v>
      </c>
      <c r="BM292" s="180">
        <f t="shared" si="36"/>
        <v>0</v>
      </c>
      <c r="BN292" s="180">
        <f t="shared" si="36"/>
        <v>0</v>
      </c>
      <c r="BO292" s="180">
        <f t="shared" si="36"/>
        <v>0</v>
      </c>
      <c r="BP292" s="180">
        <f t="shared" ref="BP292:CZ292" si="37">BP223</f>
        <v>0</v>
      </c>
      <c r="BQ292" s="180">
        <f t="shared" si="37"/>
        <v>0</v>
      </c>
      <c r="BR292" s="180">
        <f t="shared" si="37"/>
        <v>0</v>
      </c>
      <c r="BS292" s="180">
        <f t="shared" si="37"/>
        <v>0</v>
      </c>
      <c r="BT292" s="180">
        <f t="shared" si="37"/>
        <v>0</v>
      </c>
      <c r="BU292" s="180">
        <f t="shared" si="37"/>
        <v>0</v>
      </c>
      <c r="BV292" s="180">
        <f t="shared" si="37"/>
        <v>0</v>
      </c>
      <c r="BW292" s="180">
        <f t="shared" si="37"/>
        <v>0</v>
      </c>
      <c r="BX292" s="180">
        <f t="shared" si="37"/>
        <v>0</v>
      </c>
      <c r="BY292" s="180">
        <f t="shared" si="37"/>
        <v>0</v>
      </c>
      <c r="BZ292" s="180">
        <f t="shared" si="37"/>
        <v>0</v>
      </c>
      <c r="CA292" s="180">
        <f t="shared" si="37"/>
        <v>0</v>
      </c>
      <c r="CB292" s="180">
        <f t="shared" si="37"/>
        <v>0</v>
      </c>
      <c r="CC292" s="180">
        <f t="shared" si="37"/>
        <v>0</v>
      </c>
      <c r="CD292" s="180">
        <f t="shared" si="37"/>
        <v>0</v>
      </c>
      <c r="CE292" s="180">
        <f t="shared" si="37"/>
        <v>0</v>
      </c>
      <c r="CF292" s="180">
        <f t="shared" si="37"/>
        <v>0</v>
      </c>
      <c r="CG292" s="180">
        <f t="shared" si="37"/>
        <v>0</v>
      </c>
      <c r="CH292" s="180">
        <f t="shared" si="37"/>
        <v>0</v>
      </c>
      <c r="CI292" s="180">
        <f t="shared" si="37"/>
        <v>0</v>
      </c>
      <c r="CJ292" s="180">
        <f t="shared" si="37"/>
        <v>0</v>
      </c>
      <c r="CK292" s="180">
        <f t="shared" si="37"/>
        <v>0</v>
      </c>
      <c r="CL292" s="180">
        <f t="shared" si="37"/>
        <v>0</v>
      </c>
      <c r="CM292" s="180">
        <f t="shared" si="37"/>
        <v>0</v>
      </c>
      <c r="CN292" s="180">
        <f t="shared" si="37"/>
        <v>0</v>
      </c>
      <c r="CO292" s="180">
        <f t="shared" si="37"/>
        <v>0</v>
      </c>
      <c r="CP292" s="180">
        <f t="shared" si="37"/>
        <v>0</v>
      </c>
      <c r="CQ292" s="180">
        <f t="shared" si="37"/>
        <v>0</v>
      </c>
      <c r="CR292" s="180">
        <f t="shared" si="37"/>
        <v>0</v>
      </c>
      <c r="CS292" s="180">
        <f t="shared" si="37"/>
        <v>0</v>
      </c>
      <c r="CT292" s="180">
        <f t="shared" si="37"/>
        <v>0</v>
      </c>
      <c r="CU292" s="180">
        <f t="shared" si="37"/>
        <v>0</v>
      </c>
      <c r="CV292" s="180">
        <f t="shared" si="37"/>
        <v>0</v>
      </c>
      <c r="CW292" s="180">
        <f t="shared" si="37"/>
        <v>0</v>
      </c>
      <c r="CX292" s="180">
        <f t="shared" si="37"/>
        <v>0</v>
      </c>
      <c r="CY292" s="180">
        <f t="shared" si="37"/>
        <v>0</v>
      </c>
      <c r="CZ292" s="180">
        <f t="shared" si="37"/>
        <v>0</v>
      </c>
    </row>
    <row r="293" spans="1:104" x14ac:dyDescent="0.3">
      <c r="A293" s="556">
        <v>974</v>
      </c>
      <c r="B293" s="180"/>
      <c r="C293" s="180">
        <v>223</v>
      </c>
      <c r="D293" s="180">
        <f t="shared" ref="D293:AI293" si="38">D224</f>
        <v>2</v>
      </c>
      <c r="E293" s="180">
        <f t="shared" si="38"/>
        <v>2</v>
      </c>
      <c r="F293" s="180">
        <f t="shared" si="38"/>
        <v>2</v>
      </c>
      <c r="G293" s="180">
        <f t="shared" si="38"/>
        <v>3</v>
      </c>
      <c r="H293" s="180">
        <f t="shared" si="38"/>
        <v>2</v>
      </c>
      <c r="I293" s="180">
        <f t="shared" si="38"/>
        <v>2</v>
      </c>
      <c r="J293" s="180">
        <f t="shared" si="38"/>
        <v>2</v>
      </c>
      <c r="K293" s="180">
        <f t="shared" si="38"/>
        <v>0</v>
      </c>
      <c r="L293" s="180">
        <f t="shared" si="38"/>
        <v>2</v>
      </c>
      <c r="M293" s="180">
        <f t="shared" si="38"/>
        <v>2</v>
      </c>
      <c r="N293" s="180">
        <f t="shared" si="38"/>
        <v>0</v>
      </c>
      <c r="O293" s="180">
        <f t="shared" si="38"/>
        <v>2</v>
      </c>
      <c r="P293" s="180">
        <f t="shared" si="38"/>
        <v>2</v>
      </c>
      <c r="Q293" s="180">
        <f t="shared" si="38"/>
        <v>2</v>
      </c>
      <c r="R293" s="180">
        <f t="shared" si="38"/>
        <v>3</v>
      </c>
      <c r="S293" s="180">
        <f t="shared" si="38"/>
        <v>2</v>
      </c>
      <c r="T293" s="180">
        <f t="shared" si="38"/>
        <v>3</v>
      </c>
      <c r="U293" s="180">
        <f t="shared" si="38"/>
        <v>3</v>
      </c>
      <c r="V293" s="180">
        <f t="shared" si="38"/>
        <v>2</v>
      </c>
      <c r="W293" s="180">
        <f t="shared" si="38"/>
        <v>2</v>
      </c>
      <c r="X293" s="180">
        <f t="shared" si="38"/>
        <v>2</v>
      </c>
      <c r="Y293" s="180">
        <f t="shared" si="38"/>
        <v>3</v>
      </c>
      <c r="Z293" s="180">
        <f t="shared" si="38"/>
        <v>2</v>
      </c>
      <c r="AA293" s="180">
        <f t="shared" si="38"/>
        <v>2</v>
      </c>
      <c r="AB293" s="180">
        <f t="shared" si="38"/>
        <v>3</v>
      </c>
      <c r="AC293" s="180">
        <f t="shared" si="38"/>
        <v>2</v>
      </c>
      <c r="AD293" s="180">
        <f t="shared" si="38"/>
        <v>0</v>
      </c>
      <c r="AE293" s="180">
        <f t="shared" si="38"/>
        <v>1</v>
      </c>
      <c r="AF293" s="180">
        <f t="shared" si="38"/>
        <v>2</v>
      </c>
      <c r="AG293" s="180">
        <f t="shared" si="38"/>
        <v>2</v>
      </c>
      <c r="AH293" s="180">
        <f t="shared" si="38"/>
        <v>3</v>
      </c>
      <c r="AI293" s="180">
        <f t="shared" si="38"/>
        <v>2</v>
      </c>
      <c r="AJ293" s="180">
        <f t="shared" ref="AJ293:BO293" si="39">AJ224</f>
        <v>3</v>
      </c>
      <c r="AK293" s="180">
        <f t="shared" si="39"/>
        <v>3</v>
      </c>
      <c r="AL293" s="180">
        <f t="shared" si="39"/>
        <v>2</v>
      </c>
      <c r="AM293" s="180">
        <f t="shared" si="39"/>
        <v>3</v>
      </c>
      <c r="AN293" s="180">
        <f t="shared" si="39"/>
        <v>2</v>
      </c>
      <c r="AO293" s="180">
        <f t="shared" si="39"/>
        <v>2</v>
      </c>
      <c r="AP293" s="180">
        <f t="shared" si="39"/>
        <v>2</v>
      </c>
      <c r="AQ293" s="180">
        <f t="shared" si="39"/>
        <v>3</v>
      </c>
      <c r="AR293" s="180">
        <f t="shared" si="39"/>
        <v>2</v>
      </c>
      <c r="AS293" s="180">
        <f t="shared" si="39"/>
        <v>2</v>
      </c>
      <c r="AT293" s="180">
        <f t="shared" si="39"/>
        <v>2</v>
      </c>
      <c r="AU293" s="180">
        <f t="shared" si="39"/>
        <v>3</v>
      </c>
      <c r="AV293" s="180">
        <f t="shared" si="39"/>
        <v>2</v>
      </c>
      <c r="AW293" s="180">
        <f t="shared" si="39"/>
        <v>3</v>
      </c>
      <c r="AX293" s="180">
        <f t="shared" si="39"/>
        <v>2</v>
      </c>
      <c r="AY293" s="180">
        <f t="shared" si="39"/>
        <v>2</v>
      </c>
      <c r="AZ293" s="180">
        <f t="shared" si="39"/>
        <v>2</v>
      </c>
      <c r="BA293" s="180">
        <f t="shared" si="39"/>
        <v>2</v>
      </c>
      <c r="BB293" s="180">
        <f t="shared" si="39"/>
        <v>3</v>
      </c>
      <c r="BC293" s="180">
        <f t="shared" si="39"/>
        <v>2</v>
      </c>
      <c r="BD293" s="180">
        <f t="shared" si="39"/>
        <v>3</v>
      </c>
      <c r="BE293" s="180">
        <f t="shared" si="39"/>
        <v>2</v>
      </c>
      <c r="BF293" s="180">
        <f t="shared" si="39"/>
        <v>3</v>
      </c>
      <c r="BG293" s="180">
        <f t="shared" si="39"/>
        <v>2</v>
      </c>
      <c r="BH293" s="180">
        <f t="shared" si="39"/>
        <v>2</v>
      </c>
      <c r="BI293" s="180">
        <f t="shared" si="39"/>
        <v>2</v>
      </c>
      <c r="BJ293" s="180">
        <f t="shared" si="39"/>
        <v>2</v>
      </c>
      <c r="BK293" s="180">
        <f t="shared" si="39"/>
        <v>2</v>
      </c>
      <c r="BL293" s="180">
        <f t="shared" si="39"/>
        <v>2</v>
      </c>
      <c r="BM293" s="180">
        <f t="shared" si="39"/>
        <v>2</v>
      </c>
      <c r="BN293" s="180">
        <f t="shared" si="39"/>
        <v>2</v>
      </c>
      <c r="BO293" s="180">
        <f t="shared" si="39"/>
        <v>2</v>
      </c>
      <c r="BP293" s="180">
        <f t="shared" ref="BP293:CZ293" si="40">BP224</f>
        <v>3</v>
      </c>
      <c r="BQ293" s="180">
        <f t="shared" si="40"/>
        <v>2</v>
      </c>
      <c r="BR293" s="180">
        <f t="shared" si="40"/>
        <v>3</v>
      </c>
      <c r="BS293" s="180">
        <f t="shared" si="40"/>
        <v>2</v>
      </c>
      <c r="BT293" s="180">
        <f t="shared" si="40"/>
        <v>2</v>
      </c>
      <c r="BU293" s="180">
        <f t="shared" si="40"/>
        <v>3</v>
      </c>
      <c r="BV293" s="180">
        <f t="shared" si="40"/>
        <v>2</v>
      </c>
      <c r="BW293" s="180">
        <f t="shared" si="40"/>
        <v>2</v>
      </c>
      <c r="BX293" s="180">
        <f t="shared" si="40"/>
        <v>0</v>
      </c>
      <c r="BY293" s="180">
        <f t="shared" si="40"/>
        <v>0</v>
      </c>
      <c r="BZ293" s="180">
        <f t="shared" si="40"/>
        <v>2</v>
      </c>
      <c r="CA293" s="180">
        <f t="shared" si="40"/>
        <v>2</v>
      </c>
      <c r="CB293" s="180">
        <f t="shared" si="40"/>
        <v>0</v>
      </c>
      <c r="CC293" s="180">
        <f t="shared" si="40"/>
        <v>2</v>
      </c>
      <c r="CD293" s="180">
        <f t="shared" si="40"/>
        <v>2</v>
      </c>
      <c r="CE293" s="180">
        <f t="shared" si="40"/>
        <v>2</v>
      </c>
      <c r="CF293" s="180">
        <f t="shared" si="40"/>
        <v>2</v>
      </c>
      <c r="CG293" s="180">
        <f t="shared" si="40"/>
        <v>2</v>
      </c>
      <c r="CH293" s="180">
        <f t="shared" si="40"/>
        <v>2</v>
      </c>
      <c r="CI293" s="180">
        <f t="shared" si="40"/>
        <v>2</v>
      </c>
      <c r="CJ293" s="180">
        <f t="shared" si="40"/>
        <v>2</v>
      </c>
      <c r="CK293" s="180">
        <f t="shared" si="40"/>
        <v>2</v>
      </c>
      <c r="CL293" s="180">
        <f t="shared" si="40"/>
        <v>2</v>
      </c>
      <c r="CM293" s="180">
        <f t="shared" si="40"/>
        <v>2</v>
      </c>
      <c r="CN293" s="180">
        <f t="shared" si="40"/>
        <v>2</v>
      </c>
      <c r="CO293" s="180">
        <f t="shared" si="40"/>
        <v>3</v>
      </c>
      <c r="CP293" s="180">
        <f t="shared" si="40"/>
        <v>2</v>
      </c>
      <c r="CQ293" s="180">
        <f t="shared" si="40"/>
        <v>1</v>
      </c>
      <c r="CR293" s="180">
        <f t="shared" si="40"/>
        <v>2</v>
      </c>
      <c r="CS293" s="180">
        <f t="shared" si="40"/>
        <v>2</v>
      </c>
      <c r="CT293" s="180">
        <f t="shared" si="40"/>
        <v>0</v>
      </c>
      <c r="CU293" s="180">
        <f t="shared" si="40"/>
        <v>0</v>
      </c>
      <c r="CV293" s="180">
        <f t="shared" si="40"/>
        <v>0</v>
      </c>
      <c r="CW293" s="180">
        <f t="shared" si="40"/>
        <v>0</v>
      </c>
      <c r="CX293" s="180">
        <f t="shared" si="40"/>
        <v>0</v>
      </c>
      <c r="CY293" s="180">
        <f t="shared" si="40"/>
        <v>0</v>
      </c>
      <c r="CZ293" s="180">
        <f t="shared" si="40"/>
        <v>0</v>
      </c>
    </row>
    <row r="294" spans="1:104" x14ac:dyDescent="0.3">
      <c r="A294" s="556">
        <v>975</v>
      </c>
      <c r="B294" s="180"/>
      <c r="C294" s="180">
        <v>223</v>
      </c>
      <c r="D294" s="180">
        <f t="shared" ref="D294:AI294" si="41">D225</f>
        <v>1</v>
      </c>
      <c r="E294" s="180">
        <f t="shared" si="41"/>
        <v>2</v>
      </c>
      <c r="F294" s="180">
        <f t="shared" si="41"/>
        <v>1</v>
      </c>
      <c r="G294" s="180">
        <f t="shared" si="41"/>
        <v>1</v>
      </c>
      <c r="H294" s="180">
        <f t="shared" si="41"/>
        <v>1</v>
      </c>
      <c r="I294" s="180">
        <f t="shared" si="41"/>
        <v>2</v>
      </c>
      <c r="J294" s="180">
        <f t="shared" si="41"/>
        <v>1</v>
      </c>
      <c r="K294" s="180">
        <f t="shared" si="41"/>
        <v>0</v>
      </c>
      <c r="L294" s="180">
        <f t="shared" si="41"/>
        <v>1</v>
      </c>
      <c r="M294" s="180">
        <f t="shared" si="41"/>
        <v>1</v>
      </c>
      <c r="N294" s="180">
        <f t="shared" si="41"/>
        <v>0</v>
      </c>
      <c r="O294" s="180">
        <f t="shared" si="41"/>
        <v>1</v>
      </c>
      <c r="P294" s="180">
        <f t="shared" si="41"/>
        <v>1</v>
      </c>
      <c r="Q294" s="180">
        <f t="shared" si="41"/>
        <v>1</v>
      </c>
      <c r="R294" s="180">
        <f t="shared" si="41"/>
        <v>1</v>
      </c>
      <c r="S294" s="180">
        <f t="shared" si="41"/>
        <v>1</v>
      </c>
      <c r="T294" s="180">
        <f t="shared" si="41"/>
        <v>1</v>
      </c>
      <c r="U294" s="180">
        <f t="shared" si="41"/>
        <v>1</v>
      </c>
      <c r="V294" s="180">
        <f t="shared" si="41"/>
        <v>2</v>
      </c>
      <c r="W294" s="180">
        <f t="shared" si="41"/>
        <v>2</v>
      </c>
      <c r="X294" s="180">
        <f t="shared" si="41"/>
        <v>2</v>
      </c>
      <c r="Y294" s="180">
        <f t="shared" si="41"/>
        <v>2</v>
      </c>
      <c r="Z294" s="180">
        <f t="shared" si="41"/>
        <v>2</v>
      </c>
      <c r="AA294" s="180">
        <f t="shared" si="41"/>
        <v>1</v>
      </c>
      <c r="AB294" s="180">
        <f t="shared" si="41"/>
        <v>2</v>
      </c>
      <c r="AC294" s="180">
        <f t="shared" si="41"/>
        <v>1</v>
      </c>
      <c r="AD294" s="180">
        <f t="shared" si="41"/>
        <v>0</v>
      </c>
      <c r="AE294" s="180">
        <f t="shared" si="41"/>
        <v>1</v>
      </c>
      <c r="AF294" s="180">
        <f t="shared" si="41"/>
        <v>1</v>
      </c>
      <c r="AG294" s="180">
        <f t="shared" si="41"/>
        <v>2</v>
      </c>
      <c r="AH294" s="180">
        <f t="shared" si="41"/>
        <v>2</v>
      </c>
      <c r="AI294" s="180">
        <f t="shared" si="41"/>
        <v>1</v>
      </c>
      <c r="AJ294" s="180">
        <f t="shared" ref="AJ294:BO294" si="42">AJ225</f>
        <v>2</v>
      </c>
      <c r="AK294" s="180">
        <f t="shared" si="42"/>
        <v>1</v>
      </c>
      <c r="AL294" s="180">
        <f t="shared" si="42"/>
        <v>1</v>
      </c>
      <c r="AM294" s="180">
        <f t="shared" si="42"/>
        <v>1</v>
      </c>
      <c r="AN294" s="180">
        <f t="shared" si="42"/>
        <v>1</v>
      </c>
      <c r="AO294" s="180">
        <f t="shared" si="42"/>
        <v>1</v>
      </c>
      <c r="AP294" s="180">
        <f t="shared" si="42"/>
        <v>1</v>
      </c>
      <c r="AQ294" s="180">
        <f t="shared" si="42"/>
        <v>1</v>
      </c>
      <c r="AR294" s="180">
        <f t="shared" si="42"/>
        <v>2</v>
      </c>
      <c r="AS294" s="180">
        <f t="shared" si="42"/>
        <v>1</v>
      </c>
      <c r="AT294" s="180">
        <f t="shared" si="42"/>
        <v>2</v>
      </c>
      <c r="AU294" s="180">
        <f t="shared" si="42"/>
        <v>1</v>
      </c>
      <c r="AV294" s="180">
        <f t="shared" si="42"/>
        <v>1</v>
      </c>
      <c r="AW294" s="180">
        <f t="shared" si="42"/>
        <v>1</v>
      </c>
      <c r="AX294" s="180">
        <f t="shared" si="42"/>
        <v>1</v>
      </c>
      <c r="AY294" s="180">
        <f t="shared" si="42"/>
        <v>1</v>
      </c>
      <c r="AZ294" s="180">
        <f t="shared" si="42"/>
        <v>1</v>
      </c>
      <c r="BA294" s="180">
        <f t="shared" si="42"/>
        <v>1</v>
      </c>
      <c r="BB294" s="180">
        <f t="shared" si="42"/>
        <v>1</v>
      </c>
      <c r="BC294" s="180">
        <f t="shared" si="42"/>
        <v>1</v>
      </c>
      <c r="BD294" s="180">
        <f t="shared" si="42"/>
        <v>2</v>
      </c>
      <c r="BE294" s="180">
        <f t="shared" si="42"/>
        <v>1</v>
      </c>
      <c r="BF294" s="180">
        <f t="shared" si="42"/>
        <v>1</v>
      </c>
      <c r="BG294" s="180">
        <f t="shared" si="42"/>
        <v>1</v>
      </c>
      <c r="BH294" s="180">
        <f t="shared" si="42"/>
        <v>1</v>
      </c>
      <c r="BI294" s="180">
        <f t="shared" si="42"/>
        <v>2</v>
      </c>
      <c r="BJ294" s="180">
        <f t="shared" si="42"/>
        <v>2</v>
      </c>
      <c r="BK294" s="180">
        <f t="shared" si="42"/>
        <v>2</v>
      </c>
      <c r="BL294" s="180">
        <f t="shared" si="42"/>
        <v>2</v>
      </c>
      <c r="BM294" s="180">
        <f t="shared" si="42"/>
        <v>1</v>
      </c>
      <c r="BN294" s="180">
        <f t="shared" si="42"/>
        <v>1</v>
      </c>
      <c r="BO294" s="180">
        <f t="shared" si="42"/>
        <v>2</v>
      </c>
      <c r="BP294" s="180">
        <f t="shared" ref="BP294:CZ294" si="43">BP225</f>
        <v>1</v>
      </c>
      <c r="BQ294" s="180">
        <f t="shared" si="43"/>
        <v>1</v>
      </c>
      <c r="BR294" s="180">
        <f t="shared" si="43"/>
        <v>1</v>
      </c>
      <c r="BS294" s="180">
        <f t="shared" si="43"/>
        <v>1</v>
      </c>
      <c r="BT294" s="180">
        <f t="shared" si="43"/>
        <v>2</v>
      </c>
      <c r="BU294" s="180">
        <f t="shared" si="43"/>
        <v>2</v>
      </c>
      <c r="BV294" s="180">
        <f t="shared" si="43"/>
        <v>1</v>
      </c>
      <c r="BW294" s="180">
        <f t="shared" si="43"/>
        <v>1</v>
      </c>
      <c r="BX294" s="180">
        <f t="shared" si="43"/>
        <v>0</v>
      </c>
      <c r="BY294" s="180">
        <f t="shared" si="43"/>
        <v>0</v>
      </c>
      <c r="BZ294" s="180">
        <f t="shared" si="43"/>
        <v>1</v>
      </c>
      <c r="CA294" s="180">
        <f t="shared" si="43"/>
        <v>1</v>
      </c>
      <c r="CB294" s="180">
        <f t="shared" si="43"/>
        <v>0</v>
      </c>
      <c r="CC294" s="180">
        <f t="shared" si="43"/>
        <v>1</v>
      </c>
      <c r="CD294" s="180">
        <f t="shared" si="43"/>
        <v>2</v>
      </c>
      <c r="CE294" s="180">
        <f t="shared" si="43"/>
        <v>2</v>
      </c>
      <c r="CF294" s="180">
        <f t="shared" si="43"/>
        <v>2</v>
      </c>
      <c r="CG294" s="180">
        <f t="shared" si="43"/>
        <v>1</v>
      </c>
      <c r="CH294" s="180">
        <f t="shared" si="43"/>
        <v>1</v>
      </c>
      <c r="CI294" s="180">
        <f t="shared" si="43"/>
        <v>2</v>
      </c>
      <c r="CJ294" s="180">
        <f t="shared" si="43"/>
        <v>2</v>
      </c>
      <c r="CK294" s="180">
        <f t="shared" si="43"/>
        <v>1</v>
      </c>
      <c r="CL294" s="180">
        <f t="shared" si="43"/>
        <v>1</v>
      </c>
      <c r="CM294" s="180">
        <f t="shared" si="43"/>
        <v>2</v>
      </c>
      <c r="CN294" s="180">
        <f t="shared" si="43"/>
        <v>1</v>
      </c>
      <c r="CO294" s="180">
        <f t="shared" si="43"/>
        <v>1</v>
      </c>
      <c r="CP294" s="180">
        <f t="shared" si="43"/>
        <v>1</v>
      </c>
      <c r="CQ294" s="180">
        <f t="shared" si="43"/>
        <v>1</v>
      </c>
      <c r="CR294" s="180">
        <f t="shared" si="43"/>
        <v>2</v>
      </c>
      <c r="CS294" s="180">
        <f t="shared" si="43"/>
        <v>1</v>
      </c>
      <c r="CT294" s="180">
        <f t="shared" si="43"/>
        <v>0</v>
      </c>
      <c r="CU294" s="180">
        <f t="shared" si="43"/>
        <v>0</v>
      </c>
      <c r="CV294" s="180">
        <f t="shared" si="43"/>
        <v>0</v>
      </c>
      <c r="CW294" s="180">
        <f t="shared" si="43"/>
        <v>0</v>
      </c>
      <c r="CX294" s="180">
        <f t="shared" si="43"/>
        <v>0</v>
      </c>
      <c r="CY294" s="180">
        <f t="shared" si="43"/>
        <v>0</v>
      </c>
      <c r="CZ294" s="180">
        <f t="shared" si="43"/>
        <v>0</v>
      </c>
    </row>
    <row r="295" spans="1:104" x14ac:dyDescent="0.3">
      <c r="A295" s="556">
        <v>979</v>
      </c>
      <c r="B295" s="180"/>
      <c r="C295" s="180">
        <v>223</v>
      </c>
      <c r="D295" s="180">
        <f t="shared" ref="D295:AI295" si="44">D226</f>
        <v>1</v>
      </c>
      <c r="E295" s="180">
        <f t="shared" si="44"/>
        <v>1</v>
      </c>
      <c r="F295" s="180">
        <f t="shared" si="44"/>
        <v>1</v>
      </c>
      <c r="G295" s="180">
        <f t="shared" si="44"/>
        <v>1</v>
      </c>
      <c r="H295" s="180">
        <f t="shared" si="44"/>
        <v>1</v>
      </c>
      <c r="I295" s="180">
        <f t="shared" si="44"/>
        <v>1</v>
      </c>
      <c r="J295" s="180">
        <f t="shared" si="44"/>
        <v>2</v>
      </c>
      <c r="K295" s="180">
        <f t="shared" si="44"/>
        <v>0</v>
      </c>
      <c r="L295" s="180">
        <f t="shared" si="44"/>
        <v>1</v>
      </c>
      <c r="M295" s="180">
        <f t="shared" si="44"/>
        <v>2</v>
      </c>
      <c r="N295" s="180">
        <f t="shared" si="44"/>
        <v>0</v>
      </c>
      <c r="O295" s="180">
        <f t="shared" si="44"/>
        <v>2</v>
      </c>
      <c r="P295" s="180">
        <f t="shared" si="44"/>
        <v>1</v>
      </c>
      <c r="Q295" s="180">
        <f t="shared" si="44"/>
        <v>1</v>
      </c>
      <c r="R295" s="180">
        <f t="shared" si="44"/>
        <v>1</v>
      </c>
      <c r="S295" s="180">
        <f t="shared" si="44"/>
        <v>2</v>
      </c>
      <c r="T295" s="180">
        <f t="shared" si="44"/>
        <v>1</v>
      </c>
      <c r="U295" s="180">
        <f t="shared" si="44"/>
        <v>2</v>
      </c>
      <c r="V295" s="180">
        <f t="shared" si="44"/>
        <v>1</v>
      </c>
      <c r="W295" s="180">
        <f t="shared" si="44"/>
        <v>1</v>
      </c>
      <c r="X295" s="180">
        <f t="shared" si="44"/>
        <v>1</v>
      </c>
      <c r="Y295" s="180">
        <f t="shared" si="44"/>
        <v>1</v>
      </c>
      <c r="Z295" s="180">
        <f t="shared" si="44"/>
        <v>1</v>
      </c>
      <c r="AA295" s="180">
        <f t="shared" si="44"/>
        <v>2</v>
      </c>
      <c r="AB295" s="180">
        <f t="shared" si="44"/>
        <v>1</v>
      </c>
      <c r="AC295" s="180">
        <f t="shared" si="44"/>
        <v>2</v>
      </c>
      <c r="AD295" s="180">
        <f t="shared" si="44"/>
        <v>0</v>
      </c>
      <c r="AE295" s="180">
        <f t="shared" si="44"/>
        <v>2</v>
      </c>
      <c r="AF295" s="180">
        <f t="shared" si="44"/>
        <v>1</v>
      </c>
      <c r="AG295" s="180">
        <f t="shared" si="44"/>
        <v>1</v>
      </c>
      <c r="AH295" s="180">
        <f t="shared" si="44"/>
        <v>1</v>
      </c>
      <c r="AI295" s="180">
        <f t="shared" si="44"/>
        <v>1</v>
      </c>
      <c r="AJ295" s="180">
        <f t="shared" ref="AJ295:BO295" si="45">AJ226</f>
        <v>1</v>
      </c>
      <c r="AK295" s="180">
        <f t="shared" si="45"/>
        <v>2</v>
      </c>
      <c r="AL295" s="180">
        <f t="shared" si="45"/>
        <v>1</v>
      </c>
      <c r="AM295" s="180">
        <f t="shared" si="45"/>
        <v>2</v>
      </c>
      <c r="AN295" s="180">
        <f t="shared" si="45"/>
        <v>2</v>
      </c>
      <c r="AO295" s="180">
        <f t="shared" si="45"/>
        <v>2</v>
      </c>
      <c r="AP295" s="180">
        <f t="shared" si="45"/>
        <v>1</v>
      </c>
      <c r="AQ295" s="180">
        <f t="shared" si="45"/>
        <v>2</v>
      </c>
      <c r="AR295" s="180">
        <f t="shared" si="45"/>
        <v>1</v>
      </c>
      <c r="AS295" s="180">
        <f t="shared" si="45"/>
        <v>2</v>
      </c>
      <c r="AT295" s="180">
        <f t="shared" si="45"/>
        <v>1</v>
      </c>
      <c r="AU295" s="180">
        <f t="shared" si="45"/>
        <v>2</v>
      </c>
      <c r="AV295" s="180">
        <f t="shared" si="45"/>
        <v>1</v>
      </c>
      <c r="AW295" s="180">
        <f t="shared" si="45"/>
        <v>1</v>
      </c>
      <c r="AX295" s="180">
        <f t="shared" si="45"/>
        <v>1</v>
      </c>
      <c r="AY295" s="180">
        <f t="shared" si="45"/>
        <v>2</v>
      </c>
      <c r="AZ295" s="180">
        <f t="shared" si="45"/>
        <v>1</v>
      </c>
      <c r="BA295" s="180">
        <f t="shared" si="45"/>
        <v>2</v>
      </c>
      <c r="BB295" s="180">
        <f t="shared" si="45"/>
        <v>2</v>
      </c>
      <c r="BC295" s="180">
        <f t="shared" si="45"/>
        <v>2</v>
      </c>
      <c r="BD295" s="180">
        <f t="shared" si="45"/>
        <v>1</v>
      </c>
      <c r="BE295" s="180">
        <f t="shared" si="45"/>
        <v>2</v>
      </c>
      <c r="BF295" s="180">
        <f t="shared" si="45"/>
        <v>1</v>
      </c>
      <c r="BG295" s="180">
        <f t="shared" si="45"/>
        <v>2</v>
      </c>
      <c r="BH295" s="180">
        <f t="shared" si="45"/>
        <v>2</v>
      </c>
      <c r="BI295" s="180">
        <f t="shared" si="45"/>
        <v>1</v>
      </c>
      <c r="BJ295" s="180">
        <f t="shared" si="45"/>
        <v>1</v>
      </c>
      <c r="BK295" s="180">
        <f t="shared" si="45"/>
        <v>1</v>
      </c>
      <c r="BL295" s="180">
        <f t="shared" si="45"/>
        <v>1</v>
      </c>
      <c r="BM295" s="180">
        <f t="shared" si="45"/>
        <v>1</v>
      </c>
      <c r="BN295" s="180">
        <f t="shared" si="45"/>
        <v>1</v>
      </c>
      <c r="BO295" s="180">
        <f t="shared" si="45"/>
        <v>1</v>
      </c>
      <c r="BP295" s="180">
        <f t="shared" ref="BP295:CZ295" si="46">BP226</f>
        <v>1</v>
      </c>
      <c r="BQ295" s="180">
        <f t="shared" si="46"/>
        <v>2</v>
      </c>
      <c r="BR295" s="180">
        <f t="shared" si="46"/>
        <v>2</v>
      </c>
      <c r="BS295" s="180">
        <f t="shared" si="46"/>
        <v>2</v>
      </c>
      <c r="BT295" s="180">
        <f t="shared" si="46"/>
        <v>1</v>
      </c>
      <c r="BU295" s="180">
        <f t="shared" si="46"/>
        <v>1</v>
      </c>
      <c r="BV295" s="180">
        <f t="shared" si="46"/>
        <v>1</v>
      </c>
      <c r="BW295" s="180">
        <f t="shared" si="46"/>
        <v>1</v>
      </c>
      <c r="BX295" s="180">
        <f t="shared" si="46"/>
        <v>0</v>
      </c>
      <c r="BY295" s="180">
        <f t="shared" si="46"/>
        <v>0</v>
      </c>
      <c r="BZ295" s="180">
        <f t="shared" si="46"/>
        <v>1</v>
      </c>
      <c r="CA295" s="180">
        <f t="shared" si="46"/>
        <v>1</v>
      </c>
      <c r="CB295" s="180">
        <f t="shared" si="46"/>
        <v>0</v>
      </c>
      <c r="CC295" s="180">
        <f t="shared" si="46"/>
        <v>2</v>
      </c>
      <c r="CD295" s="180">
        <f t="shared" si="46"/>
        <v>1</v>
      </c>
      <c r="CE295" s="180">
        <f t="shared" si="46"/>
        <v>1</v>
      </c>
      <c r="CF295" s="180">
        <f t="shared" si="46"/>
        <v>1</v>
      </c>
      <c r="CG295" s="180">
        <f t="shared" si="46"/>
        <v>2</v>
      </c>
      <c r="CH295" s="180">
        <f t="shared" si="46"/>
        <v>1</v>
      </c>
      <c r="CI295" s="180">
        <f t="shared" si="46"/>
        <v>1</v>
      </c>
      <c r="CJ295" s="180">
        <f t="shared" si="46"/>
        <v>1</v>
      </c>
      <c r="CK295" s="180">
        <f t="shared" si="46"/>
        <v>1</v>
      </c>
      <c r="CL295" s="180">
        <f t="shared" si="46"/>
        <v>1</v>
      </c>
      <c r="CM295" s="180">
        <f t="shared" si="46"/>
        <v>1</v>
      </c>
      <c r="CN295" s="180">
        <f t="shared" si="46"/>
        <v>2</v>
      </c>
      <c r="CO295" s="180">
        <f t="shared" si="46"/>
        <v>1</v>
      </c>
      <c r="CP295" s="180">
        <f t="shared" si="46"/>
        <v>2</v>
      </c>
      <c r="CQ295" s="180">
        <f t="shared" si="46"/>
        <v>1</v>
      </c>
      <c r="CR295" s="180">
        <f t="shared" si="46"/>
        <v>1</v>
      </c>
      <c r="CS295" s="180">
        <f t="shared" si="46"/>
        <v>2</v>
      </c>
      <c r="CT295" s="180">
        <f t="shared" si="46"/>
        <v>0</v>
      </c>
      <c r="CU295" s="180">
        <f t="shared" si="46"/>
        <v>0</v>
      </c>
      <c r="CV295" s="180">
        <f t="shared" si="46"/>
        <v>0</v>
      </c>
      <c r="CW295" s="180">
        <f t="shared" si="46"/>
        <v>0</v>
      </c>
      <c r="CX295" s="180">
        <f t="shared" si="46"/>
        <v>0</v>
      </c>
      <c r="CY295" s="180">
        <f t="shared" si="46"/>
        <v>0</v>
      </c>
      <c r="CZ295" s="180">
        <f t="shared" si="46"/>
        <v>0</v>
      </c>
    </row>
    <row r="296" spans="1:104" x14ac:dyDescent="0.3">
      <c r="A296" s="155">
        <v>995</v>
      </c>
      <c r="B296" s="180"/>
      <c r="C296" s="180">
        <v>236</v>
      </c>
      <c r="D296" s="180">
        <f t="shared" ref="D296:AI296" si="47">D236</f>
        <v>0</v>
      </c>
      <c r="E296" s="180">
        <f t="shared" si="47"/>
        <v>0</v>
      </c>
      <c r="F296" s="180">
        <f t="shared" si="47"/>
        <v>0</v>
      </c>
      <c r="G296" s="180">
        <f t="shared" si="47"/>
        <v>0</v>
      </c>
      <c r="H296" s="180">
        <f t="shared" si="47"/>
        <v>0</v>
      </c>
      <c r="I296" s="180">
        <f t="shared" si="47"/>
        <v>0</v>
      </c>
      <c r="J296" s="180">
        <f t="shared" si="47"/>
        <v>0</v>
      </c>
      <c r="K296" s="180">
        <f t="shared" si="47"/>
        <v>0.09</v>
      </c>
      <c r="L296" s="180">
        <f t="shared" si="47"/>
        <v>0</v>
      </c>
      <c r="M296" s="180">
        <f t="shared" si="47"/>
        <v>7.0000000000000007E-2</v>
      </c>
      <c r="N296" s="180">
        <f t="shared" si="47"/>
        <v>0</v>
      </c>
      <c r="O296" s="180">
        <f t="shared" si="47"/>
        <v>0</v>
      </c>
      <c r="P296" s="180">
        <f t="shared" si="47"/>
        <v>0</v>
      </c>
      <c r="Q296" s="180">
        <f t="shared" si="47"/>
        <v>0</v>
      </c>
      <c r="R296" s="180">
        <f t="shared" si="47"/>
        <v>0</v>
      </c>
      <c r="S296" s="180">
        <f t="shared" si="47"/>
        <v>0</v>
      </c>
      <c r="T296" s="180">
        <f t="shared" si="47"/>
        <v>0</v>
      </c>
      <c r="U296" s="180">
        <f t="shared" si="47"/>
        <v>0</v>
      </c>
      <c r="V296" s="180">
        <f t="shared" si="47"/>
        <v>0</v>
      </c>
      <c r="W296" s="180">
        <f t="shared" si="47"/>
        <v>0</v>
      </c>
      <c r="X296" s="180">
        <f t="shared" si="47"/>
        <v>0</v>
      </c>
      <c r="Y296" s="180">
        <f t="shared" si="47"/>
        <v>0</v>
      </c>
      <c r="Z296" s="180">
        <f t="shared" si="47"/>
        <v>0</v>
      </c>
      <c r="AA296" s="180">
        <f t="shared" si="47"/>
        <v>0</v>
      </c>
      <c r="AB296" s="180">
        <f t="shared" si="47"/>
        <v>0</v>
      </c>
      <c r="AC296" s="180">
        <f t="shared" si="47"/>
        <v>0.08</v>
      </c>
      <c r="AD296" s="180">
        <f t="shared" si="47"/>
        <v>0</v>
      </c>
      <c r="AE296" s="180">
        <f t="shared" si="47"/>
        <v>0</v>
      </c>
      <c r="AF296" s="180">
        <f t="shared" si="47"/>
        <v>0</v>
      </c>
      <c r="AG296" s="180">
        <f t="shared" si="47"/>
        <v>0</v>
      </c>
      <c r="AH296" s="180">
        <f t="shared" si="47"/>
        <v>0</v>
      </c>
      <c r="AI296" s="180">
        <f t="shared" si="47"/>
        <v>0</v>
      </c>
      <c r="AJ296" s="180">
        <f t="shared" ref="AJ296:BO296" si="48">AJ236</f>
        <v>0</v>
      </c>
      <c r="AK296" s="180">
        <f t="shared" si="48"/>
        <v>0</v>
      </c>
      <c r="AL296" s="180">
        <f t="shared" si="48"/>
        <v>0</v>
      </c>
      <c r="AM296" s="180">
        <f t="shared" si="48"/>
        <v>0</v>
      </c>
      <c r="AN296" s="180">
        <f t="shared" si="48"/>
        <v>0</v>
      </c>
      <c r="AO296" s="180">
        <f t="shared" si="48"/>
        <v>0</v>
      </c>
      <c r="AP296" s="180">
        <f t="shared" si="48"/>
        <v>0</v>
      </c>
      <c r="AQ296" s="180">
        <f t="shared" si="48"/>
        <v>0</v>
      </c>
      <c r="AR296" s="180">
        <f t="shared" si="48"/>
        <v>0</v>
      </c>
      <c r="AS296" s="180">
        <f t="shared" si="48"/>
        <v>0</v>
      </c>
      <c r="AT296" s="180">
        <f t="shared" si="48"/>
        <v>0</v>
      </c>
      <c r="AU296" s="180">
        <f t="shared" si="48"/>
        <v>0</v>
      </c>
      <c r="AV296" s="180">
        <f t="shared" si="48"/>
        <v>0</v>
      </c>
      <c r="AW296" s="180">
        <f t="shared" si="48"/>
        <v>0</v>
      </c>
      <c r="AX296" s="180">
        <f t="shared" si="48"/>
        <v>0</v>
      </c>
      <c r="AY296" s="180">
        <f t="shared" si="48"/>
        <v>0</v>
      </c>
      <c r="AZ296" s="180">
        <f t="shared" si="48"/>
        <v>0</v>
      </c>
      <c r="BA296" s="180">
        <f t="shared" si="48"/>
        <v>0.08</v>
      </c>
      <c r="BB296" s="180">
        <f t="shared" si="48"/>
        <v>0</v>
      </c>
      <c r="BC296" s="180">
        <f t="shared" si="48"/>
        <v>0</v>
      </c>
      <c r="BD296" s="180">
        <f t="shared" si="48"/>
        <v>0</v>
      </c>
      <c r="BE296" s="180">
        <f t="shared" si="48"/>
        <v>0</v>
      </c>
      <c r="BF296" s="180">
        <f t="shared" si="48"/>
        <v>0</v>
      </c>
      <c r="BG296" s="180">
        <f t="shared" si="48"/>
        <v>0.09</v>
      </c>
      <c r="BH296" s="180">
        <f t="shared" si="48"/>
        <v>0</v>
      </c>
      <c r="BI296" s="180">
        <f t="shared" si="48"/>
        <v>0</v>
      </c>
      <c r="BJ296" s="180">
        <f t="shared" si="48"/>
        <v>0.08</v>
      </c>
      <c r="BK296" s="180">
        <f t="shared" si="48"/>
        <v>0</v>
      </c>
      <c r="BL296" s="180">
        <f t="shared" si="48"/>
        <v>0</v>
      </c>
      <c r="BM296" s="180">
        <f t="shared" si="48"/>
        <v>0</v>
      </c>
      <c r="BN296" s="180">
        <f t="shared" si="48"/>
        <v>0.09</v>
      </c>
      <c r="BO296" s="180">
        <f t="shared" si="48"/>
        <v>0</v>
      </c>
      <c r="BP296" s="180">
        <f t="shared" ref="BP296:CZ296" si="49">BP236</f>
        <v>0</v>
      </c>
      <c r="BQ296" s="180">
        <f t="shared" si="49"/>
        <v>0</v>
      </c>
      <c r="BR296" s="180">
        <f t="shared" si="49"/>
        <v>0</v>
      </c>
      <c r="BS296" s="180">
        <f t="shared" si="49"/>
        <v>0</v>
      </c>
      <c r="BT296" s="180">
        <f t="shared" si="49"/>
        <v>0</v>
      </c>
      <c r="BU296" s="180">
        <f t="shared" si="49"/>
        <v>0</v>
      </c>
      <c r="BV296" s="180">
        <f t="shared" si="49"/>
        <v>0</v>
      </c>
      <c r="BW296" s="180">
        <f t="shared" si="49"/>
        <v>0</v>
      </c>
      <c r="BX296" s="180">
        <f t="shared" si="49"/>
        <v>0</v>
      </c>
      <c r="BY296" s="180">
        <f t="shared" si="49"/>
        <v>0</v>
      </c>
      <c r="BZ296" s="180">
        <f t="shared" si="49"/>
        <v>0</v>
      </c>
      <c r="CA296" s="180">
        <f t="shared" si="49"/>
        <v>0</v>
      </c>
      <c r="CB296" s="180">
        <f t="shared" si="49"/>
        <v>0</v>
      </c>
      <c r="CC296" s="180">
        <f t="shared" si="49"/>
        <v>0</v>
      </c>
      <c r="CD296" s="180">
        <f t="shared" si="49"/>
        <v>0</v>
      </c>
      <c r="CE296" s="180">
        <f t="shared" si="49"/>
        <v>0.08</v>
      </c>
      <c r="CF296" s="180">
        <f t="shared" si="49"/>
        <v>0</v>
      </c>
      <c r="CG296" s="180">
        <f t="shared" si="49"/>
        <v>0.09</v>
      </c>
      <c r="CH296" s="180">
        <f t="shared" si="49"/>
        <v>0</v>
      </c>
      <c r="CI296" s="180">
        <f t="shared" si="49"/>
        <v>0</v>
      </c>
      <c r="CJ296" s="180">
        <f t="shared" si="49"/>
        <v>0</v>
      </c>
      <c r="CK296" s="180">
        <f t="shared" si="49"/>
        <v>0.09</v>
      </c>
      <c r="CL296" s="180">
        <f t="shared" si="49"/>
        <v>0</v>
      </c>
      <c r="CM296" s="180">
        <f t="shared" si="49"/>
        <v>0</v>
      </c>
      <c r="CN296" s="180">
        <f t="shared" si="49"/>
        <v>0</v>
      </c>
      <c r="CO296" s="180">
        <f t="shared" si="49"/>
        <v>0</v>
      </c>
      <c r="CP296" s="180">
        <f t="shared" si="49"/>
        <v>0</v>
      </c>
      <c r="CQ296" s="180">
        <f t="shared" si="49"/>
        <v>0</v>
      </c>
      <c r="CR296" s="180">
        <f t="shared" si="49"/>
        <v>0</v>
      </c>
      <c r="CS296" s="180">
        <f t="shared" si="49"/>
        <v>0</v>
      </c>
      <c r="CT296" s="180">
        <f t="shared" si="49"/>
        <v>0</v>
      </c>
      <c r="CU296" s="180">
        <f t="shared" si="49"/>
        <v>0</v>
      </c>
      <c r="CV296" s="180">
        <f t="shared" si="49"/>
        <v>0</v>
      </c>
      <c r="CW296" s="180">
        <f t="shared" si="49"/>
        <v>0</v>
      </c>
      <c r="CX296" s="180">
        <f t="shared" si="49"/>
        <v>0</v>
      </c>
      <c r="CY296" s="180">
        <f t="shared" si="49"/>
        <v>0</v>
      </c>
      <c r="CZ296" s="180">
        <f t="shared" si="49"/>
        <v>0</v>
      </c>
    </row>
    <row r="297" spans="1:104" x14ac:dyDescent="0.3">
      <c r="A297" s="155">
        <v>996</v>
      </c>
      <c r="B297" s="180"/>
      <c r="C297" s="180">
        <v>237</v>
      </c>
      <c r="D297" s="180">
        <f t="shared" ref="D297:AI297" si="50">D237</f>
        <v>0</v>
      </c>
      <c r="E297" s="180">
        <f t="shared" si="50"/>
        <v>0</v>
      </c>
      <c r="F297" s="180">
        <f t="shared" si="50"/>
        <v>0.01</v>
      </c>
      <c r="G297" s="180">
        <f t="shared" si="50"/>
        <v>0</v>
      </c>
      <c r="H297" s="180">
        <f t="shared" si="50"/>
        <v>0</v>
      </c>
      <c r="I297" s="180">
        <f t="shared" si="50"/>
        <v>0.01</v>
      </c>
      <c r="J297" s="180">
        <f t="shared" si="50"/>
        <v>0.01</v>
      </c>
      <c r="K297" s="180">
        <f t="shared" si="50"/>
        <v>0.01</v>
      </c>
      <c r="L297" s="180">
        <f t="shared" si="50"/>
        <v>0.01</v>
      </c>
      <c r="M297" s="180">
        <f t="shared" si="50"/>
        <v>0.01</v>
      </c>
      <c r="N297" s="180">
        <f t="shared" si="50"/>
        <v>0.01</v>
      </c>
      <c r="O297" s="180">
        <f t="shared" si="50"/>
        <v>0</v>
      </c>
      <c r="P297" s="180">
        <f t="shared" si="50"/>
        <v>0.01</v>
      </c>
      <c r="Q297" s="180">
        <f t="shared" si="50"/>
        <v>0.01</v>
      </c>
      <c r="R297" s="180">
        <f t="shared" si="50"/>
        <v>0</v>
      </c>
      <c r="S297" s="180">
        <f t="shared" si="50"/>
        <v>0.01</v>
      </c>
      <c r="T297" s="180">
        <f t="shared" si="50"/>
        <v>0</v>
      </c>
      <c r="U297" s="180">
        <f t="shared" si="50"/>
        <v>0</v>
      </c>
      <c r="V297" s="180">
        <f t="shared" si="50"/>
        <v>0</v>
      </c>
      <c r="W297" s="180">
        <f t="shared" si="50"/>
        <v>0.01</v>
      </c>
      <c r="X297" s="180">
        <f t="shared" si="50"/>
        <v>0</v>
      </c>
      <c r="Y297" s="180">
        <f t="shared" si="50"/>
        <v>0.01</v>
      </c>
      <c r="Z297" s="180">
        <f t="shared" si="50"/>
        <v>0</v>
      </c>
      <c r="AA297" s="180">
        <f t="shared" si="50"/>
        <v>0.01</v>
      </c>
      <c r="AB297" s="180">
        <f t="shared" si="50"/>
        <v>0</v>
      </c>
      <c r="AC297" s="180">
        <f t="shared" si="50"/>
        <v>0.01</v>
      </c>
      <c r="AD297" s="180">
        <f t="shared" si="50"/>
        <v>0.01</v>
      </c>
      <c r="AE297" s="180">
        <f t="shared" si="50"/>
        <v>0.01</v>
      </c>
      <c r="AF297" s="180">
        <f t="shared" si="50"/>
        <v>0.01</v>
      </c>
      <c r="AG297" s="180">
        <f t="shared" si="50"/>
        <v>0.01</v>
      </c>
      <c r="AH297" s="180">
        <f t="shared" si="50"/>
        <v>0</v>
      </c>
      <c r="AI297" s="180">
        <f t="shared" si="50"/>
        <v>0.01</v>
      </c>
      <c r="AJ297" s="180">
        <f t="shared" ref="AJ297:BO297" si="51">AJ237</f>
        <v>0</v>
      </c>
      <c r="AK297" s="180">
        <f t="shared" si="51"/>
        <v>0.01</v>
      </c>
      <c r="AL297" s="180">
        <f t="shared" si="51"/>
        <v>0.01</v>
      </c>
      <c r="AM297" s="180">
        <f t="shared" si="51"/>
        <v>0.01</v>
      </c>
      <c r="AN297" s="180">
        <f t="shared" si="51"/>
        <v>0.01</v>
      </c>
      <c r="AO297" s="180">
        <f t="shared" si="51"/>
        <v>0.01</v>
      </c>
      <c r="AP297" s="180">
        <f t="shared" si="51"/>
        <v>0.01</v>
      </c>
      <c r="AQ297" s="180">
        <f t="shared" si="51"/>
        <v>0</v>
      </c>
      <c r="AR297" s="180">
        <f t="shared" si="51"/>
        <v>0.01</v>
      </c>
      <c r="AS297" s="180">
        <f t="shared" si="51"/>
        <v>0.01</v>
      </c>
      <c r="AT297" s="180">
        <f t="shared" si="51"/>
        <v>0</v>
      </c>
      <c r="AU297" s="180">
        <f t="shared" si="51"/>
        <v>0</v>
      </c>
      <c r="AV297" s="180">
        <f t="shared" si="51"/>
        <v>0</v>
      </c>
      <c r="AW297" s="180">
        <f t="shared" si="51"/>
        <v>0</v>
      </c>
      <c r="AX297" s="180">
        <f t="shared" si="51"/>
        <v>0.01</v>
      </c>
      <c r="AY297" s="180">
        <f t="shared" si="51"/>
        <v>0.01</v>
      </c>
      <c r="AZ297" s="180">
        <f t="shared" si="51"/>
        <v>0.01</v>
      </c>
      <c r="BA297" s="180">
        <f t="shared" si="51"/>
        <v>0</v>
      </c>
      <c r="BB297" s="180">
        <f t="shared" si="51"/>
        <v>0</v>
      </c>
      <c r="BC297" s="180">
        <f t="shared" si="51"/>
        <v>0.01</v>
      </c>
      <c r="BD297" s="180">
        <f t="shared" si="51"/>
        <v>0</v>
      </c>
      <c r="BE297" s="180">
        <f t="shared" si="51"/>
        <v>0.01</v>
      </c>
      <c r="BF297" s="180">
        <f t="shared" si="51"/>
        <v>0.01</v>
      </c>
      <c r="BG297" s="180">
        <f t="shared" si="51"/>
        <v>0.01</v>
      </c>
      <c r="BH297" s="180">
        <f t="shared" si="51"/>
        <v>0.01</v>
      </c>
      <c r="BI297" s="180">
        <f t="shared" si="51"/>
        <v>0.01</v>
      </c>
      <c r="BJ297" s="180">
        <f t="shared" si="51"/>
        <v>0.01</v>
      </c>
      <c r="BK297" s="180">
        <f t="shared" si="51"/>
        <v>0</v>
      </c>
      <c r="BL297" s="180">
        <f t="shared" si="51"/>
        <v>0</v>
      </c>
      <c r="BM297" s="180">
        <f t="shared" si="51"/>
        <v>0</v>
      </c>
      <c r="BN297" s="180">
        <f t="shared" si="51"/>
        <v>0.01</v>
      </c>
      <c r="BO297" s="180">
        <f t="shared" si="51"/>
        <v>0.01</v>
      </c>
      <c r="BP297" s="180">
        <f t="shared" ref="BP297:CZ297" si="52">BP237</f>
        <v>0</v>
      </c>
      <c r="BQ297" s="180">
        <f t="shared" si="52"/>
        <v>0</v>
      </c>
      <c r="BR297" s="180">
        <f t="shared" si="52"/>
        <v>0.01</v>
      </c>
      <c r="BS297" s="180">
        <f t="shared" si="52"/>
        <v>0</v>
      </c>
      <c r="BT297" s="180">
        <f t="shared" si="52"/>
        <v>0</v>
      </c>
      <c r="BU297" s="180">
        <f t="shared" si="52"/>
        <v>0</v>
      </c>
      <c r="BV297" s="180">
        <f t="shared" si="52"/>
        <v>0.01</v>
      </c>
      <c r="BW297" s="180">
        <f t="shared" si="52"/>
        <v>0</v>
      </c>
      <c r="BX297" s="180">
        <f t="shared" si="52"/>
        <v>0.01</v>
      </c>
      <c r="BY297" s="180">
        <f t="shared" si="52"/>
        <v>0.01</v>
      </c>
      <c r="BZ297" s="180">
        <f t="shared" si="52"/>
        <v>0.01</v>
      </c>
      <c r="CA297" s="180">
        <f t="shared" si="52"/>
        <v>0.01</v>
      </c>
      <c r="CB297" s="180">
        <f t="shared" si="52"/>
        <v>0.01</v>
      </c>
      <c r="CC297" s="180">
        <f t="shared" si="52"/>
        <v>0.01</v>
      </c>
      <c r="CD297" s="180">
        <f t="shared" si="52"/>
        <v>0</v>
      </c>
      <c r="CE297" s="180">
        <f t="shared" si="52"/>
        <v>0.01</v>
      </c>
      <c r="CF297" s="180">
        <f t="shared" si="52"/>
        <v>0</v>
      </c>
      <c r="CG297" s="180">
        <f t="shared" si="52"/>
        <v>0.01</v>
      </c>
      <c r="CH297" s="180">
        <f t="shared" si="52"/>
        <v>0.01</v>
      </c>
      <c r="CI297" s="180">
        <f t="shared" si="52"/>
        <v>0.01</v>
      </c>
      <c r="CJ297" s="180">
        <f t="shared" si="52"/>
        <v>0.01</v>
      </c>
      <c r="CK297" s="180">
        <f t="shared" si="52"/>
        <v>0.01</v>
      </c>
      <c r="CL297" s="180">
        <f t="shared" si="52"/>
        <v>0.01</v>
      </c>
      <c r="CM297" s="180">
        <f t="shared" si="52"/>
        <v>0</v>
      </c>
      <c r="CN297" s="180">
        <f t="shared" si="52"/>
        <v>0.01</v>
      </c>
      <c r="CO297" s="180">
        <f t="shared" si="52"/>
        <v>0.01</v>
      </c>
      <c r="CP297" s="180">
        <f t="shared" si="52"/>
        <v>0.01</v>
      </c>
      <c r="CQ297" s="180">
        <f t="shared" si="52"/>
        <v>0.01</v>
      </c>
      <c r="CR297" s="180">
        <f t="shared" si="52"/>
        <v>0</v>
      </c>
      <c r="CS297" s="180">
        <f t="shared" si="52"/>
        <v>0</v>
      </c>
      <c r="CT297" s="180">
        <f t="shared" si="52"/>
        <v>0</v>
      </c>
      <c r="CU297" s="180">
        <f t="shared" si="52"/>
        <v>0</v>
      </c>
      <c r="CV297" s="180">
        <f t="shared" si="52"/>
        <v>0</v>
      </c>
      <c r="CW297" s="180">
        <f t="shared" si="52"/>
        <v>0</v>
      </c>
      <c r="CX297" s="180">
        <f t="shared" si="52"/>
        <v>0</v>
      </c>
      <c r="CY297" s="180">
        <f t="shared" si="52"/>
        <v>0</v>
      </c>
      <c r="CZ297" s="180">
        <f t="shared" si="52"/>
        <v>0</v>
      </c>
    </row>
    <row r="298" spans="1:104" x14ac:dyDescent="0.3">
      <c r="A298" s="155">
        <v>998</v>
      </c>
      <c r="B298" s="180"/>
      <c r="C298" s="180">
        <v>238</v>
      </c>
      <c r="D298" s="180">
        <f t="shared" ref="D298:AI298" si="53">D238</f>
        <v>50</v>
      </c>
      <c r="E298" s="180">
        <f t="shared" si="53"/>
        <v>50</v>
      </c>
      <c r="F298" s="180">
        <f t="shared" si="53"/>
        <v>50</v>
      </c>
      <c r="G298" s="180">
        <f t="shared" si="53"/>
        <v>50</v>
      </c>
      <c r="H298" s="180">
        <f t="shared" si="53"/>
        <v>50</v>
      </c>
      <c r="I298" s="180">
        <f t="shared" si="53"/>
        <v>50</v>
      </c>
      <c r="J298" s="180">
        <f t="shared" si="53"/>
        <v>50</v>
      </c>
      <c r="K298" s="180">
        <f t="shared" si="53"/>
        <v>50</v>
      </c>
      <c r="L298" s="180">
        <f t="shared" si="53"/>
        <v>50</v>
      </c>
      <c r="M298" s="180">
        <f t="shared" si="53"/>
        <v>50</v>
      </c>
      <c r="N298" s="180">
        <f t="shared" si="53"/>
        <v>50</v>
      </c>
      <c r="O298" s="180">
        <f t="shared" si="53"/>
        <v>50</v>
      </c>
      <c r="P298" s="180">
        <f t="shared" si="53"/>
        <v>50</v>
      </c>
      <c r="Q298" s="180">
        <f t="shared" si="53"/>
        <v>50</v>
      </c>
      <c r="R298" s="180">
        <f t="shared" si="53"/>
        <v>50</v>
      </c>
      <c r="S298" s="180">
        <f t="shared" si="53"/>
        <v>50</v>
      </c>
      <c r="T298" s="180">
        <f t="shared" si="53"/>
        <v>50</v>
      </c>
      <c r="U298" s="180">
        <f t="shared" si="53"/>
        <v>50</v>
      </c>
      <c r="V298" s="180">
        <f t="shared" si="53"/>
        <v>50</v>
      </c>
      <c r="W298" s="180">
        <f t="shared" si="53"/>
        <v>50</v>
      </c>
      <c r="X298" s="180">
        <f t="shared" si="53"/>
        <v>50</v>
      </c>
      <c r="Y298" s="180">
        <f t="shared" si="53"/>
        <v>50</v>
      </c>
      <c r="Z298" s="180">
        <f t="shared" si="53"/>
        <v>50</v>
      </c>
      <c r="AA298" s="180">
        <f t="shared" si="53"/>
        <v>50</v>
      </c>
      <c r="AB298" s="180">
        <f t="shared" si="53"/>
        <v>50</v>
      </c>
      <c r="AC298" s="180">
        <f t="shared" si="53"/>
        <v>50</v>
      </c>
      <c r="AD298" s="180">
        <f t="shared" si="53"/>
        <v>50</v>
      </c>
      <c r="AE298" s="180">
        <f t="shared" si="53"/>
        <v>50</v>
      </c>
      <c r="AF298" s="180">
        <f t="shared" si="53"/>
        <v>50</v>
      </c>
      <c r="AG298" s="180">
        <f t="shared" si="53"/>
        <v>50</v>
      </c>
      <c r="AH298" s="180">
        <f t="shared" si="53"/>
        <v>50</v>
      </c>
      <c r="AI298" s="180">
        <f t="shared" si="53"/>
        <v>50</v>
      </c>
      <c r="AJ298" s="180">
        <f t="shared" ref="AJ298:BO298" si="54">AJ238</f>
        <v>50</v>
      </c>
      <c r="AK298" s="180">
        <f t="shared" si="54"/>
        <v>50</v>
      </c>
      <c r="AL298" s="180">
        <f t="shared" si="54"/>
        <v>50</v>
      </c>
      <c r="AM298" s="180">
        <f t="shared" si="54"/>
        <v>50</v>
      </c>
      <c r="AN298" s="180">
        <f t="shared" si="54"/>
        <v>50</v>
      </c>
      <c r="AO298" s="180">
        <f t="shared" si="54"/>
        <v>50</v>
      </c>
      <c r="AP298" s="180">
        <f t="shared" si="54"/>
        <v>50</v>
      </c>
      <c r="AQ298" s="180">
        <f t="shared" si="54"/>
        <v>50</v>
      </c>
      <c r="AR298" s="180">
        <f t="shared" si="54"/>
        <v>50</v>
      </c>
      <c r="AS298" s="180">
        <f t="shared" si="54"/>
        <v>50</v>
      </c>
      <c r="AT298" s="180">
        <f t="shared" si="54"/>
        <v>50</v>
      </c>
      <c r="AU298" s="180">
        <f t="shared" si="54"/>
        <v>50</v>
      </c>
      <c r="AV298" s="180">
        <f t="shared" si="54"/>
        <v>50</v>
      </c>
      <c r="AW298" s="180">
        <f t="shared" si="54"/>
        <v>50</v>
      </c>
      <c r="AX298" s="180">
        <f t="shared" si="54"/>
        <v>50</v>
      </c>
      <c r="AY298" s="180">
        <f t="shared" si="54"/>
        <v>50</v>
      </c>
      <c r="AZ298" s="180">
        <f t="shared" si="54"/>
        <v>50</v>
      </c>
      <c r="BA298" s="180">
        <f t="shared" si="54"/>
        <v>50</v>
      </c>
      <c r="BB298" s="180">
        <f t="shared" si="54"/>
        <v>50</v>
      </c>
      <c r="BC298" s="180">
        <f t="shared" si="54"/>
        <v>50</v>
      </c>
      <c r="BD298" s="180">
        <f t="shared" si="54"/>
        <v>50</v>
      </c>
      <c r="BE298" s="180">
        <f t="shared" si="54"/>
        <v>50</v>
      </c>
      <c r="BF298" s="180">
        <f t="shared" si="54"/>
        <v>50</v>
      </c>
      <c r="BG298" s="180">
        <f t="shared" si="54"/>
        <v>50</v>
      </c>
      <c r="BH298" s="180">
        <f t="shared" si="54"/>
        <v>50</v>
      </c>
      <c r="BI298" s="180">
        <f t="shared" si="54"/>
        <v>50</v>
      </c>
      <c r="BJ298" s="180">
        <f t="shared" si="54"/>
        <v>50</v>
      </c>
      <c r="BK298" s="180">
        <f t="shared" si="54"/>
        <v>50</v>
      </c>
      <c r="BL298" s="180">
        <f t="shared" si="54"/>
        <v>50</v>
      </c>
      <c r="BM298" s="180">
        <f t="shared" si="54"/>
        <v>50</v>
      </c>
      <c r="BN298" s="180">
        <f t="shared" si="54"/>
        <v>50</v>
      </c>
      <c r="BO298" s="180">
        <f t="shared" si="54"/>
        <v>50</v>
      </c>
      <c r="BP298" s="180">
        <f t="shared" ref="BP298:CZ298" si="55">BP238</f>
        <v>50</v>
      </c>
      <c r="BQ298" s="180">
        <f t="shared" si="55"/>
        <v>50</v>
      </c>
      <c r="BR298" s="180">
        <f t="shared" si="55"/>
        <v>50</v>
      </c>
      <c r="BS298" s="180">
        <f t="shared" si="55"/>
        <v>50</v>
      </c>
      <c r="BT298" s="180">
        <f t="shared" si="55"/>
        <v>50</v>
      </c>
      <c r="BU298" s="180">
        <f t="shared" si="55"/>
        <v>50</v>
      </c>
      <c r="BV298" s="180">
        <f t="shared" si="55"/>
        <v>50</v>
      </c>
      <c r="BW298" s="180">
        <f t="shared" si="55"/>
        <v>50</v>
      </c>
      <c r="BX298" s="180">
        <f t="shared" si="55"/>
        <v>50</v>
      </c>
      <c r="BY298" s="180">
        <f t="shared" si="55"/>
        <v>50</v>
      </c>
      <c r="BZ298" s="180">
        <f t="shared" si="55"/>
        <v>50</v>
      </c>
      <c r="CA298" s="180">
        <f t="shared" si="55"/>
        <v>50</v>
      </c>
      <c r="CB298" s="180">
        <f t="shared" si="55"/>
        <v>50</v>
      </c>
      <c r="CC298" s="180">
        <f t="shared" si="55"/>
        <v>50</v>
      </c>
      <c r="CD298" s="180">
        <f t="shared" si="55"/>
        <v>50</v>
      </c>
      <c r="CE298" s="180">
        <f t="shared" si="55"/>
        <v>50</v>
      </c>
      <c r="CF298" s="180">
        <f t="shared" si="55"/>
        <v>50</v>
      </c>
      <c r="CG298" s="180">
        <f t="shared" si="55"/>
        <v>50</v>
      </c>
      <c r="CH298" s="180">
        <f t="shared" si="55"/>
        <v>50</v>
      </c>
      <c r="CI298" s="180">
        <f t="shared" si="55"/>
        <v>50</v>
      </c>
      <c r="CJ298" s="180">
        <f t="shared" si="55"/>
        <v>50</v>
      </c>
      <c r="CK298" s="180">
        <f t="shared" si="55"/>
        <v>50</v>
      </c>
      <c r="CL298" s="180">
        <f t="shared" si="55"/>
        <v>50</v>
      </c>
      <c r="CM298" s="180">
        <f t="shared" si="55"/>
        <v>50</v>
      </c>
      <c r="CN298" s="180">
        <f t="shared" si="55"/>
        <v>50</v>
      </c>
      <c r="CO298" s="180">
        <f t="shared" si="55"/>
        <v>50</v>
      </c>
      <c r="CP298" s="180">
        <f t="shared" si="55"/>
        <v>50</v>
      </c>
      <c r="CQ298" s="180">
        <f t="shared" si="55"/>
        <v>50</v>
      </c>
      <c r="CR298" s="180">
        <f t="shared" si="55"/>
        <v>50</v>
      </c>
      <c r="CS298" s="180">
        <f t="shared" si="55"/>
        <v>50</v>
      </c>
      <c r="CT298" s="180">
        <f t="shared" si="55"/>
        <v>0</v>
      </c>
      <c r="CU298" s="180">
        <f t="shared" si="55"/>
        <v>0</v>
      </c>
      <c r="CV298" s="180">
        <f t="shared" si="55"/>
        <v>0</v>
      </c>
      <c r="CW298" s="180">
        <f t="shared" si="55"/>
        <v>0</v>
      </c>
      <c r="CX298" s="180">
        <f t="shared" si="55"/>
        <v>0</v>
      </c>
      <c r="CY298" s="180">
        <f t="shared" si="55"/>
        <v>0</v>
      </c>
      <c r="CZ298" s="180">
        <f t="shared" si="55"/>
        <v>0</v>
      </c>
    </row>
    <row r="299" spans="1:104" x14ac:dyDescent="0.3">
      <c r="A299" s="155">
        <v>999</v>
      </c>
      <c r="B299" s="180"/>
      <c r="C299" s="180">
        <v>239</v>
      </c>
      <c r="D299" s="180">
        <f t="shared" ref="D299:AI299" si="56">D239</f>
        <v>50526</v>
      </c>
      <c r="E299" s="180">
        <f t="shared" si="56"/>
        <v>50554</v>
      </c>
      <c r="F299" s="180">
        <f t="shared" si="56"/>
        <v>50343</v>
      </c>
      <c r="G299" s="180">
        <f t="shared" si="56"/>
        <v>50372</v>
      </c>
      <c r="H299" s="180">
        <f t="shared" si="56"/>
        <v>50457</v>
      </c>
      <c r="I299" s="180">
        <f t="shared" si="56"/>
        <v>50373</v>
      </c>
      <c r="J299" s="180">
        <f t="shared" si="56"/>
        <v>50374</v>
      </c>
      <c r="K299" s="180">
        <f t="shared" si="56"/>
        <v>50375</v>
      </c>
      <c r="L299" s="180">
        <f t="shared" si="56"/>
        <v>50376</v>
      </c>
      <c r="M299" s="180">
        <f t="shared" si="56"/>
        <v>50377</v>
      </c>
      <c r="N299" s="180">
        <f t="shared" si="56"/>
        <v>50378</v>
      </c>
      <c r="O299" s="180">
        <f t="shared" si="56"/>
        <v>50379</v>
      </c>
      <c r="P299" s="180">
        <f t="shared" si="56"/>
        <v>50530</v>
      </c>
      <c r="Q299" s="180">
        <f t="shared" si="56"/>
        <v>50380</v>
      </c>
      <c r="R299" s="180">
        <f t="shared" si="56"/>
        <v>50483</v>
      </c>
      <c r="S299" s="180">
        <f t="shared" si="56"/>
        <v>50381</v>
      </c>
      <c r="T299" s="180">
        <f t="shared" si="56"/>
        <v>50501</v>
      </c>
      <c r="U299" s="180">
        <f t="shared" si="56"/>
        <v>50494</v>
      </c>
      <c r="V299" s="180">
        <f t="shared" si="56"/>
        <v>50382</v>
      </c>
      <c r="W299" s="180">
        <f t="shared" si="56"/>
        <v>50383</v>
      </c>
      <c r="X299" s="180">
        <f t="shared" si="56"/>
        <v>50384</v>
      </c>
      <c r="Y299" s="180">
        <f t="shared" si="56"/>
        <v>50557</v>
      </c>
      <c r="Z299" s="180">
        <f t="shared" si="56"/>
        <v>50385</v>
      </c>
      <c r="AA299" s="180">
        <f t="shared" si="56"/>
        <v>50386</v>
      </c>
      <c r="AB299" s="180">
        <f t="shared" si="56"/>
        <v>50388</v>
      </c>
      <c r="AC299" s="180">
        <f t="shared" si="56"/>
        <v>50387</v>
      </c>
      <c r="AD299" s="180">
        <f t="shared" si="56"/>
        <v>50389</v>
      </c>
      <c r="AE299" s="180">
        <f t="shared" si="56"/>
        <v>50500</v>
      </c>
      <c r="AF299" s="180">
        <f t="shared" si="56"/>
        <v>50390</v>
      </c>
      <c r="AG299" s="180">
        <f t="shared" si="56"/>
        <v>50391</v>
      </c>
      <c r="AH299" s="180">
        <f t="shared" si="56"/>
        <v>50531</v>
      </c>
      <c r="AI299" s="180">
        <f t="shared" si="56"/>
        <v>50392</v>
      </c>
      <c r="AJ299" s="180">
        <f t="shared" ref="AJ299:BO299" si="57">AJ239</f>
        <v>50458</v>
      </c>
      <c r="AK299" s="180">
        <f t="shared" si="57"/>
        <v>50393</v>
      </c>
      <c r="AL299" s="180">
        <f t="shared" si="57"/>
        <v>50544</v>
      </c>
      <c r="AM299" s="180">
        <f t="shared" si="57"/>
        <v>50394</v>
      </c>
      <c r="AN299" s="180">
        <f t="shared" si="57"/>
        <v>50395</v>
      </c>
      <c r="AO299" s="180">
        <f t="shared" si="57"/>
        <v>50396</v>
      </c>
      <c r="AP299" s="180">
        <f t="shared" si="57"/>
        <v>50397</v>
      </c>
      <c r="AQ299" s="180">
        <f t="shared" si="57"/>
        <v>50550</v>
      </c>
      <c r="AR299" s="180">
        <f t="shared" si="57"/>
        <v>50398</v>
      </c>
      <c r="AS299" s="180">
        <f t="shared" si="57"/>
        <v>50399</v>
      </c>
      <c r="AT299" s="180">
        <f t="shared" si="57"/>
        <v>50400</v>
      </c>
      <c r="AU299" s="180">
        <f t="shared" si="57"/>
        <v>50532</v>
      </c>
      <c r="AV299" s="180">
        <f t="shared" si="57"/>
        <v>50401</v>
      </c>
      <c r="AW299" s="180">
        <f t="shared" si="57"/>
        <v>50402</v>
      </c>
      <c r="AX299" s="180">
        <f t="shared" si="57"/>
        <v>50485</v>
      </c>
      <c r="AY299" s="180">
        <f t="shared" si="57"/>
        <v>50403</v>
      </c>
      <c r="AZ299" s="180">
        <f t="shared" si="57"/>
        <v>50404</v>
      </c>
      <c r="BA299" s="180">
        <f t="shared" si="57"/>
        <v>50405</v>
      </c>
      <c r="BB299" s="180">
        <f t="shared" si="57"/>
        <v>50533</v>
      </c>
      <c r="BC299" s="180">
        <f t="shared" si="57"/>
        <v>50406</v>
      </c>
      <c r="BD299" s="180">
        <f t="shared" si="57"/>
        <v>50565</v>
      </c>
      <c r="BE299" s="180">
        <f t="shared" si="57"/>
        <v>50407</v>
      </c>
      <c r="BF299" s="180">
        <f t="shared" si="57"/>
        <v>50486</v>
      </c>
      <c r="BG299" s="180">
        <f t="shared" si="57"/>
        <v>50408</v>
      </c>
      <c r="BH299" s="180">
        <f t="shared" si="57"/>
        <v>50409</v>
      </c>
      <c r="BI299" s="180">
        <f t="shared" si="57"/>
        <v>50410</v>
      </c>
      <c r="BJ299" s="180">
        <f t="shared" si="57"/>
        <v>50411</v>
      </c>
      <c r="BK299" s="180">
        <f t="shared" si="57"/>
        <v>50412</v>
      </c>
      <c r="BL299" s="180">
        <f t="shared" si="57"/>
        <v>50488</v>
      </c>
      <c r="BM299" s="180">
        <f t="shared" si="57"/>
        <v>50413</v>
      </c>
      <c r="BN299" s="180">
        <f t="shared" si="57"/>
        <v>50414</v>
      </c>
      <c r="BO299" s="180">
        <f t="shared" si="57"/>
        <v>50415</v>
      </c>
      <c r="BP299" s="180">
        <f t="shared" ref="BP299:CZ299" si="58">BP239</f>
        <v>50416</v>
      </c>
      <c r="BQ299" s="180">
        <f t="shared" si="58"/>
        <v>50534</v>
      </c>
      <c r="BR299" s="180">
        <f t="shared" si="58"/>
        <v>50417</v>
      </c>
      <c r="BS299" s="180">
        <f t="shared" si="58"/>
        <v>50418</v>
      </c>
      <c r="BT299" s="180">
        <f t="shared" si="58"/>
        <v>50546</v>
      </c>
      <c r="BU299" s="180">
        <f t="shared" si="58"/>
        <v>50552</v>
      </c>
      <c r="BV299" s="180">
        <f t="shared" si="58"/>
        <v>50419</v>
      </c>
      <c r="BW299" s="180">
        <f t="shared" si="58"/>
        <v>50441</v>
      </c>
      <c r="BX299" s="180">
        <f t="shared" si="58"/>
        <v>50420</v>
      </c>
      <c r="BY299" s="180">
        <f t="shared" si="58"/>
        <v>50421</v>
      </c>
      <c r="BZ299" s="180">
        <f t="shared" si="58"/>
        <v>50422</v>
      </c>
      <c r="CA299" s="180">
        <f t="shared" si="58"/>
        <v>50535</v>
      </c>
      <c r="CB299" s="180">
        <f t="shared" si="58"/>
        <v>50423</v>
      </c>
      <c r="CC299" s="180">
        <f t="shared" si="58"/>
        <v>50424</v>
      </c>
      <c r="CD299" s="180">
        <f t="shared" si="58"/>
        <v>50425</v>
      </c>
      <c r="CE299" s="180">
        <f t="shared" si="58"/>
        <v>50426</v>
      </c>
      <c r="CF299" s="180">
        <f t="shared" si="58"/>
        <v>50537</v>
      </c>
      <c r="CG299" s="180">
        <f t="shared" si="58"/>
        <v>50427</v>
      </c>
      <c r="CH299" s="180">
        <f t="shared" si="58"/>
        <v>50428</v>
      </c>
      <c r="CI299" s="180">
        <f t="shared" si="58"/>
        <v>50429</v>
      </c>
      <c r="CJ299" s="180">
        <f t="shared" si="58"/>
        <v>50431</v>
      </c>
      <c r="CK299" s="180">
        <f t="shared" si="58"/>
        <v>50430</v>
      </c>
      <c r="CL299" s="180">
        <f t="shared" si="58"/>
        <v>50432</v>
      </c>
      <c r="CM299" s="180">
        <f t="shared" si="58"/>
        <v>50453</v>
      </c>
      <c r="CN299" s="180">
        <f t="shared" si="58"/>
        <v>50433</v>
      </c>
      <c r="CO299" s="180">
        <f t="shared" si="58"/>
        <v>50435</v>
      </c>
      <c r="CP299" s="180">
        <f t="shared" si="58"/>
        <v>50436</v>
      </c>
      <c r="CQ299" s="180">
        <f t="shared" si="58"/>
        <v>50499</v>
      </c>
      <c r="CR299" s="180">
        <f t="shared" si="58"/>
        <v>50438</v>
      </c>
      <c r="CS299" s="180">
        <f t="shared" si="58"/>
        <v>50439</v>
      </c>
      <c r="CT299" s="180">
        <f t="shared" si="58"/>
        <v>0</v>
      </c>
      <c r="CU299" s="180">
        <f t="shared" si="58"/>
        <v>0</v>
      </c>
      <c r="CV299" s="180">
        <f t="shared" si="58"/>
        <v>0</v>
      </c>
      <c r="CW299" s="180">
        <f t="shared" si="58"/>
        <v>0</v>
      </c>
      <c r="CX299" s="180">
        <f t="shared" si="58"/>
        <v>0</v>
      </c>
      <c r="CY299" s="180">
        <f t="shared" si="58"/>
        <v>0</v>
      </c>
      <c r="CZ299" s="180">
        <f t="shared" si="58"/>
        <v>0</v>
      </c>
    </row>
    <row r="300" spans="1:104" x14ac:dyDescent="0.3">
      <c r="A300" s="558">
        <v>554</v>
      </c>
      <c r="B300" s="180"/>
      <c r="C300" s="180">
        <v>144</v>
      </c>
      <c r="D300" s="555">
        <f t="shared" ref="D300:AI300" si="59">D144</f>
        <v>0</v>
      </c>
      <c r="E300" s="555">
        <f t="shared" si="59"/>
        <v>0</v>
      </c>
      <c r="F300" s="555">
        <f t="shared" si="59"/>
        <v>311138</v>
      </c>
      <c r="G300" s="555">
        <f t="shared" si="59"/>
        <v>0</v>
      </c>
      <c r="H300" s="555">
        <f t="shared" si="59"/>
        <v>19436</v>
      </c>
      <c r="I300" s="555">
        <f t="shared" si="59"/>
        <v>0</v>
      </c>
      <c r="J300" s="555">
        <f t="shared" si="59"/>
        <v>0</v>
      </c>
      <c r="K300" s="555">
        <f t="shared" si="59"/>
        <v>0</v>
      </c>
      <c r="L300" s="555">
        <f t="shared" si="59"/>
        <v>0</v>
      </c>
      <c r="M300" s="555">
        <f t="shared" si="59"/>
        <v>6749245</v>
      </c>
      <c r="N300" s="555">
        <f t="shared" si="59"/>
        <v>0</v>
      </c>
      <c r="O300" s="555">
        <f t="shared" si="59"/>
        <v>0</v>
      </c>
      <c r="P300" s="555">
        <f t="shared" si="59"/>
        <v>0</v>
      </c>
      <c r="Q300" s="555">
        <f t="shared" si="59"/>
        <v>0</v>
      </c>
      <c r="R300" s="555">
        <f t="shared" si="59"/>
        <v>0</v>
      </c>
      <c r="S300" s="555">
        <f t="shared" si="59"/>
        <v>0</v>
      </c>
      <c r="T300" s="555">
        <f t="shared" si="59"/>
        <v>0</v>
      </c>
      <c r="U300" s="555">
        <f t="shared" si="59"/>
        <v>0</v>
      </c>
      <c r="V300" s="555">
        <f t="shared" si="59"/>
        <v>108703</v>
      </c>
      <c r="W300" s="555">
        <f t="shared" si="59"/>
        <v>0</v>
      </c>
      <c r="X300" s="555">
        <f t="shared" si="59"/>
        <v>0</v>
      </c>
      <c r="Y300" s="555">
        <f t="shared" si="59"/>
        <v>0</v>
      </c>
      <c r="Z300" s="555">
        <f t="shared" si="59"/>
        <v>0</v>
      </c>
      <c r="AA300" s="555">
        <f t="shared" si="59"/>
        <v>2309010</v>
      </c>
      <c r="AB300" s="555">
        <f t="shared" si="59"/>
        <v>0</v>
      </c>
      <c r="AC300" s="555">
        <f t="shared" si="59"/>
        <v>0</v>
      </c>
      <c r="AD300" s="555">
        <f t="shared" si="59"/>
        <v>0</v>
      </c>
      <c r="AE300" s="555">
        <f t="shared" si="59"/>
        <v>3042170</v>
      </c>
      <c r="AF300" s="555">
        <f t="shared" si="59"/>
        <v>0</v>
      </c>
      <c r="AG300" s="555">
        <f t="shared" si="59"/>
        <v>6388326</v>
      </c>
      <c r="AH300" s="555">
        <f t="shared" si="59"/>
        <v>0</v>
      </c>
      <c r="AI300" s="555">
        <f t="shared" si="59"/>
        <v>3476704</v>
      </c>
      <c r="AJ300" s="555">
        <f t="shared" ref="AJ300:BO300" si="60">AJ144</f>
        <v>0</v>
      </c>
      <c r="AK300" s="555">
        <f t="shared" si="60"/>
        <v>26812</v>
      </c>
      <c r="AL300" s="555">
        <f t="shared" si="60"/>
        <v>0</v>
      </c>
      <c r="AM300" s="555">
        <f t="shared" si="60"/>
        <v>0</v>
      </c>
      <c r="AN300" s="555">
        <f t="shared" si="60"/>
        <v>550833</v>
      </c>
      <c r="AO300" s="555">
        <f t="shared" si="60"/>
        <v>0</v>
      </c>
      <c r="AP300" s="555">
        <f t="shared" si="60"/>
        <v>0</v>
      </c>
      <c r="AQ300" s="555">
        <f t="shared" si="60"/>
        <v>0</v>
      </c>
      <c r="AR300" s="555">
        <f t="shared" si="60"/>
        <v>1000960</v>
      </c>
      <c r="AS300" s="555">
        <f t="shared" si="60"/>
        <v>0</v>
      </c>
      <c r="AT300" s="555">
        <f t="shared" si="60"/>
        <v>0</v>
      </c>
      <c r="AU300" s="555">
        <f t="shared" si="60"/>
        <v>0</v>
      </c>
      <c r="AV300" s="555">
        <f t="shared" si="60"/>
        <v>0</v>
      </c>
      <c r="AW300" s="555">
        <f t="shared" si="60"/>
        <v>0</v>
      </c>
      <c r="AX300" s="555">
        <f t="shared" si="60"/>
        <v>0</v>
      </c>
      <c r="AY300" s="555">
        <f t="shared" si="60"/>
        <v>1103936</v>
      </c>
      <c r="AZ300" s="555">
        <f t="shared" si="60"/>
        <v>0</v>
      </c>
      <c r="BA300" s="555">
        <f t="shared" si="60"/>
        <v>2549854</v>
      </c>
      <c r="BB300" s="555">
        <f t="shared" si="60"/>
        <v>0</v>
      </c>
      <c r="BC300" s="555">
        <f t="shared" si="60"/>
        <v>2580588</v>
      </c>
      <c r="BD300" s="555">
        <f t="shared" si="60"/>
        <v>0</v>
      </c>
      <c r="BE300" s="555">
        <f t="shared" si="60"/>
        <v>0</v>
      </c>
      <c r="BF300" s="555">
        <f t="shared" si="60"/>
        <v>0</v>
      </c>
      <c r="BG300" s="555">
        <f t="shared" si="60"/>
        <v>0</v>
      </c>
      <c r="BH300" s="555">
        <f t="shared" si="60"/>
        <v>162655</v>
      </c>
      <c r="BI300" s="555">
        <f t="shared" si="60"/>
        <v>1739825</v>
      </c>
      <c r="BJ300" s="555">
        <f t="shared" si="60"/>
        <v>1904319</v>
      </c>
      <c r="BK300" s="555">
        <f t="shared" si="60"/>
        <v>0</v>
      </c>
      <c r="BL300" s="555">
        <f t="shared" si="60"/>
        <v>0</v>
      </c>
      <c r="BM300" s="555">
        <f t="shared" si="60"/>
        <v>1378341</v>
      </c>
      <c r="BN300" s="555">
        <f t="shared" si="60"/>
        <v>1157973</v>
      </c>
      <c r="BO300" s="555">
        <f t="shared" si="60"/>
        <v>0</v>
      </c>
      <c r="BP300" s="555">
        <f t="shared" ref="BP300:CZ300" si="61">BP144</f>
        <v>0</v>
      </c>
      <c r="BQ300" s="555">
        <f t="shared" si="61"/>
        <v>0</v>
      </c>
      <c r="BR300" s="555">
        <f t="shared" si="61"/>
        <v>0</v>
      </c>
      <c r="BS300" s="555">
        <f t="shared" si="61"/>
        <v>1067035</v>
      </c>
      <c r="BT300" s="555">
        <f t="shared" si="61"/>
        <v>0</v>
      </c>
      <c r="BU300" s="555">
        <f t="shared" si="61"/>
        <v>0</v>
      </c>
      <c r="BV300" s="555">
        <f t="shared" si="61"/>
        <v>0</v>
      </c>
      <c r="BW300" s="555">
        <f t="shared" si="61"/>
        <v>0</v>
      </c>
      <c r="BX300" s="555">
        <f t="shared" si="61"/>
        <v>0</v>
      </c>
      <c r="BY300" s="555">
        <f t="shared" si="61"/>
        <v>0</v>
      </c>
      <c r="BZ300" s="555">
        <f t="shared" si="61"/>
        <v>0</v>
      </c>
      <c r="CA300" s="555">
        <f t="shared" si="61"/>
        <v>0</v>
      </c>
      <c r="CB300" s="555">
        <f t="shared" si="61"/>
        <v>0</v>
      </c>
      <c r="CC300" s="555">
        <f t="shared" si="61"/>
        <v>0</v>
      </c>
      <c r="CD300" s="555">
        <f t="shared" si="61"/>
        <v>13398563</v>
      </c>
      <c r="CE300" s="555">
        <f t="shared" si="61"/>
        <v>2720042</v>
      </c>
      <c r="CF300" s="555">
        <f t="shared" si="61"/>
        <v>0</v>
      </c>
      <c r="CG300" s="555">
        <f t="shared" si="61"/>
        <v>1422899</v>
      </c>
      <c r="CH300" s="555">
        <f t="shared" si="61"/>
        <v>0</v>
      </c>
      <c r="CI300" s="555">
        <f t="shared" si="61"/>
        <v>0</v>
      </c>
      <c r="CJ300" s="555">
        <f t="shared" si="61"/>
        <v>77508654</v>
      </c>
      <c r="CK300" s="555">
        <f t="shared" si="61"/>
        <v>3005691</v>
      </c>
      <c r="CL300" s="555">
        <f t="shared" si="61"/>
        <v>0</v>
      </c>
      <c r="CM300" s="555">
        <f t="shared" si="61"/>
        <v>2149463</v>
      </c>
      <c r="CN300" s="555">
        <f t="shared" si="61"/>
        <v>0</v>
      </c>
      <c r="CO300" s="555">
        <f t="shared" si="61"/>
        <v>0</v>
      </c>
      <c r="CP300" s="555">
        <f t="shared" si="61"/>
        <v>0</v>
      </c>
      <c r="CQ300" s="555">
        <f t="shared" si="61"/>
        <v>0</v>
      </c>
      <c r="CR300" s="555">
        <f t="shared" si="61"/>
        <v>438209</v>
      </c>
      <c r="CS300" s="555">
        <f t="shared" si="61"/>
        <v>0</v>
      </c>
      <c r="CT300" s="555">
        <f t="shared" si="61"/>
        <v>0</v>
      </c>
      <c r="CU300" s="555">
        <f t="shared" si="61"/>
        <v>0</v>
      </c>
      <c r="CV300" s="555">
        <f t="shared" si="61"/>
        <v>0</v>
      </c>
      <c r="CW300" s="555">
        <f t="shared" si="61"/>
        <v>0</v>
      </c>
      <c r="CX300" s="555">
        <f t="shared" si="61"/>
        <v>0</v>
      </c>
      <c r="CY300" s="555">
        <f t="shared" si="61"/>
        <v>0</v>
      </c>
      <c r="CZ300" s="555">
        <f t="shared" si="61"/>
        <v>0</v>
      </c>
    </row>
    <row r="301" spans="1:104" x14ac:dyDescent="0.3">
      <c r="A301" s="558">
        <v>555</v>
      </c>
      <c r="B301" s="180"/>
      <c r="C301" s="180">
        <v>145</v>
      </c>
      <c r="D301" s="555">
        <f t="shared" ref="D301:AI301" si="62">D145</f>
        <v>0</v>
      </c>
      <c r="E301" s="555">
        <f t="shared" si="62"/>
        <v>0</v>
      </c>
      <c r="F301" s="555">
        <f t="shared" si="62"/>
        <v>0</v>
      </c>
      <c r="G301" s="555">
        <f t="shared" si="62"/>
        <v>0</v>
      </c>
      <c r="H301" s="555">
        <f t="shared" si="62"/>
        <v>0</v>
      </c>
      <c r="I301" s="555">
        <f t="shared" si="62"/>
        <v>0</v>
      </c>
      <c r="J301" s="555">
        <f t="shared" si="62"/>
        <v>0</v>
      </c>
      <c r="K301" s="555">
        <f t="shared" si="62"/>
        <v>0</v>
      </c>
      <c r="L301" s="555">
        <f t="shared" si="62"/>
        <v>0</v>
      </c>
      <c r="M301" s="555">
        <f t="shared" si="62"/>
        <v>6284072</v>
      </c>
      <c r="N301" s="555">
        <f t="shared" si="62"/>
        <v>0</v>
      </c>
      <c r="O301" s="555">
        <f t="shared" si="62"/>
        <v>0</v>
      </c>
      <c r="P301" s="555">
        <f t="shared" si="62"/>
        <v>0</v>
      </c>
      <c r="Q301" s="555">
        <f t="shared" si="62"/>
        <v>0</v>
      </c>
      <c r="R301" s="555">
        <f t="shared" si="62"/>
        <v>0</v>
      </c>
      <c r="S301" s="555">
        <f t="shared" si="62"/>
        <v>0</v>
      </c>
      <c r="T301" s="555">
        <f t="shared" si="62"/>
        <v>0</v>
      </c>
      <c r="U301" s="555">
        <f t="shared" si="62"/>
        <v>0</v>
      </c>
      <c r="V301" s="555">
        <f t="shared" si="62"/>
        <v>0</v>
      </c>
      <c r="W301" s="555">
        <f t="shared" si="62"/>
        <v>0</v>
      </c>
      <c r="X301" s="555">
        <f t="shared" si="62"/>
        <v>0</v>
      </c>
      <c r="Y301" s="555">
        <f t="shared" si="62"/>
        <v>0</v>
      </c>
      <c r="Z301" s="555">
        <f t="shared" si="62"/>
        <v>0</v>
      </c>
      <c r="AA301" s="555">
        <f t="shared" si="62"/>
        <v>1381566</v>
      </c>
      <c r="AB301" s="555">
        <f t="shared" si="62"/>
        <v>0</v>
      </c>
      <c r="AC301" s="555">
        <f t="shared" si="62"/>
        <v>0</v>
      </c>
      <c r="AD301" s="555">
        <f t="shared" si="62"/>
        <v>0</v>
      </c>
      <c r="AE301" s="555">
        <f t="shared" si="62"/>
        <v>3020270</v>
      </c>
      <c r="AF301" s="555">
        <f t="shared" si="62"/>
        <v>0</v>
      </c>
      <c r="AG301" s="555">
        <f t="shared" si="62"/>
        <v>3711038</v>
      </c>
      <c r="AH301" s="555">
        <f t="shared" si="62"/>
        <v>0</v>
      </c>
      <c r="AI301" s="555">
        <f t="shared" si="62"/>
        <v>3476704</v>
      </c>
      <c r="AJ301" s="555">
        <f t="shared" ref="AJ301:BO301" si="63">AJ145</f>
        <v>0</v>
      </c>
      <c r="AK301" s="555">
        <f t="shared" si="63"/>
        <v>0</v>
      </c>
      <c r="AL301" s="555">
        <f t="shared" si="63"/>
        <v>0</v>
      </c>
      <c r="AM301" s="555">
        <f t="shared" si="63"/>
        <v>0</v>
      </c>
      <c r="AN301" s="555">
        <f t="shared" si="63"/>
        <v>0</v>
      </c>
      <c r="AO301" s="555">
        <f t="shared" si="63"/>
        <v>0</v>
      </c>
      <c r="AP301" s="555">
        <f t="shared" si="63"/>
        <v>0</v>
      </c>
      <c r="AQ301" s="555">
        <f t="shared" si="63"/>
        <v>0</v>
      </c>
      <c r="AR301" s="555">
        <f t="shared" si="63"/>
        <v>704321</v>
      </c>
      <c r="AS301" s="555">
        <f t="shared" si="63"/>
        <v>0</v>
      </c>
      <c r="AT301" s="555">
        <f t="shared" si="63"/>
        <v>0</v>
      </c>
      <c r="AU301" s="555">
        <f t="shared" si="63"/>
        <v>0</v>
      </c>
      <c r="AV301" s="555">
        <f t="shared" si="63"/>
        <v>0</v>
      </c>
      <c r="AW301" s="555">
        <f t="shared" si="63"/>
        <v>0</v>
      </c>
      <c r="AX301" s="555">
        <f t="shared" si="63"/>
        <v>0</v>
      </c>
      <c r="AY301" s="555">
        <f t="shared" si="63"/>
        <v>872908</v>
      </c>
      <c r="AZ301" s="555">
        <f t="shared" si="63"/>
        <v>0</v>
      </c>
      <c r="BA301" s="555">
        <f t="shared" si="63"/>
        <v>1156557</v>
      </c>
      <c r="BB301" s="555">
        <f t="shared" si="63"/>
        <v>0</v>
      </c>
      <c r="BC301" s="555">
        <f t="shared" si="63"/>
        <v>1856354</v>
      </c>
      <c r="BD301" s="555">
        <f t="shared" si="63"/>
        <v>0</v>
      </c>
      <c r="BE301" s="555">
        <f t="shared" si="63"/>
        <v>0</v>
      </c>
      <c r="BF301" s="555">
        <f t="shared" si="63"/>
        <v>0</v>
      </c>
      <c r="BG301" s="555">
        <f t="shared" si="63"/>
        <v>0</v>
      </c>
      <c r="BH301" s="555">
        <f t="shared" si="63"/>
        <v>0</v>
      </c>
      <c r="BI301" s="555">
        <f t="shared" si="63"/>
        <v>1219817</v>
      </c>
      <c r="BJ301" s="555">
        <f t="shared" si="63"/>
        <v>1513335</v>
      </c>
      <c r="BK301" s="555">
        <f t="shared" si="63"/>
        <v>0</v>
      </c>
      <c r="BL301" s="555">
        <f t="shared" si="63"/>
        <v>0</v>
      </c>
      <c r="BM301" s="555">
        <f t="shared" si="63"/>
        <v>1330341</v>
      </c>
      <c r="BN301" s="555">
        <f t="shared" si="63"/>
        <v>1145923</v>
      </c>
      <c r="BO301" s="555">
        <f t="shared" si="63"/>
        <v>0</v>
      </c>
      <c r="BP301" s="555">
        <f t="shared" ref="BP301:CZ301" si="64">BP145</f>
        <v>0</v>
      </c>
      <c r="BQ301" s="555">
        <f t="shared" si="64"/>
        <v>0</v>
      </c>
      <c r="BR301" s="555">
        <f t="shared" si="64"/>
        <v>0</v>
      </c>
      <c r="BS301" s="555">
        <f t="shared" si="64"/>
        <v>996619</v>
      </c>
      <c r="BT301" s="555">
        <f t="shared" si="64"/>
        <v>0</v>
      </c>
      <c r="BU301" s="555">
        <f t="shared" si="64"/>
        <v>0</v>
      </c>
      <c r="BV301" s="555">
        <f t="shared" si="64"/>
        <v>0</v>
      </c>
      <c r="BW301" s="555">
        <f t="shared" si="64"/>
        <v>0</v>
      </c>
      <c r="BX301" s="555">
        <f t="shared" si="64"/>
        <v>0</v>
      </c>
      <c r="BY301" s="555">
        <f t="shared" si="64"/>
        <v>0</v>
      </c>
      <c r="BZ301" s="555">
        <f t="shared" si="64"/>
        <v>0</v>
      </c>
      <c r="CA301" s="555">
        <f t="shared" si="64"/>
        <v>0</v>
      </c>
      <c r="CB301" s="555">
        <f t="shared" si="64"/>
        <v>0</v>
      </c>
      <c r="CC301" s="555">
        <f t="shared" si="64"/>
        <v>0</v>
      </c>
      <c r="CD301" s="555">
        <f t="shared" si="64"/>
        <v>9522153</v>
      </c>
      <c r="CE301" s="555">
        <f t="shared" si="64"/>
        <v>1069897</v>
      </c>
      <c r="CF301" s="555">
        <f t="shared" si="64"/>
        <v>0</v>
      </c>
      <c r="CG301" s="555">
        <f t="shared" si="64"/>
        <v>1074966</v>
      </c>
      <c r="CH301" s="555">
        <f t="shared" si="64"/>
        <v>0</v>
      </c>
      <c r="CI301" s="555">
        <f t="shared" si="64"/>
        <v>0</v>
      </c>
      <c r="CJ301" s="555">
        <f t="shared" si="64"/>
        <v>67895193</v>
      </c>
      <c r="CK301" s="555">
        <f t="shared" si="64"/>
        <v>2597525</v>
      </c>
      <c r="CL301" s="555">
        <f t="shared" si="64"/>
        <v>0</v>
      </c>
      <c r="CM301" s="555">
        <f t="shared" si="64"/>
        <v>2140691</v>
      </c>
      <c r="CN301" s="555">
        <f t="shared" si="64"/>
        <v>0</v>
      </c>
      <c r="CO301" s="555">
        <f t="shared" si="64"/>
        <v>0</v>
      </c>
      <c r="CP301" s="555">
        <f t="shared" si="64"/>
        <v>0</v>
      </c>
      <c r="CQ301" s="555">
        <f t="shared" si="64"/>
        <v>0</v>
      </c>
      <c r="CR301" s="555">
        <f t="shared" si="64"/>
        <v>0</v>
      </c>
      <c r="CS301" s="555">
        <f t="shared" si="64"/>
        <v>0</v>
      </c>
      <c r="CT301" s="555">
        <f t="shared" si="64"/>
        <v>0</v>
      </c>
      <c r="CU301" s="555">
        <f t="shared" si="64"/>
        <v>0</v>
      </c>
      <c r="CV301" s="555">
        <f t="shared" si="64"/>
        <v>0</v>
      </c>
      <c r="CW301" s="555">
        <f t="shared" si="64"/>
        <v>0</v>
      </c>
      <c r="CX301" s="555">
        <f t="shared" si="64"/>
        <v>0</v>
      </c>
      <c r="CY301" s="555">
        <f t="shared" si="64"/>
        <v>0</v>
      </c>
      <c r="CZ301" s="555">
        <f t="shared" si="64"/>
        <v>0</v>
      </c>
    </row>
    <row r="302" spans="1:104" x14ac:dyDescent="0.3">
      <c r="A302" s="558">
        <v>556</v>
      </c>
      <c r="B302" s="180"/>
      <c r="C302" s="180">
        <v>146</v>
      </c>
      <c r="D302" s="555">
        <f t="shared" ref="D302:AI302" si="65">D146</f>
        <v>0</v>
      </c>
      <c r="E302" s="555">
        <f t="shared" si="65"/>
        <v>0</v>
      </c>
      <c r="F302" s="555">
        <f t="shared" si="65"/>
        <v>1603277</v>
      </c>
      <c r="G302" s="555">
        <f t="shared" si="65"/>
        <v>0</v>
      </c>
      <c r="H302" s="555">
        <f t="shared" si="65"/>
        <v>1934147</v>
      </c>
      <c r="I302" s="555">
        <f t="shared" si="65"/>
        <v>0</v>
      </c>
      <c r="J302" s="555">
        <f t="shared" si="65"/>
        <v>0</v>
      </c>
      <c r="K302" s="555">
        <f t="shared" si="65"/>
        <v>0</v>
      </c>
      <c r="L302" s="555">
        <f t="shared" si="65"/>
        <v>0</v>
      </c>
      <c r="M302" s="555">
        <f t="shared" si="65"/>
        <v>5267808</v>
      </c>
      <c r="N302" s="555">
        <f t="shared" si="65"/>
        <v>0</v>
      </c>
      <c r="O302" s="555">
        <f t="shared" si="65"/>
        <v>0</v>
      </c>
      <c r="P302" s="555">
        <f t="shared" si="65"/>
        <v>0</v>
      </c>
      <c r="Q302" s="555">
        <f t="shared" si="65"/>
        <v>0</v>
      </c>
      <c r="R302" s="555">
        <f t="shared" si="65"/>
        <v>0</v>
      </c>
      <c r="S302" s="555">
        <f t="shared" si="65"/>
        <v>0</v>
      </c>
      <c r="T302" s="555">
        <f t="shared" si="65"/>
        <v>0</v>
      </c>
      <c r="U302" s="555">
        <f t="shared" si="65"/>
        <v>0</v>
      </c>
      <c r="V302" s="555">
        <f t="shared" si="65"/>
        <v>1925797</v>
      </c>
      <c r="W302" s="555">
        <f t="shared" si="65"/>
        <v>1950228</v>
      </c>
      <c r="X302" s="555">
        <f t="shared" si="65"/>
        <v>0</v>
      </c>
      <c r="Y302" s="555">
        <f t="shared" si="65"/>
        <v>0</v>
      </c>
      <c r="Z302" s="555">
        <f t="shared" si="65"/>
        <v>0</v>
      </c>
      <c r="AA302" s="555">
        <f t="shared" si="65"/>
        <v>780339</v>
      </c>
      <c r="AB302" s="555">
        <f t="shared" si="65"/>
        <v>0</v>
      </c>
      <c r="AC302" s="555">
        <f t="shared" si="65"/>
        <v>0</v>
      </c>
      <c r="AD302" s="555">
        <f t="shared" si="65"/>
        <v>0</v>
      </c>
      <c r="AE302" s="555">
        <f t="shared" si="65"/>
        <v>52884</v>
      </c>
      <c r="AF302" s="555">
        <f t="shared" si="65"/>
        <v>0</v>
      </c>
      <c r="AG302" s="555">
        <f t="shared" si="65"/>
        <v>247022</v>
      </c>
      <c r="AH302" s="555">
        <f t="shared" si="65"/>
        <v>0</v>
      </c>
      <c r="AI302" s="555">
        <f t="shared" si="65"/>
        <v>1928735</v>
      </c>
      <c r="AJ302" s="555">
        <f t="shared" ref="AJ302:BO302" si="66">AJ146</f>
        <v>0</v>
      </c>
      <c r="AK302" s="555">
        <f t="shared" si="66"/>
        <v>647700</v>
      </c>
      <c r="AL302" s="555">
        <f t="shared" si="66"/>
        <v>0</v>
      </c>
      <c r="AM302" s="555">
        <f t="shared" si="66"/>
        <v>0</v>
      </c>
      <c r="AN302" s="555">
        <f t="shared" si="66"/>
        <v>1213469</v>
      </c>
      <c r="AO302" s="555">
        <f t="shared" si="66"/>
        <v>0</v>
      </c>
      <c r="AP302" s="555">
        <f t="shared" si="66"/>
        <v>0</v>
      </c>
      <c r="AQ302" s="555">
        <f t="shared" si="66"/>
        <v>0</v>
      </c>
      <c r="AR302" s="555">
        <f t="shared" si="66"/>
        <v>1487766</v>
      </c>
      <c r="AS302" s="555">
        <f t="shared" si="66"/>
        <v>0</v>
      </c>
      <c r="AT302" s="555">
        <f t="shared" si="66"/>
        <v>0</v>
      </c>
      <c r="AU302" s="555">
        <f t="shared" si="66"/>
        <v>0</v>
      </c>
      <c r="AV302" s="555">
        <f t="shared" si="66"/>
        <v>0</v>
      </c>
      <c r="AW302" s="555">
        <f t="shared" si="66"/>
        <v>0</v>
      </c>
      <c r="AX302" s="555">
        <f t="shared" si="66"/>
        <v>0</v>
      </c>
      <c r="AY302" s="555">
        <f t="shared" si="66"/>
        <v>832395</v>
      </c>
      <c r="AZ302" s="555">
        <f t="shared" si="66"/>
        <v>0</v>
      </c>
      <c r="BA302" s="555">
        <f t="shared" si="66"/>
        <v>1331452</v>
      </c>
      <c r="BB302" s="555">
        <f t="shared" si="66"/>
        <v>0</v>
      </c>
      <c r="BC302" s="555">
        <f t="shared" si="66"/>
        <v>652226</v>
      </c>
      <c r="BD302" s="555">
        <f t="shared" si="66"/>
        <v>0</v>
      </c>
      <c r="BE302" s="555">
        <f t="shared" si="66"/>
        <v>0</v>
      </c>
      <c r="BF302" s="555">
        <f t="shared" si="66"/>
        <v>0</v>
      </c>
      <c r="BG302" s="555">
        <f t="shared" si="66"/>
        <v>0</v>
      </c>
      <c r="BH302" s="555">
        <f t="shared" si="66"/>
        <v>602653</v>
      </c>
      <c r="BI302" s="555">
        <f t="shared" si="66"/>
        <v>132500</v>
      </c>
      <c r="BJ302" s="555">
        <f t="shared" si="66"/>
        <v>2738495</v>
      </c>
      <c r="BK302" s="555">
        <f t="shared" si="66"/>
        <v>0</v>
      </c>
      <c r="BL302" s="555">
        <f t="shared" si="66"/>
        <v>0</v>
      </c>
      <c r="BM302" s="555">
        <f t="shared" si="66"/>
        <v>0</v>
      </c>
      <c r="BN302" s="555">
        <f t="shared" si="66"/>
        <v>373008</v>
      </c>
      <c r="BO302" s="555">
        <f t="shared" si="66"/>
        <v>0</v>
      </c>
      <c r="BP302" s="555">
        <f t="shared" ref="BP302:CZ302" si="67">BP146</f>
        <v>0</v>
      </c>
      <c r="BQ302" s="555">
        <f t="shared" si="67"/>
        <v>0</v>
      </c>
      <c r="BR302" s="555">
        <f t="shared" si="67"/>
        <v>0</v>
      </c>
      <c r="BS302" s="555">
        <f t="shared" si="67"/>
        <v>448210</v>
      </c>
      <c r="BT302" s="555">
        <f t="shared" si="67"/>
        <v>0</v>
      </c>
      <c r="BU302" s="555">
        <f t="shared" si="67"/>
        <v>0</v>
      </c>
      <c r="BV302" s="555">
        <f t="shared" si="67"/>
        <v>0</v>
      </c>
      <c r="BW302" s="555">
        <f t="shared" si="67"/>
        <v>0</v>
      </c>
      <c r="BX302" s="555">
        <f t="shared" si="67"/>
        <v>0</v>
      </c>
      <c r="BY302" s="555">
        <f t="shared" si="67"/>
        <v>0</v>
      </c>
      <c r="BZ302" s="555">
        <f t="shared" si="67"/>
        <v>0</v>
      </c>
      <c r="CA302" s="555">
        <f t="shared" si="67"/>
        <v>0</v>
      </c>
      <c r="CB302" s="555">
        <f t="shared" si="67"/>
        <v>0</v>
      </c>
      <c r="CC302" s="555">
        <f t="shared" si="67"/>
        <v>0</v>
      </c>
      <c r="CD302" s="555">
        <f t="shared" si="67"/>
        <v>3974004</v>
      </c>
      <c r="CE302" s="555">
        <f t="shared" si="67"/>
        <v>2194036</v>
      </c>
      <c r="CF302" s="555">
        <f t="shared" si="67"/>
        <v>0</v>
      </c>
      <c r="CG302" s="555">
        <f t="shared" si="67"/>
        <v>931377</v>
      </c>
      <c r="CH302" s="555">
        <f t="shared" si="67"/>
        <v>0</v>
      </c>
      <c r="CI302" s="555">
        <f t="shared" si="67"/>
        <v>0</v>
      </c>
      <c r="CJ302" s="555">
        <f t="shared" si="67"/>
        <v>6539179</v>
      </c>
      <c r="CK302" s="555">
        <f t="shared" si="67"/>
        <v>34067</v>
      </c>
      <c r="CL302" s="555">
        <f t="shared" si="67"/>
        <v>0</v>
      </c>
      <c r="CM302" s="555">
        <f t="shared" si="67"/>
        <v>104691</v>
      </c>
      <c r="CN302" s="555">
        <f t="shared" si="67"/>
        <v>0</v>
      </c>
      <c r="CO302" s="555">
        <f t="shared" si="67"/>
        <v>0</v>
      </c>
      <c r="CP302" s="555">
        <f t="shared" si="67"/>
        <v>0</v>
      </c>
      <c r="CQ302" s="555">
        <f t="shared" si="67"/>
        <v>0</v>
      </c>
      <c r="CR302" s="555">
        <f t="shared" si="67"/>
        <v>1107424</v>
      </c>
      <c r="CS302" s="555">
        <f t="shared" si="67"/>
        <v>0</v>
      </c>
      <c r="CT302" s="555">
        <f t="shared" si="67"/>
        <v>0</v>
      </c>
      <c r="CU302" s="555">
        <f t="shared" si="67"/>
        <v>0</v>
      </c>
      <c r="CV302" s="555">
        <f t="shared" si="67"/>
        <v>0</v>
      </c>
      <c r="CW302" s="555">
        <f t="shared" si="67"/>
        <v>0</v>
      </c>
      <c r="CX302" s="555">
        <f t="shared" si="67"/>
        <v>0</v>
      </c>
      <c r="CY302" s="555">
        <f t="shared" si="67"/>
        <v>0</v>
      </c>
      <c r="CZ302" s="555">
        <f t="shared" si="67"/>
        <v>0</v>
      </c>
    </row>
    <row r="303" spans="1:104" x14ac:dyDescent="0.3">
      <c r="A303" s="558">
        <v>557</v>
      </c>
      <c r="B303" s="180"/>
      <c r="C303" s="180">
        <v>147</v>
      </c>
      <c r="D303" s="555">
        <f t="shared" ref="D303:AI303" si="68">D147</f>
        <v>0</v>
      </c>
      <c r="E303" s="555">
        <f t="shared" si="68"/>
        <v>0</v>
      </c>
      <c r="F303" s="555">
        <f t="shared" si="68"/>
        <v>1279130</v>
      </c>
      <c r="G303" s="555">
        <f t="shared" si="68"/>
        <v>0</v>
      </c>
      <c r="H303" s="555">
        <f t="shared" si="68"/>
        <v>1600000</v>
      </c>
      <c r="I303" s="555">
        <f t="shared" si="68"/>
        <v>0</v>
      </c>
      <c r="J303" s="555">
        <f t="shared" si="68"/>
        <v>0</v>
      </c>
      <c r="K303" s="555">
        <f t="shared" si="68"/>
        <v>0</v>
      </c>
      <c r="L303" s="555">
        <f t="shared" si="68"/>
        <v>0</v>
      </c>
      <c r="M303" s="555">
        <f t="shared" si="68"/>
        <v>4702078</v>
      </c>
      <c r="N303" s="555">
        <f t="shared" si="68"/>
        <v>0</v>
      </c>
      <c r="O303" s="555">
        <f t="shared" si="68"/>
        <v>0</v>
      </c>
      <c r="P303" s="555">
        <f t="shared" si="68"/>
        <v>0</v>
      </c>
      <c r="Q303" s="555">
        <f t="shared" si="68"/>
        <v>0</v>
      </c>
      <c r="R303" s="555">
        <f t="shared" si="68"/>
        <v>0</v>
      </c>
      <c r="S303" s="555">
        <f t="shared" si="68"/>
        <v>0</v>
      </c>
      <c r="T303" s="555">
        <f t="shared" si="68"/>
        <v>0</v>
      </c>
      <c r="U303" s="555">
        <f t="shared" si="68"/>
        <v>0</v>
      </c>
      <c r="V303" s="555">
        <f t="shared" si="68"/>
        <v>1925797</v>
      </c>
      <c r="W303" s="555">
        <f t="shared" si="68"/>
        <v>1925797</v>
      </c>
      <c r="X303" s="555">
        <f t="shared" si="68"/>
        <v>0</v>
      </c>
      <c r="Y303" s="555">
        <f t="shared" si="68"/>
        <v>0</v>
      </c>
      <c r="Z303" s="555">
        <f t="shared" si="68"/>
        <v>0</v>
      </c>
      <c r="AA303" s="555">
        <f t="shared" si="68"/>
        <v>520869</v>
      </c>
      <c r="AB303" s="555">
        <f t="shared" si="68"/>
        <v>0</v>
      </c>
      <c r="AC303" s="555">
        <f t="shared" si="68"/>
        <v>0</v>
      </c>
      <c r="AD303" s="555">
        <f t="shared" si="68"/>
        <v>0</v>
      </c>
      <c r="AE303" s="555">
        <f t="shared" si="68"/>
        <v>0</v>
      </c>
      <c r="AF303" s="555">
        <f t="shared" si="68"/>
        <v>0</v>
      </c>
      <c r="AG303" s="555">
        <f t="shared" si="68"/>
        <v>0</v>
      </c>
      <c r="AH303" s="555">
        <f t="shared" si="68"/>
        <v>0</v>
      </c>
      <c r="AI303" s="555">
        <f t="shared" si="68"/>
        <v>1158901</v>
      </c>
      <c r="AJ303" s="555">
        <f t="shared" ref="AJ303:BO303" si="69">AJ147</f>
        <v>0</v>
      </c>
      <c r="AK303" s="555">
        <f t="shared" si="69"/>
        <v>603406</v>
      </c>
      <c r="AL303" s="555">
        <f t="shared" si="69"/>
        <v>0</v>
      </c>
      <c r="AM303" s="555">
        <f t="shared" si="69"/>
        <v>0</v>
      </c>
      <c r="AN303" s="555">
        <f t="shared" si="69"/>
        <v>916669</v>
      </c>
      <c r="AO303" s="555">
        <f t="shared" si="69"/>
        <v>0</v>
      </c>
      <c r="AP303" s="555">
        <f t="shared" si="69"/>
        <v>0</v>
      </c>
      <c r="AQ303" s="555">
        <f t="shared" si="69"/>
        <v>0</v>
      </c>
      <c r="AR303" s="555">
        <f t="shared" si="69"/>
        <v>780169</v>
      </c>
      <c r="AS303" s="555">
        <f t="shared" si="69"/>
        <v>0</v>
      </c>
      <c r="AT303" s="555">
        <f t="shared" si="69"/>
        <v>0</v>
      </c>
      <c r="AU303" s="555">
        <f t="shared" si="69"/>
        <v>0</v>
      </c>
      <c r="AV303" s="555">
        <f t="shared" si="69"/>
        <v>0</v>
      </c>
      <c r="AW303" s="555">
        <f t="shared" si="69"/>
        <v>0</v>
      </c>
      <c r="AX303" s="555">
        <f t="shared" si="69"/>
        <v>0</v>
      </c>
      <c r="AY303" s="555">
        <f t="shared" si="69"/>
        <v>346197</v>
      </c>
      <c r="AZ303" s="555">
        <f t="shared" si="69"/>
        <v>0</v>
      </c>
      <c r="BA303" s="555">
        <f t="shared" si="69"/>
        <v>1282385</v>
      </c>
      <c r="BB303" s="555">
        <f t="shared" si="69"/>
        <v>0</v>
      </c>
      <c r="BC303" s="555">
        <f t="shared" si="69"/>
        <v>369989</v>
      </c>
      <c r="BD303" s="555">
        <f t="shared" si="69"/>
        <v>0</v>
      </c>
      <c r="BE303" s="555">
        <f t="shared" si="69"/>
        <v>0</v>
      </c>
      <c r="BF303" s="555">
        <f t="shared" si="69"/>
        <v>0</v>
      </c>
      <c r="BG303" s="555">
        <f t="shared" si="69"/>
        <v>0</v>
      </c>
      <c r="BH303" s="555">
        <f t="shared" si="69"/>
        <v>243918</v>
      </c>
      <c r="BI303" s="555">
        <f t="shared" si="69"/>
        <v>0</v>
      </c>
      <c r="BJ303" s="555">
        <f t="shared" si="69"/>
        <v>2137397</v>
      </c>
      <c r="BK303" s="555">
        <f t="shared" si="69"/>
        <v>0</v>
      </c>
      <c r="BL303" s="555">
        <f t="shared" si="69"/>
        <v>0</v>
      </c>
      <c r="BM303" s="555">
        <f t="shared" si="69"/>
        <v>0</v>
      </c>
      <c r="BN303" s="555">
        <f t="shared" si="69"/>
        <v>0</v>
      </c>
      <c r="BO303" s="555">
        <f t="shared" si="69"/>
        <v>0</v>
      </c>
      <c r="BP303" s="555">
        <f t="shared" ref="BP303:CZ303" si="70">BP147</f>
        <v>0</v>
      </c>
      <c r="BQ303" s="555">
        <f t="shared" si="70"/>
        <v>0</v>
      </c>
      <c r="BR303" s="555">
        <f t="shared" si="70"/>
        <v>0</v>
      </c>
      <c r="BS303" s="555">
        <f t="shared" si="70"/>
        <v>0</v>
      </c>
      <c r="BT303" s="555">
        <f t="shared" si="70"/>
        <v>0</v>
      </c>
      <c r="BU303" s="555">
        <f t="shared" si="70"/>
        <v>0</v>
      </c>
      <c r="BV303" s="555">
        <f t="shared" si="70"/>
        <v>0</v>
      </c>
      <c r="BW303" s="555">
        <f t="shared" si="70"/>
        <v>0</v>
      </c>
      <c r="BX303" s="555">
        <f t="shared" si="70"/>
        <v>0</v>
      </c>
      <c r="BY303" s="555">
        <f t="shared" si="70"/>
        <v>0</v>
      </c>
      <c r="BZ303" s="555">
        <f t="shared" si="70"/>
        <v>0</v>
      </c>
      <c r="CA303" s="555">
        <f t="shared" si="70"/>
        <v>0</v>
      </c>
      <c r="CB303" s="555">
        <f t="shared" si="70"/>
        <v>0</v>
      </c>
      <c r="CC303" s="555">
        <f t="shared" si="70"/>
        <v>0</v>
      </c>
      <c r="CD303" s="555">
        <f t="shared" si="70"/>
        <v>3209388</v>
      </c>
      <c r="CE303" s="555">
        <f t="shared" si="70"/>
        <v>1424375</v>
      </c>
      <c r="CF303" s="555">
        <f t="shared" si="70"/>
        <v>0</v>
      </c>
      <c r="CG303" s="555">
        <f t="shared" si="70"/>
        <v>768938</v>
      </c>
      <c r="CH303" s="555">
        <f t="shared" si="70"/>
        <v>0</v>
      </c>
      <c r="CI303" s="555">
        <f t="shared" si="70"/>
        <v>0</v>
      </c>
      <c r="CJ303" s="555">
        <f t="shared" si="70"/>
        <v>5858037</v>
      </c>
      <c r="CK303" s="555">
        <f t="shared" si="70"/>
        <v>0</v>
      </c>
      <c r="CL303" s="555">
        <f t="shared" si="70"/>
        <v>0</v>
      </c>
      <c r="CM303" s="555">
        <f t="shared" si="70"/>
        <v>0</v>
      </c>
      <c r="CN303" s="555">
        <f t="shared" si="70"/>
        <v>0</v>
      </c>
      <c r="CO303" s="555">
        <f t="shared" si="70"/>
        <v>0</v>
      </c>
      <c r="CP303" s="555">
        <f t="shared" si="70"/>
        <v>0</v>
      </c>
      <c r="CQ303" s="555">
        <f t="shared" si="70"/>
        <v>0</v>
      </c>
      <c r="CR303" s="555">
        <f t="shared" si="70"/>
        <v>1000000</v>
      </c>
      <c r="CS303" s="555">
        <f t="shared" si="70"/>
        <v>0</v>
      </c>
      <c r="CT303" s="555">
        <f t="shared" si="70"/>
        <v>0</v>
      </c>
      <c r="CU303" s="555">
        <f t="shared" si="70"/>
        <v>0</v>
      </c>
      <c r="CV303" s="555">
        <f t="shared" si="70"/>
        <v>0</v>
      </c>
      <c r="CW303" s="555">
        <f t="shared" si="70"/>
        <v>0</v>
      </c>
      <c r="CX303" s="555">
        <f t="shared" si="70"/>
        <v>0</v>
      </c>
      <c r="CY303" s="555">
        <f t="shared" si="70"/>
        <v>0</v>
      </c>
      <c r="CZ303" s="555">
        <f t="shared" si="70"/>
        <v>0</v>
      </c>
    </row>
    <row r="304" spans="1:104" x14ac:dyDescent="0.3">
      <c r="A304" s="558">
        <v>606</v>
      </c>
      <c r="B304" s="180"/>
      <c r="C304" s="180">
        <v>164</v>
      </c>
      <c r="D304" s="555">
        <f t="shared" ref="D304:AI304" si="71">D164</f>
        <v>0</v>
      </c>
      <c r="E304" s="555">
        <f t="shared" si="71"/>
        <v>0</v>
      </c>
      <c r="F304" s="555">
        <f t="shared" si="71"/>
        <v>1</v>
      </c>
      <c r="G304" s="555">
        <f t="shared" si="71"/>
        <v>0</v>
      </c>
      <c r="H304" s="555">
        <f t="shared" si="71"/>
        <v>1</v>
      </c>
      <c r="I304" s="555">
        <f t="shared" si="71"/>
        <v>0</v>
      </c>
      <c r="J304" s="555">
        <f t="shared" si="71"/>
        <v>0</v>
      </c>
      <c r="K304" s="555">
        <f t="shared" si="71"/>
        <v>0</v>
      </c>
      <c r="L304" s="555">
        <f t="shared" si="71"/>
        <v>0</v>
      </c>
      <c r="M304" s="555">
        <f t="shared" si="71"/>
        <v>1</v>
      </c>
      <c r="N304" s="555">
        <f t="shared" si="71"/>
        <v>0</v>
      </c>
      <c r="O304" s="555">
        <f t="shared" si="71"/>
        <v>0</v>
      </c>
      <c r="P304" s="555">
        <f t="shared" si="71"/>
        <v>0</v>
      </c>
      <c r="Q304" s="555">
        <f t="shared" si="71"/>
        <v>0</v>
      </c>
      <c r="R304" s="555">
        <f t="shared" si="71"/>
        <v>0</v>
      </c>
      <c r="S304" s="555">
        <f t="shared" si="71"/>
        <v>0</v>
      </c>
      <c r="T304" s="555">
        <f t="shared" si="71"/>
        <v>0</v>
      </c>
      <c r="U304" s="555">
        <f t="shared" si="71"/>
        <v>0</v>
      </c>
      <c r="V304" s="555">
        <f t="shared" si="71"/>
        <v>1</v>
      </c>
      <c r="W304" s="555">
        <f t="shared" si="71"/>
        <v>1</v>
      </c>
      <c r="X304" s="555">
        <f t="shared" si="71"/>
        <v>0</v>
      </c>
      <c r="Y304" s="555">
        <f t="shared" si="71"/>
        <v>0</v>
      </c>
      <c r="Z304" s="555">
        <f t="shared" si="71"/>
        <v>0</v>
      </c>
      <c r="AA304" s="555">
        <f t="shared" si="71"/>
        <v>1</v>
      </c>
      <c r="AB304" s="555">
        <f t="shared" si="71"/>
        <v>0</v>
      </c>
      <c r="AC304" s="555">
        <f t="shared" si="71"/>
        <v>0</v>
      </c>
      <c r="AD304" s="555">
        <f t="shared" si="71"/>
        <v>0</v>
      </c>
      <c r="AE304" s="555">
        <f t="shared" si="71"/>
        <v>1</v>
      </c>
      <c r="AF304" s="555">
        <f t="shared" si="71"/>
        <v>0</v>
      </c>
      <c r="AG304" s="555">
        <f t="shared" si="71"/>
        <v>1</v>
      </c>
      <c r="AH304" s="555">
        <f t="shared" si="71"/>
        <v>0</v>
      </c>
      <c r="AI304" s="555">
        <f t="shared" si="71"/>
        <v>1</v>
      </c>
      <c r="AJ304" s="555">
        <f t="shared" ref="AJ304:BO304" si="72">AJ164</f>
        <v>0</v>
      </c>
      <c r="AK304" s="555">
        <f t="shared" si="72"/>
        <v>1</v>
      </c>
      <c r="AL304" s="555">
        <f t="shared" si="72"/>
        <v>0</v>
      </c>
      <c r="AM304" s="555">
        <f t="shared" si="72"/>
        <v>0</v>
      </c>
      <c r="AN304" s="555">
        <f t="shared" si="72"/>
        <v>1</v>
      </c>
      <c r="AO304" s="555">
        <f t="shared" si="72"/>
        <v>0</v>
      </c>
      <c r="AP304" s="555">
        <f t="shared" si="72"/>
        <v>0</v>
      </c>
      <c r="AQ304" s="555">
        <f t="shared" si="72"/>
        <v>0</v>
      </c>
      <c r="AR304" s="555">
        <f t="shared" si="72"/>
        <v>1</v>
      </c>
      <c r="AS304" s="555">
        <f t="shared" si="72"/>
        <v>0</v>
      </c>
      <c r="AT304" s="555">
        <f t="shared" si="72"/>
        <v>0</v>
      </c>
      <c r="AU304" s="555">
        <f t="shared" si="72"/>
        <v>0</v>
      </c>
      <c r="AV304" s="555">
        <f t="shared" si="72"/>
        <v>0</v>
      </c>
      <c r="AW304" s="555">
        <f t="shared" si="72"/>
        <v>0</v>
      </c>
      <c r="AX304" s="555">
        <f t="shared" si="72"/>
        <v>0</v>
      </c>
      <c r="AY304" s="555">
        <f t="shared" si="72"/>
        <v>1</v>
      </c>
      <c r="AZ304" s="555">
        <f t="shared" si="72"/>
        <v>0</v>
      </c>
      <c r="BA304" s="555">
        <f t="shared" si="72"/>
        <v>1</v>
      </c>
      <c r="BB304" s="555">
        <f t="shared" si="72"/>
        <v>0</v>
      </c>
      <c r="BC304" s="555">
        <f t="shared" si="72"/>
        <v>1</v>
      </c>
      <c r="BD304" s="555">
        <f t="shared" si="72"/>
        <v>0</v>
      </c>
      <c r="BE304" s="555">
        <f t="shared" si="72"/>
        <v>0</v>
      </c>
      <c r="BF304" s="555">
        <f t="shared" si="72"/>
        <v>0</v>
      </c>
      <c r="BG304" s="555">
        <f t="shared" si="72"/>
        <v>0</v>
      </c>
      <c r="BH304" s="555">
        <f t="shared" si="72"/>
        <v>1</v>
      </c>
      <c r="BI304" s="555">
        <f t="shared" si="72"/>
        <v>1</v>
      </c>
      <c r="BJ304" s="555">
        <f t="shared" si="72"/>
        <v>1</v>
      </c>
      <c r="BK304" s="555">
        <f t="shared" si="72"/>
        <v>0</v>
      </c>
      <c r="BL304" s="555">
        <f t="shared" si="72"/>
        <v>0</v>
      </c>
      <c r="BM304" s="555">
        <f t="shared" si="72"/>
        <v>1</v>
      </c>
      <c r="BN304" s="555">
        <f t="shared" si="72"/>
        <v>1</v>
      </c>
      <c r="BO304" s="555">
        <f t="shared" si="72"/>
        <v>0</v>
      </c>
      <c r="BP304" s="555">
        <f t="shared" ref="BP304:CZ304" si="73">BP164</f>
        <v>0</v>
      </c>
      <c r="BQ304" s="555">
        <f t="shared" si="73"/>
        <v>0</v>
      </c>
      <c r="BR304" s="555">
        <f t="shared" si="73"/>
        <v>0</v>
      </c>
      <c r="BS304" s="555">
        <f t="shared" si="73"/>
        <v>1</v>
      </c>
      <c r="BT304" s="555">
        <f t="shared" si="73"/>
        <v>0</v>
      </c>
      <c r="BU304" s="555">
        <f t="shared" si="73"/>
        <v>0</v>
      </c>
      <c r="BV304" s="555">
        <f t="shared" si="73"/>
        <v>0</v>
      </c>
      <c r="BW304" s="555">
        <f t="shared" si="73"/>
        <v>0</v>
      </c>
      <c r="BX304" s="555">
        <f t="shared" si="73"/>
        <v>0</v>
      </c>
      <c r="BY304" s="555">
        <f t="shared" si="73"/>
        <v>0</v>
      </c>
      <c r="BZ304" s="555">
        <f t="shared" si="73"/>
        <v>0</v>
      </c>
      <c r="CA304" s="555">
        <f t="shared" si="73"/>
        <v>0</v>
      </c>
      <c r="CB304" s="555">
        <f t="shared" si="73"/>
        <v>0</v>
      </c>
      <c r="CC304" s="555">
        <f t="shared" si="73"/>
        <v>0</v>
      </c>
      <c r="CD304" s="555">
        <f t="shared" si="73"/>
        <v>1</v>
      </c>
      <c r="CE304" s="555">
        <f t="shared" si="73"/>
        <v>1</v>
      </c>
      <c r="CF304" s="555">
        <f t="shared" si="73"/>
        <v>0</v>
      </c>
      <c r="CG304" s="555">
        <f t="shared" si="73"/>
        <v>1</v>
      </c>
      <c r="CH304" s="555">
        <f t="shared" si="73"/>
        <v>0</v>
      </c>
      <c r="CI304" s="555">
        <f t="shared" si="73"/>
        <v>0</v>
      </c>
      <c r="CJ304" s="555">
        <f t="shared" si="73"/>
        <v>1</v>
      </c>
      <c r="CK304" s="555">
        <f t="shared" si="73"/>
        <v>1</v>
      </c>
      <c r="CL304" s="555">
        <f t="shared" si="73"/>
        <v>0</v>
      </c>
      <c r="CM304" s="555">
        <f t="shared" si="73"/>
        <v>1</v>
      </c>
      <c r="CN304" s="555">
        <f t="shared" si="73"/>
        <v>0</v>
      </c>
      <c r="CO304" s="555">
        <f t="shared" si="73"/>
        <v>0</v>
      </c>
      <c r="CP304" s="555">
        <f t="shared" si="73"/>
        <v>0</v>
      </c>
      <c r="CQ304" s="555">
        <f t="shared" si="73"/>
        <v>0</v>
      </c>
      <c r="CR304" s="555">
        <f t="shared" si="73"/>
        <v>1</v>
      </c>
      <c r="CS304" s="555">
        <f t="shared" si="73"/>
        <v>0</v>
      </c>
      <c r="CT304" s="555">
        <f t="shared" si="73"/>
        <v>0</v>
      </c>
      <c r="CU304" s="555">
        <f t="shared" si="73"/>
        <v>0</v>
      </c>
      <c r="CV304" s="555">
        <f t="shared" si="73"/>
        <v>0</v>
      </c>
      <c r="CW304" s="555">
        <f t="shared" si="73"/>
        <v>0</v>
      </c>
      <c r="CX304" s="555">
        <f t="shared" si="73"/>
        <v>0</v>
      </c>
      <c r="CY304" s="555">
        <f t="shared" si="73"/>
        <v>0</v>
      </c>
      <c r="CZ304" s="555">
        <f t="shared" si="73"/>
        <v>0</v>
      </c>
    </row>
    <row r="305" spans="1:104" x14ac:dyDescent="0.3">
      <c r="A305" s="558">
        <v>662</v>
      </c>
      <c r="B305" s="180" t="s">
        <v>451</v>
      </c>
      <c r="C305" s="180">
        <v>201</v>
      </c>
      <c r="D305" s="555">
        <f t="shared" ref="D305:AI305" si="74">D201</f>
        <v>0</v>
      </c>
      <c r="E305" s="555">
        <f t="shared" si="74"/>
        <v>0</v>
      </c>
      <c r="F305" s="555">
        <f t="shared" si="74"/>
        <v>0</v>
      </c>
      <c r="G305" s="555">
        <f t="shared" si="74"/>
        <v>0</v>
      </c>
      <c r="H305" s="555">
        <f t="shared" si="74"/>
        <v>0</v>
      </c>
      <c r="I305" s="555">
        <f t="shared" si="74"/>
        <v>0</v>
      </c>
      <c r="J305" s="555">
        <f t="shared" si="74"/>
        <v>0</v>
      </c>
      <c r="K305" s="555">
        <f t="shared" si="74"/>
        <v>0</v>
      </c>
      <c r="L305" s="555">
        <f t="shared" si="74"/>
        <v>0</v>
      </c>
      <c r="M305" s="555">
        <f t="shared" si="74"/>
        <v>0</v>
      </c>
      <c r="N305" s="555">
        <f t="shared" si="74"/>
        <v>0</v>
      </c>
      <c r="O305" s="555">
        <f t="shared" si="74"/>
        <v>0</v>
      </c>
      <c r="P305" s="555">
        <f t="shared" si="74"/>
        <v>0</v>
      </c>
      <c r="Q305" s="555">
        <f t="shared" si="74"/>
        <v>0</v>
      </c>
      <c r="R305" s="555">
        <f t="shared" si="74"/>
        <v>0</v>
      </c>
      <c r="S305" s="555">
        <f t="shared" si="74"/>
        <v>0</v>
      </c>
      <c r="T305" s="555">
        <f t="shared" si="74"/>
        <v>0</v>
      </c>
      <c r="U305" s="555">
        <f t="shared" si="74"/>
        <v>0</v>
      </c>
      <c r="V305" s="555">
        <f t="shared" si="74"/>
        <v>0</v>
      </c>
      <c r="W305" s="555">
        <f t="shared" si="74"/>
        <v>0</v>
      </c>
      <c r="X305" s="555">
        <f t="shared" si="74"/>
        <v>0</v>
      </c>
      <c r="Y305" s="555">
        <f t="shared" si="74"/>
        <v>0</v>
      </c>
      <c r="Z305" s="555">
        <f t="shared" si="74"/>
        <v>0</v>
      </c>
      <c r="AA305" s="555">
        <f t="shared" si="74"/>
        <v>0</v>
      </c>
      <c r="AB305" s="555">
        <f t="shared" si="74"/>
        <v>0</v>
      </c>
      <c r="AC305" s="555">
        <f t="shared" si="74"/>
        <v>0</v>
      </c>
      <c r="AD305" s="555">
        <f t="shared" si="74"/>
        <v>0</v>
      </c>
      <c r="AE305" s="555">
        <f t="shared" si="74"/>
        <v>0</v>
      </c>
      <c r="AF305" s="555">
        <f t="shared" si="74"/>
        <v>0</v>
      </c>
      <c r="AG305" s="555">
        <f t="shared" si="74"/>
        <v>0</v>
      </c>
      <c r="AH305" s="555">
        <f t="shared" si="74"/>
        <v>0</v>
      </c>
      <c r="AI305" s="555">
        <f t="shared" si="74"/>
        <v>0</v>
      </c>
      <c r="AJ305" s="555">
        <f t="shared" ref="AJ305:BO305" si="75">AJ201</f>
        <v>0</v>
      </c>
      <c r="AK305" s="555">
        <f t="shared" si="75"/>
        <v>0</v>
      </c>
      <c r="AL305" s="555">
        <f t="shared" si="75"/>
        <v>0</v>
      </c>
      <c r="AM305" s="555">
        <f t="shared" si="75"/>
        <v>0</v>
      </c>
      <c r="AN305" s="555">
        <f t="shared" si="75"/>
        <v>39655</v>
      </c>
      <c r="AO305" s="555">
        <f t="shared" si="75"/>
        <v>0</v>
      </c>
      <c r="AP305" s="555">
        <f t="shared" si="75"/>
        <v>0</v>
      </c>
      <c r="AQ305" s="555">
        <f t="shared" si="75"/>
        <v>0</v>
      </c>
      <c r="AR305" s="555">
        <f t="shared" si="75"/>
        <v>0</v>
      </c>
      <c r="AS305" s="555">
        <f t="shared" si="75"/>
        <v>0</v>
      </c>
      <c r="AT305" s="555">
        <f t="shared" si="75"/>
        <v>0</v>
      </c>
      <c r="AU305" s="555">
        <f t="shared" si="75"/>
        <v>0</v>
      </c>
      <c r="AV305" s="555">
        <f t="shared" si="75"/>
        <v>0</v>
      </c>
      <c r="AW305" s="555">
        <f t="shared" si="75"/>
        <v>0</v>
      </c>
      <c r="AX305" s="555">
        <f t="shared" si="75"/>
        <v>0</v>
      </c>
      <c r="AY305" s="555">
        <f t="shared" si="75"/>
        <v>0</v>
      </c>
      <c r="AZ305" s="555">
        <f t="shared" si="75"/>
        <v>0</v>
      </c>
      <c r="BA305" s="555">
        <f t="shared" si="75"/>
        <v>0</v>
      </c>
      <c r="BB305" s="555">
        <f t="shared" si="75"/>
        <v>0</v>
      </c>
      <c r="BC305" s="555">
        <f t="shared" si="75"/>
        <v>0</v>
      </c>
      <c r="BD305" s="555">
        <f t="shared" si="75"/>
        <v>0</v>
      </c>
      <c r="BE305" s="555">
        <f t="shared" si="75"/>
        <v>0</v>
      </c>
      <c r="BF305" s="555">
        <f t="shared" si="75"/>
        <v>0</v>
      </c>
      <c r="BG305" s="555">
        <f t="shared" si="75"/>
        <v>0</v>
      </c>
      <c r="BH305" s="555">
        <f t="shared" si="75"/>
        <v>0</v>
      </c>
      <c r="BI305" s="555">
        <f t="shared" si="75"/>
        <v>0</v>
      </c>
      <c r="BJ305" s="555">
        <f t="shared" si="75"/>
        <v>0</v>
      </c>
      <c r="BK305" s="555">
        <f t="shared" si="75"/>
        <v>0</v>
      </c>
      <c r="BL305" s="555">
        <f t="shared" si="75"/>
        <v>0</v>
      </c>
      <c r="BM305" s="555">
        <f t="shared" si="75"/>
        <v>0</v>
      </c>
      <c r="BN305" s="555">
        <f t="shared" si="75"/>
        <v>0</v>
      </c>
      <c r="BO305" s="555">
        <f t="shared" si="75"/>
        <v>0</v>
      </c>
      <c r="BP305" s="555">
        <f t="shared" ref="BP305:CZ305" si="76">BP201</f>
        <v>0</v>
      </c>
      <c r="BQ305" s="555">
        <f t="shared" si="76"/>
        <v>0</v>
      </c>
      <c r="BR305" s="555">
        <f t="shared" si="76"/>
        <v>0</v>
      </c>
      <c r="BS305" s="555">
        <f t="shared" si="76"/>
        <v>0</v>
      </c>
      <c r="BT305" s="555">
        <f t="shared" si="76"/>
        <v>0</v>
      </c>
      <c r="BU305" s="555">
        <f t="shared" si="76"/>
        <v>0</v>
      </c>
      <c r="BV305" s="555">
        <f t="shared" si="76"/>
        <v>0</v>
      </c>
      <c r="BW305" s="555">
        <f t="shared" si="76"/>
        <v>0</v>
      </c>
      <c r="BX305" s="555">
        <f t="shared" si="76"/>
        <v>0</v>
      </c>
      <c r="BY305" s="555">
        <f t="shared" si="76"/>
        <v>0</v>
      </c>
      <c r="BZ305" s="555">
        <f t="shared" si="76"/>
        <v>0</v>
      </c>
      <c r="CA305" s="555">
        <f t="shared" si="76"/>
        <v>0</v>
      </c>
      <c r="CB305" s="555">
        <f t="shared" si="76"/>
        <v>0</v>
      </c>
      <c r="CC305" s="555">
        <f t="shared" si="76"/>
        <v>0</v>
      </c>
      <c r="CD305" s="555">
        <f t="shared" si="76"/>
        <v>0</v>
      </c>
      <c r="CE305" s="555">
        <f t="shared" si="76"/>
        <v>11098</v>
      </c>
      <c r="CF305" s="555">
        <f t="shared" si="76"/>
        <v>0</v>
      </c>
      <c r="CG305" s="555">
        <f t="shared" si="76"/>
        <v>0</v>
      </c>
      <c r="CH305" s="555">
        <f t="shared" si="76"/>
        <v>0</v>
      </c>
      <c r="CI305" s="555">
        <f t="shared" si="76"/>
        <v>0</v>
      </c>
      <c r="CJ305" s="555">
        <f t="shared" si="76"/>
        <v>12924</v>
      </c>
      <c r="CK305" s="555">
        <f t="shared" si="76"/>
        <v>0</v>
      </c>
      <c r="CL305" s="555">
        <f t="shared" si="76"/>
        <v>0</v>
      </c>
      <c r="CM305" s="555">
        <f t="shared" si="76"/>
        <v>8772</v>
      </c>
      <c r="CN305" s="555">
        <f t="shared" si="76"/>
        <v>0</v>
      </c>
      <c r="CO305" s="555">
        <f t="shared" si="76"/>
        <v>0</v>
      </c>
      <c r="CP305" s="555">
        <f t="shared" si="76"/>
        <v>0</v>
      </c>
      <c r="CQ305" s="555">
        <f t="shared" si="76"/>
        <v>0</v>
      </c>
      <c r="CR305" s="555">
        <f t="shared" si="76"/>
        <v>0</v>
      </c>
      <c r="CS305" s="555">
        <f t="shared" si="76"/>
        <v>0</v>
      </c>
      <c r="CT305" s="555">
        <f t="shared" si="76"/>
        <v>0</v>
      </c>
      <c r="CU305" s="555">
        <f t="shared" si="76"/>
        <v>0</v>
      </c>
      <c r="CV305" s="555">
        <f t="shared" si="76"/>
        <v>0</v>
      </c>
      <c r="CW305" s="555">
        <f t="shared" si="76"/>
        <v>0</v>
      </c>
      <c r="CX305" s="555">
        <f t="shared" si="76"/>
        <v>0</v>
      </c>
      <c r="CY305" s="555">
        <f t="shared" si="76"/>
        <v>0</v>
      </c>
      <c r="CZ305" s="555">
        <f t="shared" si="76"/>
        <v>0</v>
      </c>
    </row>
    <row r="306" spans="1:104" x14ac:dyDescent="0.3">
      <c r="A306" s="558">
        <v>663</v>
      </c>
      <c r="B306" s="180" t="s">
        <v>974</v>
      </c>
      <c r="C306" s="180">
        <v>202</v>
      </c>
      <c r="D306" s="555">
        <f t="shared" ref="D306:AI306" si="77">D202</f>
        <v>0</v>
      </c>
      <c r="E306" s="555">
        <f t="shared" si="77"/>
        <v>0</v>
      </c>
      <c r="F306" s="555">
        <f t="shared" si="77"/>
        <v>0</v>
      </c>
      <c r="G306" s="555">
        <f t="shared" si="77"/>
        <v>0</v>
      </c>
      <c r="H306" s="555">
        <f t="shared" si="77"/>
        <v>0</v>
      </c>
      <c r="I306" s="555">
        <f t="shared" si="77"/>
        <v>0</v>
      </c>
      <c r="J306" s="555">
        <f t="shared" si="77"/>
        <v>0</v>
      </c>
      <c r="K306" s="555">
        <f t="shared" si="77"/>
        <v>0</v>
      </c>
      <c r="L306" s="555">
        <f t="shared" si="77"/>
        <v>0</v>
      </c>
      <c r="M306" s="555">
        <f t="shared" si="77"/>
        <v>4334822</v>
      </c>
      <c r="N306" s="555">
        <f t="shared" si="77"/>
        <v>0</v>
      </c>
      <c r="O306" s="555">
        <f t="shared" si="77"/>
        <v>0</v>
      </c>
      <c r="P306" s="555">
        <f t="shared" si="77"/>
        <v>0</v>
      </c>
      <c r="Q306" s="555">
        <f t="shared" si="77"/>
        <v>0</v>
      </c>
      <c r="R306" s="555">
        <f t="shared" si="77"/>
        <v>0</v>
      </c>
      <c r="S306" s="555">
        <f t="shared" si="77"/>
        <v>0</v>
      </c>
      <c r="T306" s="555">
        <f t="shared" si="77"/>
        <v>0</v>
      </c>
      <c r="U306" s="555">
        <f t="shared" si="77"/>
        <v>0</v>
      </c>
      <c r="V306" s="555">
        <f t="shared" si="77"/>
        <v>0</v>
      </c>
      <c r="W306" s="555">
        <f t="shared" si="77"/>
        <v>0</v>
      </c>
      <c r="X306" s="555">
        <f t="shared" si="77"/>
        <v>0</v>
      </c>
      <c r="Y306" s="555">
        <f t="shared" si="77"/>
        <v>0</v>
      </c>
      <c r="Z306" s="555">
        <f t="shared" si="77"/>
        <v>0</v>
      </c>
      <c r="AA306" s="555">
        <f t="shared" si="77"/>
        <v>0</v>
      </c>
      <c r="AB306" s="555">
        <f t="shared" si="77"/>
        <v>0</v>
      </c>
      <c r="AC306" s="555">
        <f t="shared" si="77"/>
        <v>0</v>
      </c>
      <c r="AD306" s="555">
        <f t="shared" si="77"/>
        <v>0</v>
      </c>
      <c r="AE306" s="555">
        <f t="shared" si="77"/>
        <v>0</v>
      </c>
      <c r="AF306" s="555">
        <f t="shared" si="77"/>
        <v>0</v>
      </c>
      <c r="AG306" s="555">
        <f t="shared" si="77"/>
        <v>0</v>
      </c>
      <c r="AH306" s="555">
        <f t="shared" si="77"/>
        <v>0</v>
      </c>
      <c r="AI306" s="555">
        <f t="shared" si="77"/>
        <v>0</v>
      </c>
      <c r="AJ306" s="555">
        <f t="shared" ref="AJ306:BO306" si="78">AJ202</f>
        <v>0</v>
      </c>
      <c r="AK306" s="555">
        <f t="shared" si="78"/>
        <v>0</v>
      </c>
      <c r="AL306" s="555">
        <f t="shared" si="78"/>
        <v>0</v>
      </c>
      <c r="AM306" s="555">
        <f t="shared" si="78"/>
        <v>0</v>
      </c>
      <c r="AN306" s="555">
        <f t="shared" si="78"/>
        <v>7704</v>
      </c>
      <c r="AO306" s="555">
        <f t="shared" si="78"/>
        <v>0</v>
      </c>
      <c r="AP306" s="555">
        <f t="shared" si="78"/>
        <v>0</v>
      </c>
      <c r="AQ306" s="555">
        <f t="shared" si="78"/>
        <v>0</v>
      </c>
      <c r="AR306" s="555">
        <f t="shared" si="78"/>
        <v>0</v>
      </c>
      <c r="AS306" s="555">
        <f t="shared" si="78"/>
        <v>0</v>
      </c>
      <c r="AT306" s="555">
        <f t="shared" si="78"/>
        <v>0</v>
      </c>
      <c r="AU306" s="555">
        <f t="shared" si="78"/>
        <v>0</v>
      </c>
      <c r="AV306" s="555">
        <f t="shared" si="78"/>
        <v>0</v>
      </c>
      <c r="AW306" s="555">
        <f t="shared" si="78"/>
        <v>0</v>
      </c>
      <c r="AX306" s="555">
        <f t="shared" si="78"/>
        <v>0</v>
      </c>
      <c r="AY306" s="555">
        <f t="shared" si="78"/>
        <v>0</v>
      </c>
      <c r="AZ306" s="555">
        <f t="shared" si="78"/>
        <v>0</v>
      </c>
      <c r="BA306" s="555">
        <f t="shared" si="78"/>
        <v>39080</v>
      </c>
      <c r="BB306" s="555">
        <f t="shared" si="78"/>
        <v>0</v>
      </c>
      <c r="BC306" s="555">
        <f t="shared" si="78"/>
        <v>0</v>
      </c>
      <c r="BD306" s="555">
        <f t="shared" si="78"/>
        <v>0</v>
      </c>
      <c r="BE306" s="555">
        <f t="shared" si="78"/>
        <v>0</v>
      </c>
      <c r="BF306" s="555">
        <f t="shared" si="78"/>
        <v>0</v>
      </c>
      <c r="BG306" s="555">
        <f t="shared" si="78"/>
        <v>0</v>
      </c>
      <c r="BH306" s="555">
        <f t="shared" si="78"/>
        <v>0</v>
      </c>
      <c r="BI306" s="555">
        <f t="shared" si="78"/>
        <v>0</v>
      </c>
      <c r="BJ306" s="555">
        <f t="shared" si="78"/>
        <v>45000</v>
      </c>
      <c r="BK306" s="555">
        <f t="shared" si="78"/>
        <v>0</v>
      </c>
      <c r="BL306" s="555">
        <f t="shared" si="78"/>
        <v>0</v>
      </c>
      <c r="BM306" s="555">
        <f t="shared" si="78"/>
        <v>0</v>
      </c>
      <c r="BN306" s="555">
        <f t="shared" si="78"/>
        <v>0</v>
      </c>
      <c r="BO306" s="555">
        <f t="shared" si="78"/>
        <v>0</v>
      </c>
      <c r="BP306" s="555">
        <f t="shared" ref="BP306:CZ306" si="79">BP202</f>
        <v>0</v>
      </c>
      <c r="BQ306" s="555">
        <f t="shared" si="79"/>
        <v>0</v>
      </c>
      <c r="BR306" s="555">
        <f t="shared" si="79"/>
        <v>0</v>
      </c>
      <c r="BS306" s="555">
        <f t="shared" si="79"/>
        <v>0</v>
      </c>
      <c r="BT306" s="555">
        <f t="shared" si="79"/>
        <v>0</v>
      </c>
      <c r="BU306" s="555">
        <f t="shared" si="79"/>
        <v>0</v>
      </c>
      <c r="BV306" s="555">
        <f t="shared" si="79"/>
        <v>0</v>
      </c>
      <c r="BW306" s="555">
        <f t="shared" si="79"/>
        <v>0</v>
      </c>
      <c r="BX306" s="555">
        <f t="shared" si="79"/>
        <v>0</v>
      </c>
      <c r="BY306" s="555">
        <f t="shared" si="79"/>
        <v>0</v>
      </c>
      <c r="BZ306" s="555">
        <f t="shared" si="79"/>
        <v>0</v>
      </c>
      <c r="CA306" s="555">
        <f t="shared" si="79"/>
        <v>0</v>
      </c>
      <c r="CB306" s="555">
        <f t="shared" si="79"/>
        <v>0</v>
      </c>
      <c r="CC306" s="555">
        <f t="shared" si="79"/>
        <v>0</v>
      </c>
      <c r="CD306" s="555">
        <f t="shared" si="79"/>
        <v>0</v>
      </c>
      <c r="CE306" s="555">
        <f t="shared" si="79"/>
        <v>765771</v>
      </c>
      <c r="CF306" s="555">
        <f t="shared" si="79"/>
        <v>0</v>
      </c>
      <c r="CG306" s="555">
        <f t="shared" si="79"/>
        <v>0</v>
      </c>
      <c r="CH306" s="555">
        <f t="shared" si="79"/>
        <v>0</v>
      </c>
      <c r="CI306" s="555">
        <f t="shared" si="79"/>
        <v>0</v>
      </c>
      <c r="CJ306" s="555">
        <f t="shared" si="79"/>
        <v>14234672</v>
      </c>
      <c r="CK306" s="555">
        <f t="shared" si="79"/>
        <v>0</v>
      </c>
      <c r="CL306" s="555">
        <f t="shared" si="79"/>
        <v>0</v>
      </c>
      <c r="CM306" s="555">
        <f t="shared" si="79"/>
        <v>0</v>
      </c>
      <c r="CN306" s="555">
        <f t="shared" si="79"/>
        <v>0</v>
      </c>
      <c r="CO306" s="555">
        <f t="shared" si="79"/>
        <v>0</v>
      </c>
      <c r="CP306" s="555">
        <f t="shared" si="79"/>
        <v>0</v>
      </c>
      <c r="CQ306" s="555">
        <f t="shared" si="79"/>
        <v>0</v>
      </c>
      <c r="CR306" s="555">
        <f t="shared" si="79"/>
        <v>0</v>
      </c>
      <c r="CS306" s="555">
        <f t="shared" si="79"/>
        <v>0</v>
      </c>
      <c r="CT306" s="555">
        <f t="shared" si="79"/>
        <v>0</v>
      </c>
      <c r="CU306" s="555">
        <f t="shared" si="79"/>
        <v>0</v>
      </c>
      <c r="CV306" s="555">
        <f t="shared" si="79"/>
        <v>0</v>
      </c>
      <c r="CW306" s="555">
        <f t="shared" si="79"/>
        <v>0</v>
      </c>
      <c r="CX306" s="555">
        <f t="shared" si="79"/>
        <v>0</v>
      </c>
      <c r="CY306" s="555">
        <f t="shared" si="79"/>
        <v>0</v>
      </c>
      <c r="CZ306" s="555">
        <f t="shared" si="79"/>
        <v>0</v>
      </c>
    </row>
    <row r="307" spans="1:104" s="180" customFormat="1" x14ac:dyDescent="0.3">
      <c r="A307" s="558">
        <v>1064</v>
      </c>
      <c r="C307" s="180">
        <v>254</v>
      </c>
      <c r="D307" s="555">
        <f t="shared" ref="D307:AI307" si="80">D254</f>
        <v>0</v>
      </c>
      <c r="E307" s="555">
        <f t="shared" si="80"/>
        <v>0</v>
      </c>
      <c r="F307" s="555">
        <f t="shared" si="80"/>
        <v>134438</v>
      </c>
      <c r="G307" s="555">
        <f t="shared" si="80"/>
        <v>0</v>
      </c>
      <c r="H307" s="555">
        <f t="shared" si="80"/>
        <v>0</v>
      </c>
      <c r="I307" s="555">
        <f t="shared" si="80"/>
        <v>0</v>
      </c>
      <c r="J307" s="555">
        <f t="shared" si="80"/>
        <v>0</v>
      </c>
      <c r="K307" s="555">
        <f t="shared" si="80"/>
        <v>0</v>
      </c>
      <c r="L307" s="555">
        <f t="shared" si="80"/>
        <v>0</v>
      </c>
      <c r="M307" s="555">
        <f t="shared" si="80"/>
        <v>1080676</v>
      </c>
      <c r="N307" s="555">
        <f t="shared" si="80"/>
        <v>0</v>
      </c>
      <c r="O307" s="555">
        <f t="shared" si="80"/>
        <v>0</v>
      </c>
      <c r="P307" s="555">
        <f t="shared" si="80"/>
        <v>0</v>
      </c>
      <c r="Q307" s="555">
        <f t="shared" si="80"/>
        <v>0</v>
      </c>
      <c r="R307" s="555">
        <f t="shared" si="80"/>
        <v>0</v>
      </c>
      <c r="S307" s="555">
        <f t="shared" si="80"/>
        <v>0</v>
      </c>
      <c r="T307" s="555">
        <f t="shared" si="80"/>
        <v>0</v>
      </c>
      <c r="U307" s="555">
        <f t="shared" si="80"/>
        <v>0</v>
      </c>
      <c r="V307" s="555">
        <f t="shared" si="80"/>
        <v>0</v>
      </c>
      <c r="W307" s="555">
        <f t="shared" si="80"/>
        <v>0</v>
      </c>
      <c r="X307" s="555">
        <f t="shared" si="80"/>
        <v>0</v>
      </c>
      <c r="Y307" s="555">
        <f t="shared" si="80"/>
        <v>0</v>
      </c>
      <c r="Z307" s="555">
        <f t="shared" si="80"/>
        <v>0</v>
      </c>
      <c r="AA307" s="555">
        <f t="shared" si="80"/>
        <v>25569</v>
      </c>
      <c r="AB307" s="555">
        <f t="shared" si="80"/>
        <v>0</v>
      </c>
      <c r="AC307" s="555">
        <f t="shared" si="80"/>
        <v>0</v>
      </c>
      <c r="AD307" s="555">
        <f t="shared" si="80"/>
        <v>0</v>
      </c>
      <c r="AE307" s="555">
        <f t="shared" si="80"/>
        <v>0</v>
      </c>
      <c r="AF307" s="555">
        <f t="shared" si="80"/>
        <v>0</v>
      </c>
      <c r="AG307" s="555">
        <f t="shared" si="80"/>
        <v>1212781</v>
      </c>
      <c r="AH307" s="555">
        <f t="shared" si="80"/>
        <v>0</v>
      </c>
      <c r="AI307" s="555">
        <f t="shared" si="80"/>
        <v>0</v>
      </c>
      <c r="AJ307" s="555">
        <f t="shared" ref="AJ307:BO307" si="81">AJ254</f>
        <v>0</v>
      </c>
      <c r="AK307" s="555">
        <f t="shared" si="81"/>
        <v>0</v>
      </c>
      <c r="AL307" s="555">
        <f t="shared" si="81"/>
        <v>0</v>
      </c>
      <c r="AM307" s="555">
        <f t="shared" si="81"/>
        <v>0</v>
      </c>
      <c r="AN307" s="555">
        <f t="shared" si="81"/>
        <v>250000</v>
      </c>
      <c r="AO307" s="555">
        <f t="shared" si="81"/>
        <v>0</v>
      </c>
      <c r="AP307" s="555">
        <f t="shared" si="81"/>
        <v>0</v>
      </c>
      <c r="AQ307" s="555">
        <f t="shared" si="81"/>
        <v>0</v>
      </c>
      <c r="AR307" s="555">
        <f t="shared" si="81"/>
        <v>704721</v>
      </c>
      <c r="AS307" s="555">
        <f t="shared" si="81"/>
        <v>0</v>
      </c>
      <c r="AT307" s="555">
        <f t="shared" si="81"/>
        <v>0</v>
      </c>
      <c r="AU307" s="555">
        <f t="shared" si="81"/>
        <v>0</v>
      </c>
      <c r="AV307" s="555">
        <f t="shared" si="81"/>
        <v>0</v>
      </c>
      <c r="AW307" s="555">
        <f t="shared" si="81"/>
        <v>0</v>
      </c>
      <c r="AX307" s="555">
        <f t="shared" si="81"/>
        <v>0</v>
      </c>
      <c r="AY307" s="555">
        <f t="shared" si="81"/>
        <v>183660</v>
      </c>
      <c r="AZ307" s="555">
        <f t="shared" si="81"/>
        <v>0</v>
      </c>
      <c r="BA307" s="555">
        <f t="shared" si="81"/>
        <v>1156557</v>
      </c>
      <c r="BB307" s="555">
        <f t="shared" si="81"/>
        <v>0</v>
      </c>
      <c r="BC307" s="555">
        <f t="shared" si="81"/>
        <v>615564</v>
      </c>
      <c r="BD307" s="555">
        <f t="shared" si="81"/>
        <v>0</v>
      </c>
      <c r="BE307" s="555">
        <f t="shared" si="81"/>
        <v>0</v>
      </c>
      <c r="BF307" s="555">
        <f t="shared" si="81"/>
        <v>0</v>
      </c>
      <c r="BG307" s="555">
        <f t="shared" si="81"/>
        <v>0</v>
      </c>
      <c r="BH307" s="555">
        <f t="shared" si="81"/>
        <v>0</v>
      </c>
      <c r="BI307" s="555">
        <f t="shared" si="81"/>
        <v>0</v>
      </c>
      <c r="BJ307" s="555">
        <f t="shared" si="81"/>
        <v>1513335</v>
      </c>
      <c r="BK307" s="555">
        <f t="shared" si="81"/>
        <v>0</v>
      </c>
      <c r="BL307" s="555">
        <f t="shared" si="81"/>
        <v>0</v>
      </c>
      <c r="BM307" s="555">
        <f t="shared" si="81"/>
        <v>1330341</v>
      </c>
      <c r="BN307" s="555">
        <f t="shared" si="81"/>
        <v>1145923</v>
      </c>
      <c r="BO307" s="555">
        <f t="shared" si="81"/>
        <v>0</v>
      </c>
      <c r="BP307" s="555">
        <f t="shared" ref="BP307:CZ307" si="82">BP254</f>
        <v>0</v>
      </c>
      <c r="BQ307" s="555">
        <f t="shared" si="82"/>
        <v>0</v>
      </c>
      <c r="BR307" s="555">
        <f t="shared" si="82"/>
        <v>0</v>
      </c>
      <c r="BS307" s="555">
        <f t="shared" si="82"/>
        <v>996619</v>
      </c>
      <c r="BT307" s="555">
        <f t="shared" si="82"/>
        <v>0</v>
      </c>
      <c r="BU307" s="555">
        <f t="shared" si="82"/>
        <v>0</v>
      </c>
      <c r="BV307" s="555">
        <f t="shared" si="82"/>
        <v>0</v>
      </c>
      <c r="BW307" s="555">
        <f t="shared" si="82"/>
        <v>0</v>
      </c>
      <c r="BX307" s="555">
        <f t="shared" si="82"/>
        <v>0</v>
      </c>
      <c r="BY307" s="555">
        <f t="shared" si="82"/>
        <v>0</v>
      </c>
      <c r="BZ307" s="555">
        <f t="shared" si="82"/>
        <v>0</v>
      </c>
      <c r="CA307" s="555">
        <f t="shared" si="82"/>
        <v>0</v>
      </c>
      <c r="CB307" s="555">
        <f t="shared" si="82"/>
        <v>0</v>
      </c>
      <c r="CC307" s="555">
        <f t="shared" si="82"/>
        <v>0</v>
      </c>
      <c r="CD307" s="555">
        <f t="shared" si="82"/>
        <v>9522153</v>
      </c>
      <c r="CE307" s="555">
        <f t="shared" si="82"/>
        <v>118415</v>
      </c>
      <c r="CF307" s="555">
        <f t="shared" si="82"/>
        <v>0</v>
      </c>
      <c r="CG307" s="555">
        <f t="shared" si="82"/>
        <v>1074966</v>
      </c>
      <c r="CH307" s="555">
        <f t="shared" si="82"/>
        <v>0</v>
      </c>
      <c r="CI307" s="555">
        <f t="shared" si="82"/>
        <v>0</v>
      </c>
      <c r="CJ307" s="555">
        <f t="shared" si="82"/>
        <v>33924163</v>
      </c>
      <c r="CK307" s="555">
        <f t="shared" si="82"/>
        <v>0</v>
      </c>
      <c r="CL307" s="555">
        <f t="shared" si="82"/>
        <v>0</v>
      </c>
      <c r="CM307" s="555">
        <f t="shared" si="82"/>
        <v>2140941</v>
      </c>
      <c r="CN307" s="555">
        <f t="shared" si="82"/>
        <v>0</v>
      </c>
      <c r="CO307" s="555">
        <f t="shared" si="82"/>
        <v>0</v>
      </c>
      <c r="CP307" s="555">
        <f t="shared" si="82"/>
        <v>0</v>
      </c>
      <c r="CQ307" s="555">
        <f t="shared" si="82"/>
        <v>0</v>
      </c>
      <c r="CR307" s="555">
        <f t="shared" si="82"/>
        <v>438209</v>
      </c>
      <c r="CS307" s="555">
        <f t="shared" si="82"/>
        <v>0</v>
      </c>
      <c r="CT307" s="555">
        <f t="shared" si="82"/>
        <v>0</v>
      </c>
      <c r="CU307" s="555">
        <f t="shared" si="82"/>
        <v>0</v>
      </c>
      <c r="CV307" s="555">
        <f t="shared" si="82"/>
        <v>0</v>
      </c>
      <c r="CW307" s="555">
        <f t="shared" si="82"/>
        <v>0</v>
      </c>
      <c r="CX307" s="555">
        <f t="shared" si="82"/>
        <v>0</v>
      </c>
      <c r="CY307" s="555">
        <f t="shared" si="82"/>
        <v>0</v>
      </c>
      <c r="CZ307" s="555">
        <f t="shared" si="82"/>
        <v>0</v>
      </c>
    </row>
    <row r="308" spans="1:104" s="180" customFormat="1" x14ac:dyDescent="0.3">
      <c r="A308" s="558">
        <v>1065</v>
      </c>
      <c r="C308" s="180">
        <v>258</v>
      </c>
      <c r="D308" s="555">
        <f t="shared" ref="D308:AI308" si="83">D255</f>
        <v>0</v>
      </c>
      <c r="E308" s="555">
        <f t="shared" si="83"/>
        <v>0</v>
      </c>
      <c r="F308" s="555">
        <f t="shared" si="83"/>
        <v>0</v>
      </c>
      <c r="G308" s="555">
        <f t="shared" si="83"/>
        <v>0</v>
      </c>
      <c r="H308" s="555">
        <f t="shared" si="83"/>
        <v>0</v>
      </c>
      <c r="I308" s="555">
        <f t="shared" si="83"/>
        <v>0</v>
      </c>
      <c r="J308" s="555">
        <f t="shared" si="83"/>
        <v>0</v>
      </c>
      <c r="K308" s="555">
        <f t="shared" si="83"/>
        <v>0</v>
      </c>
      <c r="L308" s="555">
        <f t="shared" si="83"/>
        <v>0</v>
      </c>
      <c r="M308" s="555">
        <f t="shared" si="83"/>
        <v>0</v>
      </c>
      <c r="N308" s="555">
        <f t="shared" si="83"/>
        <v>0</v>
      </c>
      <c r="O308" s="555">
        <f t="shared" si="83"/>
        <v>0</v>
      </c>
      <c r="P308" s="555">
        <f t="shared" si="83"/>
        <v>0</v>
      </c>
      <c r="Q308" s="555">
        <f t="shared" si="83"/>
        <v>0</v>
      </c>
      <c r="R308" s="555">
        <f t="shared" si="83"/>
        <v>0</v>
      </c>
      <c r="S308" s="555">
        <f t="shared" si="83"/>
        <v>0</v>
      </c>
      <c r="T308" s="555">
        <f t="shared" si="83"/>
        <v>0</v>
      </c>
      <c r="U308" s="555">
        <f t="shared" si="83"/>
        <v>0</v>
      </c>
      <c r="V308" s="555">
        <f t="shared" si="83"/>
        <v>0</v>
      </c>
      <c r="W308" s="555">
        <f t="shared" si="83"/>
        <v>0</v>
      </c>
      <c r="X308" s="555">
        <f t="shared" si="83"/>
        <v>0</v>
      </c>
      <c r="Y308" s="555">
        <f t="shared" si="83"/>
        <v>0</v>
      </c>
      <c r="Z308" s="555">
        <f t="shared" si="83"/>
        <v>0</v>
      </c>
      <c r="AA308" s="555">
        <f t="shared" si="83"/>
        <v>0</v>
      </c>
      <c r="AB308" s="555">
        <f t="shared" si="83"/>
        <v>0</v>
      </c>
      <c r="AC308" s="555">
        <f t="shared" si="83"/>
        <v>0</v>
      </c>
      <c r="AD308" s="555">
        <f t="shared" si="83"/>
        <v>0</v>
      </c>
      <c r="AE308" s="555">
        <f t="shared" si="83"/>
        <v>0</v>
      </c>
      <c r="AF308" s="555">
        <f t="shared" si="83"/>
        <v>0</v>
      </c>
      <c r="AG308" s="555">
        <f t="shared" si="83"/>
        <v>0</v>
      </c>
      <c r="AH308" s="555">
        <f t="shared" si="83"/>
        <v>0</v>
      </c>
      <c r="AI308" s="555">
        <f t="shared" si="83"/>
        <v>0</v>
      </c>
      <c r="AJ308" s="555">
        <f t="shared" ref="AJ308:BO308" si="84">AJ255</f>
        <v>0</v>
      </c>
      <c r="AK308" s="555">
        <f t="shared" si="84"/>
        <v>0</v>
      </c>
      <c r="AL308" s="555">
        <f t="shared" si="84"/>
        <v>0</v>
      </c>
      <c r="AM308" s="555">
        <f t="shared" si="84"/>
        <v>0</v>
      </c>
      <c r="AN308" s="555">
        <f t="shared" si="84"/>
        <v>0</v>
      </c>
      <c r="AO308" s="555">
        <f t="shared" si="84"/>
        <v>0</v>
      </c>
      <c r="AP308" s="555">
        <f t="shared" si="84"/>
        <v>0</v>
      </c>
      <c r="AQ308" s="555">
        <f t="shared" si="84"/>
        <v>0</v>
      </c>
      <c r="AR308" s="555">
        <f t="shared" si="84"/>
        <v>0</v>
      </c>
      <c r="AS308" s="555">
        <f t="shared" si="84"/>
        <v>0</v>
      </c>
      <c r="AT308" s="555">
        <f t="shared" si="84"/>
        <v>0</v>
      </c>
      <c r="AU308" s="555">
        <f t="shared" si="84"/>
        <v>0</v>
      </c>
      <c r="AV308" s="555">
        <f t="shared" si="84"/>
        <v>0</v>
      </c>
      <c r="AW308" s="555">
        <f t="shared" si="84"/>
        <v>0</v>
      </c>
      <c r="AX308" s="555">
        <f t="shared" si="84"/>
        <v>0</v>
      </c>
      <c r="AY308" s="555">
        <f t="shared" si="84"/>
        <v>0</v>
      </c>
      <c r="AZ308" s="555">
        <f t="shared" si="84"/>
        <v>0</v>
      </c>
      <c r="BA308" s="555">
        <f t="shared" si="84"/>
        <v>0</v>
      </c>
      <c r="BB308" s="555">
        <f t="shared" si="84"/>
        <v>0</v>
      </c>
      <c r="BC308" s="555">
        <f t="shared" si="84"/>
        <v>0</v>
      </c>
      <c r="BD308" s="555">
        <f t="shared" si="84"/>
        <v>0</v>
      </c>
      <c r="BE308" s="555">
        <f t="shared" si="84"/>
        <v>0</v>
      </c>
      <c r="BF308" s="555">
        <f t="shared" si="84"/>
        <v>0</v>
      </c>
      <c r="BG308" s="555">
        <f t="shared" si="84"/>
        <v>0</v>
      </c>
      <c r="BH308" s="555">
        <f t="shared" si="84"/>
        <v>0</v>
      </c>
      <c r="BI308" s="555">
        <f t="shared" si="84"/>
        <v>0</v>
      </c>
      <c r="BJ308" s="555">
        <f t="shared" si="84"/>
        <v>0</v>
      </c>
      <c r="BK308" s="555">
        <f t="shared" si="84"/>
        <v>0</v>
      </c>
      <c r="BL308" s="555">
        <f t="shared" si="84"/>
        <v>0</v>
      </c>
      <c r="BM308" s="555">
        <f t="shared" si="84"/>
        <v>0</v>
      </c>
      <c r="BN308" s="555">
        <f t="shared" si="84"/>
        <v>0</v>
      </c>
      <c r="BO308" s="555">
        <f t="shared" si="84"/>
        <v>0</v>
      </c>
      <c r="BP308" s="555">
        <f t="shared" ref="BP308:CZ308" si="85">BP255</f>
        <v>0</v>
      </c>
      <c r="BQ308" s="555">
        <f t="shared" si="85"/>
        <v>0</v>
      </c>
      <c r="BR308" s="555">
        <f t="shared" si="85"/>
        <v>0</v>
      </c>
      <c r="BS308" s="555">
        <f t="shared" si="85"/>
        <v>0</v>
      </c>
      <c r="BT308" s="555">
        <f t="shared" si="85"/>
        <v>0</v>
      </c>
      <c r="BU308" s="555">
        <f t="shared" si="85"/>
        <v>0</v>
      </c>
      <c r="BV308" s="555">
        <f t="shared" si="85"/>
        <v>0</v>
      </c>
      <c r="BW308" s="555">
        <f t="shared" si="85"/>
        <v>0</v>
      </c>
      <c r="BX308" s="555">
        <f t="shared" si="85"/>
        <v>0</v>
      </c>
      <c r="BY308" s="555">
        <f t="shared" si="85"/>
        <v>0</v>
      </c>
      <c r="BZ308" s="555">
        <f t="shared" si="85"/>
        <v>0</v>
      </c>
      <c r="CA308" s="555">
        <f t="shared" si="85"/>
        <v>0</v>
      </c>
      <c r="CB308" s="555">
        <f t="shared" si="85"/>
        <v>0</v>
      </c>
      <c r="CC308" s="555">
        <f t="shared" si="85"/>
        <v>0</v>
      </c>
      <c r="CD308" s="555">
        <f t="shared" si="85"/>
        <v>0</v>
      </c>
      <c r="CE308" s="555">
        <f t="shared" si="85"/>
        <v>0</v>
      </c>
      <c r="CF308" s="555">
        <f t="shared" si="85"/>
        <v>0</v>
      </c>
      <c r="CG308" s="555">
        <f t="shared" si="85"/>
        <v>0</v>
      </c>
      <c r="CH308" s="555">
        <f t="shared" si="85"/>
        <v>0</v>
      </c>
      <c r="CI308" s="555">
        <f t="shared" si="85"/>
        <v>0</v>
      </c>
      <c r="CJ308" s="555">
        <f t="shared" si="85"/>
        <v>0</v>
      </c>
      <c r="CK308" s="555">
        <f t="shared" si="85"/>
        <v>0</v>
      </c>
      <c r="CL308" s="555">
        <f t="shared" si="85"/>
        <v>0</v>
      </c>
      <c r="CM308" s="555">
        <f t="shared" si="85"/>
        <v>0</v>
      </c>
      <c r="CN308" s="555">
        <f t="shared" si="85"/>
        <v>0</v>
      </c>
      <c r="CO308" s="555">
        <f t="shared" si="85"/>
        <v>0</v>
      </c>
      <c r="CP308" s="555">
        <f t="shared" si="85"/>
        <v>0</v>
      </c>
      <c r="CQ308" s="555">
        <f t="shared" si="85"/>
        <v>0</v>
      </c>
      <c r="CR308" s="555">
        <f t="shared" si="85"/>
        <v>0</v>
      </c>
      <c r="CS308" s="555">
        <f t="shared" si="85"/>
        <v>0</v>
      </c>
      <c r="CT308" s="555">
        <f t="shared" si="85"/>
        <v>0</v>
      </c>
      <c r="CU308" s="555">
        <f t="shared" si="85"/>
        <v>0</v>
      </c>
      <c r="CV308" s="555">
        <f t="shared" si="85"/>
        <v>0</v>
      </c>
      <c r="CW308" s="555">
        <f t="shared" si="85"/>
        <v>0</v>
      </c>
      <c r="CX308" s="555">
        <f t="shared" si="85"/>
        <v>0</v>
      </c>
      <c r="CY308" s="555">
        <f t="shared" si="85"/>
        <v>0</v>
      </c>
      <c r="CZ308" s="555">
        <f t="shared" si="85"/>
        <v>0</v>
      </c>
    </row>
    <row r="309" spans="1:104" x14ac:dyDescent="0.3">
      <c r="A309" s="559">
        <v>336</v>
      </c>
      <c r="B309" s="180"/>
      <c r="C309" s="180">
        <v>58</v>
      </c>
      <c r="D309" s="560">
        <f t="shared" ref="D309:AI309" si="86">D58</f>
        <v>5898</v>
      </c>
      <c r="E309" s="560">
        <f t="shared" si="86"/>
        <v>1562406</v>
      </c>
      <c r="F309" s="560">
        <f t="shared" si="86"/>
        <v>189789</v>
      </c>
      <c r="G309" s="560">
        <f t="shared" si="86"/>
        <v>3867</v>
      </c>
      <c r="H309" s="560">
        <f t="shared" si="86"/>
        <v>714115</v>
      </c>
      <c r="I309" s="560">
        <f t="shared" si="86"/>
        <v>20313</v>
      </c>
      <c r="J309" s="560">
        <f t="shared" si="86"/>
        <v>942667</v>
      </c>
      <c r="K309" s="560">
        <f t="shared" si="86"/>
        <v>0</v>
      </c>
      <c r="L309" s="560">
        <f t="shared" si="86"/>
        <v>45429</v>
      </c>
      <c r="M309" s="560">
        <f t="shared" si="86"/>
        <v>2166311</v>
      </c>
      <c r="N309" s="560">
        <f t="shared" si="86"/>
        <v>0</v>
      </c>
      <c r="O309" s="560">
        <f t="shared" si="86"/>
        <v>61489</v>
      </c>
      <c r="P309" s="560">
        <f t="shared" si="86"/>
        <v>369244</v>
      </c>
      <c r="Q309" s="560">
        <f t="shared" si="86"/>
        <v>388613</v>
      </c>
      <c r="R309" s="560">
        <f t="shared" si="86"/>
        <v>0</v>
      </c>
      <c r="S309" s="560">
        <f t="shared" si="86"/>
        <v>11451</v>
      </c>
      <c r="T309" s="560">
        <f t="shared" si="86"/>
        <v>273164</v>
      </c>
      <c r="U309" s="560">
        <f t="shared" si="86"/>
        <v>216129</v>
      </c>
      <c r="V309" s="560">
        <f t="shared" si="86"/>
        <v>312985</v>
      </c>
      <c r="W309" s="560">
        <f t="shared" si="86"/>
        <v>1173176</v>
      </c>
      <c r="X309" s="560">
        <f t="shared" si="86"/>
        <v>975798</v>
      </c>
      <c r="Y309" s="560">
        <f t="shared" si="86"/>
        <v>16662</v>
      </c>
      <c r="Z309" s="560">
        <f t="shared" si="86"/>
        <v>306786</v>
      </c>
      <c r="AA309" s="560">
        <f t="shared" si="86"/>
        <v>443221</v>
      </c>
      <c r="AB309" s="560">
        <f t="shared" si="86"/>
        <v>8691</v>
      </c>
      <c r="AC309" s="560">
        <f t="shared" si="86"/>
        <v>445210</v>
      </c>
      <c r="AD309" s="560">
        <f t="shared" si="86"/>
        <v>0</v>
      </c>
      <c r="AE309" s="560">
        <f t="shared" si="86"/>
        <v>157086</v>
      </c>
      <c r="AF309" s="560">
        <f t="shared" si="86"/>
        <v>2016</v>
      </c>
      <c r="AG309" s="560">
        <f t="shared" si="86"/>
        <v>5848182</v>
      </c>
      <c r="AH309" s="560">
        <f t="shared" si="86"/>
        <v>141844</v>
      </c>
      <c r="AI309" s="560">
        <f t="shared" si="86"/>
        <v>249481</v>
      </c>
      <c r="AJ309" s="560">
        <f t="shared" ref="AJ309:BO309" si="87">AJ58</f>
        <v>18600</v>
      </c>
      <c r="AK309" s="560">
        <f t="shared" si="87"/>
        <v>1901</v>
      </c>
      <c r="AL309" s="560">
        <f t="shared" si="87"/>
        <v>1117635</v>
      </c>
      <c r="AM309" s="560">
        <f t="shared" si="87"/>
        <v>1237582</v>
      </c>
      <c r="AN309" s="560">
        <f t="shared" si="87"/>
        <v>563442</v>
      </c>
      <c r="AO309" s="560">
        <f t="shared" si="87"/>
        <v>121556</v>
      </c>
      <c r="AP309" s="560">
        <f t="shared" si="87"/>
        <v>4715</v>
      </c>
      <c r="AQ309" s="560">
        <f t="shared" si="87"/>
        <v>36006</v>
      </c>
      <c r="AR309" s="560">
        <f t="shared" si="87"/>
        <v>78166</v>
      </c>
      <c r="AS309" s="560">
        <f t="shared" si="87"/>
        <v>175448</v>
      </c>
      <c r="AT309" s="560">
        <f t="shared" si="87"/>
        <v>8414</v>
      </c>
      <c r="AU309" s="560">
        <f t="shared" si="87"/>
        <v>0</v>
      </c>
      <c r="AV309" s="560">
        <f t="shared" si="87"/>
        <v>219702</v>
      </c>
      <c r="AW309" s="560">
        <f t="shared" si="87"/>
        <v>3218</v>
      </c>
      <c r="AX309" s="560">
        <f t="shared" si="87"/>
        <v>14183</v>
      </c>
      <c r="AY309" s="560">
        <f t="shared" si="87"/>
        <v>434739</v>
      </c>
      <c r="AZ309" s="560">
        <f t="shared" si="87"/>
        <v>12946</v>
      </c>
      <c r="BA309" s="560">
        <f t="shared" si="87"/>
        <v>12522502</v>
      </c>
      <c r="BB309" s="560">
        <f t="shared" si="87"/>
        <v>978762</v>
      </c>
      <c r="BC309" s="560">
        <f t="shared" si="87"/>
        <v>354849</v>
      </c>
      <c r="BD309" s="560">
        <f t="shared" si="87"/>
        <v>0</v>
      </c>
      <c r="BE309" s="560">
        <f t="shared" si="87"/>
        <v>214802</v>
      </c>
      <c r="BF309" s="560">
        <f t="shared" si="87"/>
        <v>188051</v>
      </c>
      <c r="BG309" s="560">
        <f t="shared" si="87"/>
        <v>33007</v>
      </c>
      <c r="BH309" s="560">
        <f t="shared" si="87"/>
        <v>266099</v>
      </c>
      <c r="BI309" s="560">
        <f t="shared" si="87"/>
        <v>628919</v>
      </c>
      <c r="BJ309" s="560">
        <f t="shared" si="87"/>
        <v>2306821</v>
      </c>
      <c r="BK309" s="560">
        <f t="shared" si="87"/>
        <v>77407</v>
      </c>
      <c r="BL309" s="560">
        <f t="shared" si="87"/>
        <v>0</v>
      </c>
      <c r="BM309" s="560">
        <f t="shared" si="87"/>
        <v>2343061</v>
      </c>
      <c r="BN309" s="560">
        <f t="shared" si="87"/>
        <v>2462248</v>
      </c>
      <c r="BO309" s="560">
        <f t="shared" si="87"/>
        <v>519081</v>
      </c>
      <c r="BP309" s="560">
        <f t="shared" ref="BP309:CZ309" si="88">BP58</f>
        <v>40810</v>
      </c>
      <c r="BQ309" s="560">
        <f t="shared" si="88"/>
        <v>754150</v>
      </c>
      <c r="BR309" s="560">
        <f t="shared" si="88"/>
        <v>109117</v>
      </c>
      <c r="BS309" s="560">
        <f t="shared" si="88"/>
        <v>3714112</v>
      </c>
      <c r="BT309" s="560">
        <f t="shared" si="88"/>
        <v>358428</v>
      </c>
      <c r="BU309" s="560">
        <f t="shared" si="88"/>
        <v>339423</v>
      </c>
      <c r="BV309" s="560">
        <f t="shared" si="88"/>
        <v>149013</v>
      </c>
      <c r="BW309" s="560">
        <f t="shared" si="88"/>
        <v>199075</v>
      </c>
      <c r="BX309" s="560">
        <f t="shared" si="88"/>
        <v>0</v>
      </c>
      <c r="BY309" s="560">
        <f t="shared" si="88"/>
        <v>0</v>
      </c>
      <c r="BZ309" s="560">
        <f t="shared" si="88"/>
        <v>3237341</v>
      </c>
      <c r="CA309" s="560">
        <f t="shared" si="88"/>
        <v>8446</v>
      </c>
      <c r="CB309" s="560">
        <f t="shared" si="88"/>
        <v>0</v>
      </c>
      <c r="CC309" s="560">
        <f t="shared" si="88"/>
        <v>1753079</v>
      </c>
      <c r="CD309" s="560">
        <f t="shared" si="88"/>
        <v>48742407</v>
      </c>
      <c r="CE309" s="560">
        <f t="shared" si="88"/>
        <v>17046944</v>
      </c>
      <c r="CF309" s="560">
        <f t="shared" si="88"/>
        <v>9672</v>
      </c>
      <c r="CG309" s="560">
        <f t="shared" si="88"/>
        <v>203548</v>
      </c>
      <c r="CH309" s="560">
        <f t="shared" si="88"/>
        <v>58280</v>
      </c>
      <c r="CI309" s="560">
        <f t="shared" si="88"/>
        <v>226136</v>
      </c>
      <c r="CJ309" s="560">
        <f t="shared" si="88"/>
        <v>77630939</v>
      </c>
      <c r="CK309" s="560">
        <f t="shared" si="88"/>
        <v>1212145</v>
      </c>
      <c r="CL309" s="560">
        <f t="shared" si="88"/>
        <v>195519</v>
      </c>
      <c r="CM309" s="560">
        <f t="shared" si="88"/>
        <v>189507</v>
      </c>
      <c r="CN309" s="560">
        <f t="shared" si="88"/>
        <v>132059</v>
      </c>
      <c r="CO309" s="560">
        <f t="shared" si="88"/>
        <v>1159050</v>
      </c>
      <c r="CP309" s="560">
        <f t="shared" si="88"/>
        <v>622553</v>
      </c>
      <c r="CQ309" s="560">
        <f t="shared" si="88"/>
        <v>503182</v>
      </c>
      <c r="CR309" s="560">
        <f t="shared" si="88"/>
        <v>362275</v>
      </c>
      <c r="CS309" s="560">
        <f t="shared" si="88"/>
        <v>2029806</v>
      </c>
      <c r="CT309" s="560">
        <f t="shared" si="88"/>
        <v>0</v>
      </c>
      <c r="CU309" s="560">
        <f t="shared" si="88"/>
        <v>0</v>
      </c>
      <c r="CV309" s="560">
        <f t="shared" si="88"/>
        <v>0</v>
      </c>
      <c r="CW309" s="560">
        <f t="shared" si="88"/>
        <v>0</v>
      </c>
      <c r="CX309" s="560">
        <f t="shared" si="88"/>
        <v>0</v>
      </c>
      <c r="CY309" s="560">
        <f t="shared" si="88"/>
        <v>0</v>
      </c>
      <c r="CZ309" s="560">
        <f t="shared" si="88"/>
        <v>0</v>
      </c>
    </row>
    <row r="310" spans="1:104" x14ac:dyDescent="0.3">
      <c r="A310" s="559">
        <v>44</v>
      </c>
      <c r="B310" s="180"/>
      <c r="C310" s="180">
        <v>14</v>
      </c>
      <c r="D310" s="560">
        <f t="shared" ref="D310:AI310" si="89">D14</f>
        <v>0</v>
      </c>
      <c r="E310" s="560">
        <f t="shared" si="89"/>
        <v>0</v>
      </c>
      <c r="F310" s="560">
        <f t="shared" si="89"/>
        <v>634541</v>
      </c>
      <c r="G310" s="560">
        <f t="shared" si="89"/>
        <v>0</v>
      </c>
      <c r="H310" s="560">
        <f t="shared" si="89"/>
        <v>0</v>
      </c>
      <c r="I310" s="560">
        <f t="shared" si="89"/>
        <v>1010535</v>
      </c>
      <c r="J310" s="560">
        <f t="shared" si="89"/>
        <v>1888406</v>
      </c>
      <c r="K310" s="560">
        <f t="shared" si="89"/>
        <v>0</v>
      </c>
      <c r="L310" s="560">
        <f t="shared" si="89"/>
        <v>281578</v>
      </c>
      <c r="M310" s="560">
        <f t="shared" si="89"/>
        <v>21181103</v>
      </c>
      <c r="N310" s="560">
        <f t="shared" si="89"/>
        <v>0</v>
      </c>
      <c r="O310" s="560">
        <f t="shared" si="89"/>
        <v>0</v>
      </c>
      <c r="P310" s="560">
        <f t="shared" si="89"/>
        <v>1676065</v>
      </c>
      <c r="Q310" s="560">
        <f t="shared" si="89"/>
        <v>351397</v>
      </c>
      <c r="R310" s="560">
        <f t="shared" si="89"/>
        <v>0</v>
      </c>
      <c r="S310" s="560">
        <f t="shared" si="89"/>
        <v>144727</v>
      </c>
      <c r="T310" s="560">
        <f t="shared" si="89"/>
        <v>0</v>
      </c>
      <c r="U310" s="560">
        <f t="shared" si="89"/>
        <v>0</v>
      </c>
      <c r="V310" s="560">
        <f t="shared" si="89"/>
        <v>0</v>
      </c>
      <c r="W310" s="560">
        <f t="shared" si="89"/>
        <v>14798263</v>
      </c>
      <c r="X310" s="560">
        <f t="shared" si="89"/>
        <v>0</v>
      </c>
      <c r="Y310" s="560">
        <f t="shared" si="89"/>
        <v>3165089</v>
      </c>
      <c r="Z310" s="560">
        <f t="shared" si="89"/>
        <v>0</v>
      </c>
      <c r="AA310" s="560">
        <f t="shared" si="89"/>
        <v>2738357</v>
      </c>
      <c r="AB310" s="560">
        <f t="shared" si="89"/>
        <v>0</v>
      </c>
      <c r="AC310" s="560">
        <f t="shared" si="89"/>
        <v>2801332</v>
      </c>
      <c r="AD310" s="560">
        <f t="shared" si="89"/>
        <v>0</v>
      </c>
      <c r="AE310" s="560">
        <f t="shared" si="89"/>
        <v>755510</v>
      </c>
      <c r="AF310" s="560">
        <f t="shared" si="89"/>
        <v>421499</v>
      </c>
      <c r="AG310" s="560">
        <f t="shared" si="89"/>
        <v>15674006</v>
      </c>
      <c r="AH310" s="560">
        <f t="shared" si="89"/>
        <v>0</v>
      </c>
      <c r="AI310" s="560">
        <f t="shared" si="89"/>
        <v>2195969</v>
      </c>
      <c r="AJ310" s="560">
        <f t="shared" ref="AJ310:BO310" si="90">AJ14</f>
        <v>0</v>
      </c>
      <c r="AK310" s="560">
        <f t="shared" si="90"/>
        <v>550089</v>
      </c>
      <c r="AL310" s="560">
        <f t="shared" si="90"/>
        <v>2724041</v>
      </c>
      <c r="AM310" s="560">
        <f t="shared" si="90"/>
        <v>2615427</v>
      </c>
      <c r="AN310" s="560">
        <f t="shared" si="90"/>
        <v>755518</v>
      </c>
      <c r="AO310" s="560">
        <f t="shared" si="90"/>
        <v>463499</v>
      </c>
      <c r="AP310" s="560">
        <f t="shared" si="90"/>
        <v>81863</v>
      </c>
      <c r="AQ310" s="560">
        <f t="shared" si="90"/>
        <v>0</v>
      </c>
      <c r="AR310" s="560">
        <f t="shared" si="90"/>
        <v>3296489</v>
      </c>
      <c r="AS310" s="560">
        <f t="shared" si="90"/>
        <v>296083</v>
      </c>
      <c r="AT310" s="560">
        <f t="shared" si="90"/>
        <v>0</v>
      </c>
      <c r="AU310" s="560">
        <f t="shared" si="90"/>
        <v>0</v>
      </c>
      <c r="AV310" s="560">
        <f t="shared" si="90"/>
        <v>0</v>
      </c>
      <c r="AW310" s="560">
        <f t="shared" si="90"/>
        <v>0</v>
      </c>
      <c r="AX310" s="560">
        <f t="shared" si="90"/>
        <v>215123</v>
      </c>
      <c r="AY310" s="560">
        <f t="shared" si="90"/>
        <v>3612137</v>
      </c>
      <c r="AZ310" s="560">
        <f t="shared" si="90"/>
        <v>490863</v>
      </c>
      <c r="BA310" s="560">
        <f t="shared" si="90"/>
        <v>0</v>
      </c>
      <c r="BB310" s="560">
        <f t="shared" si="90"/>
        <v>456225</v>
      </c>
      <c r="BC310" s="560">
        <f t="shared" si="90"/>
        <v>3774864</v>
      </c>
      <c r="BD310" s="560">
        <f t="shared" si="90"/>
        <v>0</v>
      </c>
      <c r="BE310" s="560">
        <f t="shared" si="90"/>
        <v>1662036</v>
      </c>
      <c r="BF310" s="560">
        <f t="shared" si="90"/>
        <v>1090647</v>
      </c>
      <c r="BG310" s="560">
        <f t="shared" si="90"/>
        <v>212597</v>
      </c>
      <c r="BH310" s="560">
        <f t="shared" si="90"/>
        <v>842376</v>
      </c>
      <c r="BI310" s="560">
        <f t="shared" si="90"/>
        <v>3151090</v>
      </c>
      <c r="BJ310" s="560">
        <f t="shared" si="90"/>
        <v>8436213</v>
      </c>
      <c r="BK310" s="560">
        <f t="shared" si="90"/>
        <v>0</v>
      </c>
      <c r="BL310" s="560">
        <f t="shared" si="90"/>
        <v>0</v>
      </c>
      <c r="BM310" s="560">
        <f t="shared" si="90"/>
        <v>0</v>
      </c>
      <c r="BN310" s="560">
        <f t="shared" si="90"/>
        <v>7296415</v>
      </c>
      <c r="BO310" s="560">
        <f t="shared" si="90"/>
        <v>5250875</v>
      </c>
      <c r="BP310" s="560">
        <f t="shared" ref="BP310:CZ310" si="91">BP14</f>
        <v>0</v>
      </c>
      <c r="BQ310" s="560">
        <f t="shared" si="91"/>
        <v>0</v>
      </c>
      <c r="BR310" s="560">
        <f t="shared" si="91"/>
        <v>3159500</v>
      </c>
      <c r="BS310" s="560">
        <f t="shared" si="91"/>
        <v>381886</v>
      </c>
      <c r="BT310" s="560">
        <f t="shared" si="91"/>
        <v>0</v>
      </c>
      <c r="BU310" s="560">
        <f t="shared" si="91"/>
        <v>0</v>
      </c>
      <c r="BV310" s="560">
        <f t="shared" si="91"/>
        <v>1166365</v>
      </c>
      <c r="BW310" s="560">
        <f t="shared" si="91"/>
        <v>0</v>
      </c>
      <c r="BX310" s="560">
        <f t="shared" si="91"/>
        <v>0</v>
      </c>
      <c r="BY310" s="560">
        <f t="shared" si="91"/>
        <v>0</v>
      </c>
      <c r="BZ310" s="560">
        <f t="shared" si="91"/>
        <v>3240101</v>
      </c>
      <c r="CA310" s="560">
        <f t="shared" si="91"/>
        <v>91041</v>
      </c>
      <c r="CB310" s="560">
        <f t="shared" si="91"/>
        <v>0</v>
      </c>
      <c r="CC310" s="560">
        <f t="shared" si="91"/>
        <v>8103275</v>
      </c>
      <c r="CD310" s="560">
        <f t="shared" si="91"/>
        <v>0</v>
      </c>
      <c r="CE310" s="560">
        <f t="shared" si="91"/>
        <v>26545214</v>
      </c>
      <c r="CF310" s="560">
        <f t="shared" si="91"/>
        <v>89521</v>
      </c>
      <c r="CG310" s="560">
        <f t="shared" si="91"/>
        <v>2598406</v>
      </c>
      <c r="CH310" s="560">
        <f t="shared" si="91"/>
        <v>94786</v>
      </c>
      <c r="CI310" s="560">
        <f t="shared" si="91"/>
        <v>1596785</v>
      </c>
      <c r="CJ310" s="560">
        <f t="shared" si="91"/>
        <v>100967580</v>
      </c>
      <c r="CK310" s="560">
        <f t="shared" si="91"/>
        <v>3587574</v>
      </c>
      <c r="CL310" s="560">
        <f t="shared" si="91"/>
        <v>1183566</v>
      </c>
      <c r="CM310" s="560">
        <f t="shared" si="91"/>
        <v>0</v>
      </c>
      <c r="CN310" s="560">
        <f t="shared" si="91"/>
        <v>1063942</v>
      </c>
      <c r="CO310" s="560">
        <f t="shared" si="91"/>
        <v>10619653</v>
      </c>
      <c r="CP310" s="560">
        <f t="shared" si="91"/>
        <v>4163384</v>
      </c>
      <c r="CQ310" s="560">
        <f t="shared" si="91"/>
        <v>2062626</v>
      </c>
      <c r="CR310" s="560">
        <f t="shared" si="91"/>
        <v>0</v>
      </c>
      <c r="CS310" s="560">
        <f t="shared" si="91"/>
        <v>0</v>
      </c>
      <c r="CT310" s="560">
        <f t="shared" si="91"/>
        <v>0</v>
      </c>
      <c r="CU310" s="560">
        <f t="shared" si="91"/>
        <v>0</v>
      </c>
      <c r="CV310" s="560">
        <f t="shared" si="91"/>
        <v>0</v>
      </c>
      <c r="CW310" s="560">
        <f t="shared" si="91"/>
        <v>0</v>
      </c>
      <c r="CX310" s="560">
        <f t="shared" si="91"/>
        <v>0</v>
      </c>
      <c r="CY310" s="560">
        <f t="shared" si="91"/>
        <v>0</v>
      </c>
      <c r="CZ310" s="560">
        <f t="shared" si="91"/>
        <v>0</v>
      </c>
    </row>
    <row r="311" spans="1:104" x14ac:dyDescent="0.3">
      <c r="A311" s="559">
        <v>45</v>
      </c>
      <c r="B311" s="180"/>
      <c r="C311" s="180">
        <v>15</v>
      </c>
      <c r="D311" s="560">
        <f t="shared" ref="D311:AI311" si="92">D15</f>
        <v>0</v>
      </c>
      <c r="E311" s="560">
        <f t="shared" si="92"/>
        <v>0</v>
      </c>
      <c r="F311" s="560">
        <f t="shared" si="92"/>
        <v>510459</v>
      </c>
      <c r="G311" s="560">
        <f t="shared" si="92"/>
        <v>0</v>
      </c>
      <c r="H311" s="560">
        <f t="shared" si="92"/>
        <v>0</v>
      </c>
      <c r="I311" s="560">
        <f t="shared" si="92"/>
        <v>47473</v>
      </c>
      <c r="J311" s="560">
        <f t="shared" si="92"/>
        <v>572811</v>
      </c>
      <c r="K311" s="560">
        <f t="shared" si="92"/>
        <v>0</v>
      </c>
      <c r="L311" s="560">
        <f t="shared" si="92"/>
        <v>110041</v>
      </c>
      <c r="M311" s="560">
        <f t="shared" si="92"/>
        <v>3483329</v>
      </c>
      <c r="N311" s="560">
        <f t="shared" si="92"/>
        <v>0</v>
      </c>
      <c r="O311" s="560">
        <f t="shared" si="92"/>
        <v>0</v>
      </c>
      <c r="P311" s="560">
        <f t="shared" si="92"/>
        <v>70346</v>
      </c>
      <c r="Q311" s="560">
        <f t="shared" si="92"/>
        <v>139448</v>
      </c>
      <c r="R311" s="560">
        <f t="shared" si="92"/>
        <v>0</v>
      </c>
      <c r="S311" s="560">
        <f t="shared" si="92"/>
        <v>50704</v>
      </c>
      <c r="T311" s="560">
        <f t="shared" si="92"/>
        <v>0</v>
      </c>
      <c r="U311" s="560">
        <f t="shared" si="92"/>
        <v>0</v>
      </c>
      <c r="V311" s="560">
        <f t="shared" si="92"/>
        <v>0</v>
      </c>
      <c r="W311" s="560">
        <f t="shared" si="92"/>
        <v>2012242</v>
      </c>
      <c r="X311" s="560">
        <f t="shared" si="92"/>
        <v>0</v>
      </c>
      <c r="Y311" s="560">
        <f t="shared" si="92"/>
        <v>146894</v>
      </c>
      <c r="Z311" s="560">
        <f t="shared" si="92"/>
        <v>0</v>
      </c>
      <c r="AA311" s="560">
        <f t="shared" si="92"/>
        <v>359573</v>
      </c>
      <c r="AB311" s="560">
        <f t="shared" si="92"/>
        <v>0</v>
      </c>
      <c r="AC311" s="560">
        <f t="shared" si="92"/>
        <v>136081</v>
      </c>
      <c r="AD311" s="560">
        <f t="shared" si="92"/>
        <v>0</v>
      </c>
      <c r="AE311" s="560">
        <f t="shared" si="92"/>
        <v>392466</v>
      </c>
      <c r="AF311" s="560">
        <f t="shared" si="92"/>
        <v>38382</v>
      </c>
      <c r="AG311" s="560">
        <f t="shared" si="92"/>
        <v>4031224</v>
      </c>
      <c r="AH311" s="560">
        <f t="shared" si="92"/>
        <v>0</v>
      </c>
      <c r="AI311" s="560">
        <f t="shared" si="92"/>
        <v>374648</v>
      </c>
      <c r="AJ311" s="560">
        <f t="shared" ref="AJ311:BO311" si="93">AJ15</f>
        <v>0</v>
      </c>
      <c r="AK311" s="560">
        <f t="shared" si="93"/>
        <v>127811</v>
      </c>
      <c r="AL311" s="560">
        <f t="shared" si="93"/>
        <v>2203843</v>
      </c>
      <c r="AM311" s="560">
        <f t="shared" si="93"/>
        <v>638724</v>
      </c>
      <c r="AN311" s="560">
        <f t="shared" si="93"/>
        <v>315202</v>
      </c>
      <c r="AO311" s="560">
        <f t="shared" si="93"/>
        <v>298504</v>
      </c>
      <c r="AP311" s="560">
        <f t="shared" si="93"/>
        <v>1815</v>
      </c>
      <c r="AQ311" s="560">
        <f t="shared" si="93"/>
        <v>0</v>
      </c>
      <c r="AR311" s="560">
        <f t="shared" si="93"/>
        <v>325889</v>
      </c>
      <c r="AS311" s="560">
        <f t="shared" si="93"/>
        <v>199291</v>
      </c>
      <c r="AT311" s="560">
        <f t="shared" si="93"/>
        <v>0</v>
      </c>
      <c r="AU311" s="560">
        <f t="shared" si="93"/>
        <v>0</v>
      </c>
      <c r="AV311" s="560">
        <f t="shared" si="93"/>
        <v>0</v>
      </c>
      <c r="AW311" s="560">
        <f t="shared" si="93"/>
        <v>0</v>
      </c>
      <c r="AX311" s="560">
        <f t="shared" si="93"/>
        <v>29766</v>
      </c>
      <c r="AY311" s="560">
        <f t="shared" si="93"/>
        <v>104861</v>
      </c>
      <c r="AZ311" s="560">
        <f t="shared" si="93"/>
        <v>27603</v>
      </c>
      <c r="BA311" s="560">
        <f t="shared" si="93"/>
        <v>0</v>
      </c>
      <c r="BB311" s="560">
        <f t="shared" si="93"/>
        <v>0</v>
      </c>
      <c r="BC311" s="560">
        <f t="shared" si="93"/>
        <v>464995</v>
      </c>
      <c r="BD311" s="560">
        <f t="shared" si="93"/>
        <v>0</v>
      </c>
      <c r="BE311" s="560">
        <f t="shared" si="93"/>
        <v>167484</v>
      </c>
      <c r="BF311" s="560">
        <f t="shared" si="93"/>
        <v>133808</v>
      </c>
      <c r="BG311" s="560">
        <f t="shared" si="93"/>
        <v>-90853</v>
      </c>
      <c r="BH311" s="560">
        <f t="shared" si="93"/>
        <v>249743</v>
      </c>
      <c r="BI311" s="560">
        <f t="shared" si="93"/>
        <v>544354</v>
      </c>
      <c r="BJ311" s="560">
        <f t="shared" si="93"/>
        <v>560943</v>
      </c>
      <c r="BK311" s="560">
        <f t="shared" si="93"/>
        <v>0</v>
      </c>
      <c r="BL311" s="560">
        <f t="shared" si="93"/>
        <v>0</v>
      </c>
      <c r="BM311" s="560">
        <f t="shared" si="93"/>
        <v>0</v>
      </c>
      <c r="BN311" s="560">
        <f t="shared" si="93"/>
        <v>482359</v>
      </c>
      <c r="BO311" s="560">
        <f t="shared" si="93"/>
        <v>274885</v>
      </c>
      <c r="BP311" s="560">
        <f t="shared" ref="BP311:CZ311" si="94">BP15</f>
        <v>0</v>
      </c>
      <c r="BQ311" s="560">
        <f t="shared" si="94"/>
        <v>0</v>
      </c>
      <c r="BR311" s="560">
        <f t="shared" si="94"/>
        <v>72608</v>
      </c>
      <c r="BS311" s="560">
        <f t="shared" si="94"/>
        <v>381886</v>
      </c>
      <c r="BT311" s="560">
        <f t="shared" si="94"/>
        <v>0</v>
      </c>
      <c r="BU311" s="560">
        <f t="shared" si="94"/>
        <v>0</v>
      </c>
      <c r="BV311" s="560">
        <f t="shared" si="94"/>
        <v>37042</v>
      </c>
      <c r="BW311" s="560">
        <f t="shared" si="94"/>
        <v>0</v>
      </c>
      <c r="BX311" s="560">
        <f t="shared" si="94"/>
        <v>0</v>
      </c>
      <c r="BY311" s="560">
        <f t="shared" si="94"/>
        <v>0</v>
      </c>
      <c r="BZ311" s="560">
        <f t="shared" si="94"/>
        <v>654256</v>
      </c>
      <c r="CA311" s="560">
        <f t="shared" si="94"/>
        <v>2185</v>
      </c>
      <c r="CB311" s="560">
        <f t="shared" si="94"/>
        <v>0</v>
      </c>
      <c r="CC311" s="560">
        <f t="shared" si="94"/>
        <v>429392</v>
      </c>
      <c r="CD311" s="560">
        <f t="shared" si="94"/>
        <v>0</v>
      </c>
      <c r="CE311" s="560">
        <f t="shared" si="94"/>
        <v>2679979</v>
      </c>
      <c r="CF311" s="560">
        <f t="shared" si="94"/>
        <v>411</v>
      </c>
      <c r="CG311" s="560">
        <f t="shared" si="94"/>
        <v>725729</v>
      </c>
      <c r="CH311" s="560">
        <f t="shared" si="94"/>
        <v>95828</v>
      </c>
      <c r="CI311" s="560">
        <f t="shared" si="94"/>
        <v>384288</v>
      </c>
      <c r="CJ311" s="560">
        <f t="shared" si="94"/>
        <v>33644673</v>
      </c>
      <c r="CK311" s="560">
        <f t="shared" si="94"/>
        <v>2646846</v>
      </c>
      <c r="CL311" s="560">
        <f t="shared" si="94"/>
        <v>7222</v>
      </c>
      <c r="CM311" s="560">
        <f t="shared" si="94"/>
        <v>0</v>
      </c>
      <c r="CN311" s="560">
        <f t="shared" si="94"/>
        <v>443987</v>
      </c>
      <c r="CO311" s="560">
        <f t="shared" si="94"/>
        <v>280086</v>
      </c>
      <c r="CP311" s="560">
        <f t="shared" si="94"/>
        <v>33752</v>
      </c>
      <c r="CQ311" s="560">
        <f t="shared" si="94"/>
        <v>376359</v>
      </c>
      <c r="CR311" s="560">
        <f t="shared" si="94"/>
        <v>0</v>
      </c>
      <c r="CS311" s="560">
        <f t="shared" si="94"/>
        <v>0</v>
      </c>
      <c r="CT311" s="560">
        <f t="shared" si="94"/>
        <v>0</v>
      </c>
      <c r="CU311" s="560">
        <f t="shared" si="94"/>
        <v>0</v>
      </c>
      <c r="CV311" s="560">
        <f t="shared" si="94"/>
        <v>0</v>
      </c>
      <c r="CW311" s="560">
        <f t="shared" si="94"/>
        <v>0</v>
      </c>
      <c r="CX311" s="560">
        <f t="shared" si="94"/>
        <v>0</v>
      </c>
      <c r="CY311" s="560">
        <f t="shared" si="94"/>
        <v>0</v>
      </c>
      <c r="CZ311" s="560">
        <f t="shared" si="94"/>
        <v>0</v>
      </c>
    </row>
    <row r="312" spans="1:104" x14ac:dyDescent="0.3">
      <c r="A312" s="559">
        <v>47</v>
      </c>
      <c r="B312" s="180"/>
      <c r="C312" s="180">
        <v>16</v>
      </c>
      <c r="D312" s="560">
        <f t="shared" ref="D312:AI312" si="95">D16</f>
        <v>0</v>
      </c>
      <c r="E312" s="560">
        <f t="shared" si="95"/>
        <v>0</v>
      </c>
      <c r="F312" s="560">
        <f t="shared" si="95"/>
        <v>0</v>
      </c>
      <c r="G312" s="560">
        <f t="shared" si="95"/>
        <v>0</v>
      </c>
      <c r="H312" s="560">
        <f t="shared" si="95"/>
        <v>0</v>
      </c>
      <c r="I312" s="560">
        <f t="shared" si="95"/>
        <v>0</v>
      </c>
      <c r="J312" s="560">
        <f t="shared" si="95"/>
        <v>0</v>
      </c>
      <c r="K312" s="560">
        <f t="shared" si="95"/>
        <v>0</v>
      </c>
      <c r="L312" s="560">
        <f t="shared" si="95"/>
        <v>0</v>
      </c>
      <c r="M312" s="560">
        <f t="shared" si="95"/>
        <v>33409424</v>
      </c>
      <c r="N312" s="560">
        <f t="shared" si="95"/>
        <v>0</v>
      </c>
      <c r="O312" s="560">
        <f t="shared" si="95"/>
        <v>0</v>
      </c>
      <c r="P312" s="560">
        <f t="shared" si="95"/>
        <v>0</v>
      </c>
      <c r="Q312" s="560">
        <f t="shared" si="95"/>
        <v>0</v>
      </c>
      <c r="R312" s="560">
        <f t="shared" si="95"/>
        <v>0</v>
      </c>
      <c r="S312" s="560">
        <f t="shared" si="95"/>
        <v>0</v>
      </c>
      <c r="T312" s="560">
        <f t="shared" si="95"/>
        <v>0</v>
      </c>
      <c r="U312" s="560">
        <f t="shared" si="95"/>
        <v>0</v>
      </c>
      <c r="V312" s="560">
        <f t="shared" si="95"/>
        <v>0</v>
      </c>
      <c r="W312" s="560">
        <f t="shared" si="95"/>
        <v>0</v>
      </c>
      <c r="X312" s="560">
        <f t="shared" si="95"/>
        <v>0</v>
      </c>
      <c r="Y312" s="560">
        <f t="shared" si="95"/>
        <v>0</v>
      </c>
      <c r="Z312" s="560">
        <f t="shared" si="95"/>
        <v>0</v>
      </c>
      <c r="AA312" s="560">
        <f t="shared" si="95"/>
        <v>0</v>
      </c>
      <c r="AB312" s="560">
        <f t="shared" si="95"/>
        <v>0</v>
      </c>
      <c r="AC312" s="560">
        <f t="shared" si="95"/>
        <v>15587999</v>
      </c>
      <c r="AD312" s="560">
        <f t="shared" si="95"/>
        <v>0</v>
      </c>
      <c r="AE312" s="560">
        <f t="shared" si="95"/>
        <v>0</v>
      </c>
      <c r="AF312" s="560">
        <f t="shared" si="95"/>
        <v>0</v>
      </c>
      <c r="AG312" s="560">
        <f t="shared" si="95"/>
        <v>0</v>
      </c>
      <c r="AH312" s="560">
        <f t="shared" si="95"/>
        <v>0</v>
      </c>
      <c r="AI312" s="560">
        <f t="shared" si="95"/>
        <v>0</v>
      </c>
      <c r="AJ312" s="560">
        <f t="shared" ref="AJ312:BO312" si="96">AJ16</f>
        <v>0</v>
      </c>
      <c r="AK312" s="560">
        <f t="shared" si="96"/>
        <v>0</v>
      </c>
      <c r="AL312" s="560">
        <f t="shared" si="96"/>
        <v>0</v>
      </c>
      <c r="AM312" s="560">
        <f t="shared" si="96"/>
        <v>0</v>
      </c>
      <c r="AN312" s="560">
        <f t="shared" si="96"/>
        <v>0</v>
      </c>
      <c r="AO312" s="560">
        <f t="shared" si="96"/>
        <v>0</v>
      </c>
      <c r="AP312" s="560">
        <f t="shared" si="96"/>
        <v>0</v>
      </c>
      <c r="AQ312" s="560">
        <f t="shared" si="96"/>
        <v>0</v>
      </c>
      <c r="AR312" s="560">
        <f t="shared" si="96"/>
        <v>0</v>
      </c>
      <c r="AS312" s="560">
        <f t="shared" si="96"/>
        <v>0</v>
      </c>
      <c r="AT312" s="560">
        <f t="shared" si="96"/>
        <v>0</v>
      </c>
      <c r="AU312" s="560">
        <f t="shared" si="96"/>
        <v>0</v>
      </c>
      <c r="AV312" s="560">
        <f t="shared" si="96"/>
        <v>0</v>
      </c>
      <c r="AW312" s="560">
        <f t="shared" si="96"/>
        <v>0</v>
      </c>
      <c r="AX312" s="560">
        <f t="shared" si="96"/>
        <v>0</v>
      </c>
      <c r="AY312" s="560">
        <f t="shared" si="96"/>
        <v>0</v>
      </c>
      <c r="AZ312" s="560">
        <f t="shared" si="96"/>
        <v>0</v>
      </c>
      <c r="BA312" s="560">
        <f t="shared" si="96"/>
        <v>7326283</v>
      </c>
      <c r="BB312" s="560">
        <f t="shared" si="96"/>
        <v>0</v>
      </c>
      <c r="BC312" s="560">
        <f t="shared" si="96"/>
        <v>0</v>
      </c>
      <c r="BD312" s="560">
        <f t="shared" si="96"/>
        <v>0</v>
      </c>
      <c r="BE312" s="560">
        <f t="shared" si="96"/>
        <v>0</v>
      </c>
      <c r="BF312" s="560">
        <f t="shared" si="96"/>
        <v>0</v>
      </c>
      <c r="BG312" s="560">
        <f t="shared" si="96"/>
        <v>452952</v>
      </c>
      <c r="BH312" s="560">
        <f t="shared" si="96"/>
        <v>0</v>
      </c>
      <c r="BI312" s="560">
        <f t="shared" si="96"/>
        <v>0</v>
      </c>
      <c r="BJ312" s="560">
        <f t="shared" si="96"/>
        <v>23826495</v>
      </c>
      <c r="BK312" s="560">
        <f t="shared" si="96"/>
        <v>0</v>
      </c>
      <c r="BL312" s="560">
        <f t="shared" si="96"/>
        <v>0</v>
      </c>
      <c r="BM312" s="560">
        <f t="shared" si="96"/>
        <v>0</v>
      </c>
      <c r="BN312" s="560">
        <f t="shared" si="96"/>
        <v>3861830</v>
      </c>
      <c r="BO312" s="560">
        <f t="shared" si="96"/>
        <v>0</v>
      </c>
      <c r="BP312" s="560">
        <f t="shared" ref="BP312:CZ312" si="97">BP16</f>
        <v>0</v>
      </c>
      <c r="BQ312" s="560">
        <f t="shared" si="97"/>
        <v>0</v>
      </c>
      <c r="BR312" s="560">
        <f t="shared" si="97"/>
        <v>0</v>
      </c>
      <c r="BS312" s="560">
        <f t="shared" si="97"/>
        <v>0</v>
      </c>
      <c r="BT312" s="560">
        <f t="shared" si="97"/>
        <v>0</v>
      </c>
      <c r="BU312" s="560">
        <f t="shared" si="97"/>
        <v>0</v>
      </c>
      <c r="BV312" s="560">
        <f t="shared" si="97"/>
        <v>0</v>
      </c>
      <c r="BW312" s="560">
        <f t="shared" si="97"/>
        <v>0</v>
      </c>
      <c r="BX312" s="560">
        <f t="shared" si="97"/>
        <v>0</v>
      </c>
      <c r="BY312" s="560">
        <f t="shared" si="97"/>
        <v>0</v>
      </c>
      <c r="BZ312" s="560">
        <f t="shared" si="97"/>
        <v>0</v>
      </c>
      <c r="CA312" s="560">
        <f t="shared" si="97"/>
        <v>0</v>
      </c>
      <c r="CB312" s="560">
        <f t="shared" si="97"/>
        <v>0</v>
      </c>
      <c r="CC312" s="560">
        <f t="shared" si="97"/>
        <v>0</v>
      </c>
      <c r="CD312" s="560">
        <f t="shared" si="97"/>
        <v>0</v>
      </c>
      <c r="CE312" s="560">
        <f t="shared" si="97"/>
        <v>67634175</v>
      </c>
      <c r="CF312" s="560">
        <f t="shared" si="97"/>
        <v>0</v>
      </c>
      <c r="CG312" s="560">
        <f t="shared" si="97"/>
        <v>5702232</v>
      </c>
      <c r="CH312" s="560">
        <f t="shared" si="97"/>
        <v>0</v>
      </c>
      <c r="CI312" s="560">
        <f t="shared" si="97"/>
        <v>0</v>
      </c>
      <c r="CJ312" s="560">
        <f t="shared" si="97"/>
        <v>0</v>
      </c>
      <c r="CK312" s="560">
        <f t="shared" si="97"/>
        <v>8050966</v>
      </c>
      <c r="CL312" s="560">
        <f t="shared" si="97"/>
        <v>0</v>
      </c>
      <c r="CM312" s="560">
        <f t="shared" si="97"/>
        <v>0</v>
      </c>
      <c r="CN312" s="560">
        <f t="shared" si="97"/>
        <v>0</v>
      </c>
      <c r="CO312" s="560">
        <f t="shared" si="97"/>
        <v>0</v>
      </c>
      <c r="CP312" s="560">
        <f t="shared" si="97"/>
        <v>0</v>
      </c>
      <c r="CQ312" s="560">
        <f t="shared" si="97"/>
        <v>0</v>
      </c>
      <c r="CR312" s="560">
        <f t="shared" si="97"/>
        <v>0</v>
      </c>
      <c r="CS312" s="560">
        <f t="shared" si="97"/>
        <v>0</v>
      </c>
      <c r="CT312" s="560">
        <f t="shared" si="97"/>
        <v>0</v>
      </c>
      <c r="CU312" s="560">
        <f t="shared" si="97"/>
        <v>0</v>
      </c>
      <c r="CV312" s="560">
        <f t="shared" si="97"/>
        <v>0</v>
      </c>
      <c r="CW312" s="560">
        <f t="shared" si="97"/>
        <v>0</v>
      </c>
      <c r="CX312" s="560">
        <f t="shared" si="97"/>
        <v>0</v>
      </c>
      <c r="CY312" s="560">
        <f t="shared" si="97"/>
        <v>0</v>
      </c>
      <c r="CZ312" s="560">
        <f t="shared" si="97"/>
        <v>0</v>
      </c>
    </row>
    <row r="313" spans="1:104" x14ac:dyDescent="0.3">
      <c r="A313" s="559">
        <v>48</v>
      </c>
      <c r="B313" s="180"/>
      <c r="C313" s="180">
        <v>17</v>
      </c>
      <c r="D313" s="560">
        <f t="shared" ref="D313:AI313" si="98">D17</f>
        <v>0</v>
      </c>
      <c r="E313" s="560">
        <f t="shared" si="98"/>
        <v>0</v>
      </c>
      <c r="F313" s="560">
        <f t="shared" si="98"/>
        <v>0</v>
      </c>
      <c r="G313" s="560">
        <f t="shared" si="98"/>
        <v>0</v>
      </c>
      <c r="H313" s="560">
        <f t="shared" si="98"/>
        <v>0</v>
      </c>
      <c r="I313" s="560">
        <f t="shared" si="98"/>
        <v>0</v>
      </c>
      <c r="J313" s="560">
        <f t="shared" si="98"/>
        <v>0</v>
      </c>
      <c r="K313" s="560">
        <f t="shared" si="98"/>
        <v>0</v>
      </c>
      <c r="L313" s="560">
        <f t="shared" si="98"/>
        <v>0</v>
      </c>
      <c r="M313" s="560">
        <f t="shared" si="98"/>
        <v>4391793</v>
      </c>
      <c r="N313" s="560">
        <f t="shared" si="98"/>
        <v>0</v>
      </c>
      <c r="O313" s="560">
        <f t="shared" si="98"/>
        <v>0</v>
      </c>
      <c r="P313" s="560">
        <f t="shared" si="98"/>
        <v>0</v>
      </c>
      <c r="Q313" s="560">
        <f t="shared" si="98"/>
        <v>0</v>
      </c>
      <c r="R313" s="560">
        <f t="shared" si="98"/>
        <v>0</v>
      </c>
      <c r="S313" s="560">
        <f t="shared" si="98"/>
        <v>0</v>
      </c>
      <c r="T313" s="560">
        <f t="shared" si="98"/>
        <v>0</v>
      </c>
      <c r="U313" s="560">
        <f t="shared" si="98"/>
        <v>0</v>
      </c>
      <c r="V313" s="560">
        <f t="shared" si="98"/>
        <v>0</v>
      </c>
      <c r="W313" s="560">
        <f t="shared" si="98"/>
        <v>0</v>
      </c>
      <c r="X313" s="560">
        <f t="shared" si="98"/>
        <v>0</v>
      </c>
      <c r="Y313" s="560">
        <f t="shared" si="98"/>
        <v>0</v>
      </c>
      <c r="Z313" s="560">
        <f t="shared" si="98"/>
        <v>0</v>
      </c>
      <c r="AA313" s="560">
        <f t="shared" si="98"/>
        <v>0</v>
      </c>
      <c r="AB313" s="560">
        <f t="shared" si="98"/>
        <v>0</v>
      </c>
      <c r="AC313" s="560">
        <f t="shared" si="98"/>
        <v>1438887</v>
      </c>
      <c r="AD313" s="560">
        <f t="shared" si="98"/>
        <v>0</v>
      </c>
      <c r="AE313" s="560">
        <f t="shared" si="98"/>
        <v>0</v>
      </c>
      <c r="AF313" s="560">
        <f t="shared" si="98"/>
        <v>0</v>
      </c>
      <c r="AG313" s="560">
        <f t="shared" si="98"/>
        <v>0</v>
      </c>
      <c r="AH313" s="560">
        <f t="shared" si="98"/>
        <v>0</v>
      </c>
      <c r="AI313" s="560">
        <f t="shared" si="98"/>
        <v>0</v>
      </c>
      <c r="AJ313" s="560">
        <f t="shared" ref="AJ313:BO313" si="99">AJ17</f>
        <v>0</v>
      </c>
      <c r="AK313" s="560">
        <f t="shared" si="99"/>
        <v>0</v>
      </c>
      <c r="AL313" s="560">
        <f t="shared" si="99"/>
        <v>0</v>
      </c>
      <c r="AM313" s="560">
        <f t="shared" si="99"/>
        <v>0</v>
      </c>
      <c r="AN313" s="560">
        <f t="shared" si="99"/>
        <v>0</v>
      </c>
      <c r="AO313" s="560">
        <f t="shared" si="99"/>
        <v>0</v>
      </c>
      <c r="AP313" s="560">
        <f t="shared" si="99"/>
        <v>0</v>
      </c>
      <c r="AQ313" s="560">
        <f t="shared" si="99"/>
        <v>0</v>
      </c>
      <c r="AR313" s="560">
        <f t="shared" si="99"/>
        <v>0</v>
      </c>
      <c r="AS313" s="560">
        <f t="shared" si="99"/>
        <v>0</v>
      </c>
      <c r="AT313" s="560">
        <f t="shared" si="99"/>
        <v>0</v>
      </c>
      <c r="AU313" s="560">
        <f t="shared" si="99"/>
        <v>0</v>
      </c>
      <c r="AV313" s="560">
        <f t="shared" si="99"/>
        <v>0</v>
      </c>
      <c r="AW313" s="560">
        <f t="shared" si="99"/>
        <v>0</v>
      </c>
      <c r="AX313" s="560">
        <f t="shared" si="99"/>
        <v>0</v>
      </c>
      <c r="AY313" s="560">
        <f t="shared" si="99"/>
        <v>0</v>
      </c>
      <c r="AZ313" s="560">
        <f t="shared" si="99"/>
        <v>0</v>
      </c>
      <c r="BA313" s="560">
        <f t="shared" si="99"/>
        <v>2473468</v>
      </c>
      <c r="BB313" s="560">
        <f t="shared" si="99"/>
        <v>0</v>
      </c>
      <c r="BC313" s="560">
        <f t="shared" si="99"/>
        <v>0</v>
      </c>
      <c r="BD313" s="560">
        <f t="shared" si="99"/>
        <v>0</v>
      </c>
      <c r="BE313" s="560">
        <f t="shared" si="99"/>
        <v>0</v>
      </c>
      <c r="BF313" s="560">
        <f t="shared" si="99"/>
        <v>0</v>
      </c>
      <c r="BG313" s="560">
        <f t="shared" si="99"/>
        <v>8326</v>
      </c>
      <c r="BH313" s="560">
        <f t="shared" si="99"/>
        <v>0</v>
      </c>
      <c r="BI313" s="560">
        <f t="shared" si="99"/>
        <v>0</v>
      </c>
      <c r="BJ313" s="560">
        <f t="shared" si="99"/>
        <v>2733257</v>
      </c>
      <c r="BK313" s="560">
        <f t="shared" si="99"/>
        <v>0</v>
      </c>
      <c r="BL313" s="560">
        <f t="shared" si="99"/>
        <v>0</v>
      </c>
      <c r="BM313" s="560">
        <f t="shared" si="99"/>
        <v>0</v>
      </c>
      <c r="BN313" s="560">
        <f t="shared" si="99"/>
        <v>493414</v>
      </c>
      <c r="BO313" s="560">
        <f t="shared" si="99"/>
        <v>0</v>
      </c>
      <c r="BP313" s="560">
        <f t="shared" ref="BP313:CZ313" si="100">BP17</f>
        <v>0</v>
      </c>
      <c r="BQ313" s="560">
        <f t="shared" si="100"/>
        <v>0</v>
      </c>
      <c r="BR313" s="560">
        <f t="shared" si="100"/>
        <v>0</v>
      </c>
      <c r="BS313" s="560">
        <f t="shared" si="100"/>
        <v>0</v>
      </c>
      <c r="BT313" s="560">
        <f t="shared" si="100"/>
        <v>0</v>
      </c>
      <c r="BU313" s="560">
        <f t="shared" si="100"/>
        <v>0</v>
      </c>
      <c r="BV313" s="560">
        <f t="shared" si="100"/>
        <v>0</v>
      </c>
      <c r="BW313" s="560">
        <f t="shared" si="100"/>
        <v>0</v>
      </c>
      <c r="BX313" s="560">
        <f t="shared" si="100"/>
        <v>0</v>
      </c>
      <c r="BY313" s="560">
        <f t="shared" si="100"/>
        <v>0</v>
      </c>
      <c r="BZ313" s="560">
        <f t="shared" si="100"/>
        <v>0</v>
      </c>
      <c r="CA313" s="560">
        <f t="shared" si="100"/>
        <v>0</v>
      </c>
      <c r="CB313" s="560">
        <f t="shared" si="100"/>
        <v>0</v>
      </c>
      <c r="CC313" s="560">
        <f t="shared" si="100"/>
        <v>0</v>
      </c>
      <c r="CD313" s="560">
        <f t="shared" si="100"/>
        <v>0</v>
      </c>
      <c r="CE313" s="560">
        <f t="shared" si="100"/>
        <v>10490589</v>
      </c>
      <c r="CF313" s="560">
        <f t="shared" si="100"/>
        <v>0</v>
      </c>
      <c r="CG313" s="560">
        <f t="shared" si="100"/>
        <v>935987</v>
      </c>
      <c r="CH313" s="560">
        <f t="shared" si="100"/>
        <v>0</v>
      </c>
      <c r="CI313" s="560">
        <f t="shared" si="100"/>
        <v>0</v>
      </c>
      <c r="CJ313" s="560">
        <f t="shared" si="100"/>
        <v>0</v>
      </c>
      <c r="CK313" s="560">
        <f t="shared" si="100"/>
        <v>175052</v>
      </c>
      <c r="CL313" s="560">
        <f t="shared" si="100"/>
        <v>0</v>
      </c>
      <c r="CM313" s="560">
        <f t="shared" si="100"/>
        <v>0</v>
      </c>
      <c r="CN313" s="560">
        <f t="shared" si="100"/>
        <v>0</v>
      </c>
      <c r="CO313" s="560">
        <f t="shared" si="100"/>
        <v>0</v>
      </c>
      <c r="CP313" s="560">
        <f t="shared" si="100"/>
        <v>0</v>
      </c>
      <c r="CQ313" s="560">
        <f t="shared" si="100"/>
        <v>0</v>
      </c>
      <c r="CR313" s="560">
        <f t="shared" si="100"/>
        <v>0</v>
      </c>
      <c r="CS313" s="560">
        <f t="shared" si="100"/>
        <v>0</v>
      </c>
      <c r="CT313" s="560">
        <f t="shared" si="100"/>
        <v>0</v>
      </c>
      <c r="CU313" s="560">
        <f t="shared" si="100"/>
        <v>0</v>
      </c>
      <c r="CV313" s="560">
        <f t="shared" si="100"/>
        <v>0</v>
      </c>
      <c r="CW313" s="560">
        <f t="shared" si="100"/>
        <v>0</v>
      </c>
      <c r="CX313" s="560">
        <f t="shared" si="100"/>
        <v>0</v>
      </c>
      <c r="CY313" s="560">
        <f t="shared" si="100"/>
        <v>0</v>
      </c>
      <c r="CZ313" s="560">
        <f t="shared" si="100"/>
        <v>0</v>
      </c>
    </row>
    <row r="314" spans="1:104" x14ac:dyDescent="0.3">
      <c r="A314" s="563">
        <v>385</v>
      </c>
      <c r="B314" s="180"/>
      <c r="C314" s="180">
        <v>95</v>
      </c>
      <c r="D314" s="564">
        <f t="shared" ref="D314:AI314" si="101">D95</f>
        <v>1070398</v>
      </c>
      <c r="E314" s="564">
        <f t="shared" si="101"/>
        <v>12904925</v>
      </c>
      <c r="F314" s="564">
        <f t="shared" si="101"/>
        <v>4938313</v>
      </c>
      <c r="G314" s="564">
        <f t="shared" si="101"/>
        <v>1045260</v>
      </c>
      <c r="H314" s="564">
        <f t="shared" si="101"/>
        <v>33350928</v>
      </c>
      <c r="I314" s="564">
        <f t="shared" si="101"/>
        <v>2647897</v>
      </c>
      <c r="J314" s="564">
        <f t="shared" si="101"/>
        <v>8016151</v>
      </c>
      <c r="K314" s="564">
        <f t="shared" si="101"/>
        <v>0</v>
      </c>
      <c r="L314" s="564">
        <f t="shared" si="101"/>
        <v>2702877</v>
      </c>
      <c r="M314" s="564">
        <f t="shared" si="101"/>
        <v>108065381</v>
      </c>
      <c r="N314" s="564">
        <f t="shared" si="101"/>
        <v>0</v>
      </c>
      <c r="O314" s="564">
        <f t="shared" si="101"/>
        <v>1753046</v>
      </c>
      <c r="P314" s="564">
        <f t="shared" si="101"/>
        <v>5465106</v>
      </c>
      <c r="Q314" s="564">
        <f t="shared" si="101"/>
        <v>3239260</v>
      </c>
      <c r="R314" s="564">
        <f t="shared" si="101"/>
        <v>339933</v>
      </c>
      <c r="S314" s="564">
        <f t="shared" si="101"/>
        <v>685501</v>
      </c>
      <c r="T314" s="564">
        <f t="shared" si="101"/>
        <v>5089900</v>
      </c>
      <c r="U314" s="564">
        <f t="shared" si="101"/>
        <v>15303033</v>
      </c>
      <c r="V314" s="564">
        <f t="shared" si="101"/>
        <v>35035565</v>
      </c>
      <c r="W314" s="564">
        <f t="shared" si="101"/>
        <v>59328200</v>
      </c>
      <c r="X314" s="564">
        <f t="shared" si="101"/>
        <v>19116373</v>
      </c>
      <c r="Y314" s="564">
        <f t="shared" si="101"/>
        <v>4250784</v>
      </c>
      <c r="Z314" s="564">
        <f t="shared" si="101"/>
        <v>26181479</v>
      </c>
      <c r="AA314" s="564">
        <f t="shared" si="101"/>
        <v>11205755</v>
      </c>
      <c r="AB314" s="564">
        <f t="shared" si="101"/>
        <v>152622</v>
      </c>
      <c r="AC314" s="564">
        <f t="shared" si="101"/>
        <v>23582155</v>
      </c>
      <c r="AD314" s="564">
        <f t="shared" si="101"/>
        <v>0</v>
      </c>
      <c r="AE314" s="564">
        <f t="shared" si="101"/>
        <v>2342680</v>
      </c>
      <c r="AF314" s="564">
        <f t="shared" si="101"/>
        <v>1141827</v>
      </c>
      <c r="AG314" s="564">
        <f t="shared" si="101"/>
        <v>63364987</v>
      </c>
      <c r="AH314" s="564">
        <f t="shared" si="101"/>
        <v>4298310</v>
      </c>
      <c r="AI314" s="564">
        <f t="shared" si="101"/>
        <v>20596128</v>
      </c>
      <c r="AJ314" s="564">
        <f t="shared" ref="AJ314:BO314" si="102">AJ95</f>
        <v>9811818</v>
      </c>
      <c r="AK314" s="564">
        <f t="shared" si="102"/>
        <v>1697374</v>
      </c>
      <c r="AL314" s="564">
        <f t="shared" si="102"/>
        <v>15003987</v>
      </c>
      <c r="AM314" s="564">
        <f t="shared" si="102"/>
        <v>17654430</v>
      </c>
      <c r="AN314" s="564">
        <f t="shared" si="102"/>
        <v>9654889</v>
      </c>
      <c r="AO314" s="564">
        <f t="shared" si="102"/>
        <v>6583131</v>
      </c>
      <c r="AP314" s="564">
        <f t="shared" si="102"/>
        <v>341864</v>
      </c>
      <c r="AQ314" s="564">
        <f t="shared" si="102"/>
        <v>3656307</v>
      </c>
      <c r="AR314" s="564">
        <f t="shared" si="102"/>
        <v>17119656</v>
      </c>
      <c r="AS314" s="564">
        <f t="shared" si="102"/>
        <v>1660990</v>
      </c>
      <c r="AT314" s="564">
        <f t="shared" si="102"/>
        <v>1773496</v>
      </c>
      <c r="AU314" s="564">
        <f t="shared" si="102"/>
        <v>2881685</v>
      </c>
      <c r="AV314" s="564">
        <f t="shared" si="102"/>
        <v>1938382</v>
      </c>
      <c r="AW314" s="564">
        <f t="shared" si="102"/>
        <v>298313</v>
      </c>
      <c r="AX314" s="564">
        <f t="shared" si="102"/>
        <v>1417115</v>
      </c>
      <c r="AY314" s="564">
        <f t="shared" si="102"/>
        <v>14447127</v>
      </c>
      <c r="AZ314" s="564">
        <f t="shared" si="102"/>
        <v>3225432</v>
      </c>
      <c r="BA314" s="564">
        <f t="shared" si="102"/>
        <v>378774287</v>
      </c>
      <c r="BB314" s="564">
        <f t="shared" si="102"/>
        <v>10806484</v>
      </c>
      <c r="BC314" s="564">
        <f t="shared" si="102"/>
        <v>9157823</v>
      </c>
      <c r="BD314" s="564">
        <f t="shared" si="102"/>
        <v>8691093</v>
      </c>
      <c r="BE314" s="564">
        <f t="shared" si="102"/>
        <v>3426584</v>
      </c>
      <c r="BF314" s="564">
        <f t="shared" si="102"/>
        <v>5707869</v>
      </c>
      <c r="BG314" s="564">
        <f t="shared" si="102"/>
        <v>403495</v>
      </c>
      <c r="BH314" s="564">
        <f t="shared" si="102"/>
        <v>2388790</v>
      </c>
      <c r="BI314" s="564">
        <f t="shared" si="102"/>
        <v>6576894</v>
      </c>
      <c r="BJ314" s="564">
        <f t="shared" si="102"/>
        <v>54604303</v>
      </c>
      <c r="BK314" s="564">
        <f t="shared" si="102"/>
        <v>898539</v>
      </c>
      <c r="BL314" s="564">
        <f t="shared" si="102"/>
        <v>373903</v>
      </c>
      <c r="BM314" s="564">
        <f t="shared" si="102"/>
        <v>88211751</v>
      </c>
      <c r="BN314" s="564">
        <f t="shared" si="102"/>
        <v>43188037</v>
      </c>
      <c r="BO314" s="564">
        <f t="shared" si="102"/>
        <v>23845243</v>
      </c>
      <c r="BP314" s="564">
        <f t="shared" ref="BP314:CZ314" si="103">BP95</f>
        <v>473550</v>
      </c>
      <c r="BQ314" s="564">
        <f t="shared" si="103"/>
        <v>7527298</v>
      </c>
      <c r="BR314" s="564">
        <f t="shared" si="103"/>
        <v>3463810</v>
      </c>
      <c r="BS314" s="564">
        <f t="shared" si="103"/>
        <v>37621961</v>
      </c>
      <c r="BT314" s="564">
        <f t="shared" si="103"/>
        <v>7859490</v>
      </c>
      <c r="BU314" s="564">
        <f t="shared" si="103"/>
        <v>4490040</v>
      </c>
      <c r="BV314" s="564">
        <f t="shared" si="103"/>
        <v>6828832</v>
      </c>
      <c r="BW314" s="564">
        <f t="shared" si="103"/>
        <v>13452190</v>
      </c>
      <c r="BX314" s="564">
        <f t="shared" si="103"/>
        <v>0</v>
      </c>
      <c r="BY314" s="564">
        <f t="shared" si="103"/>
        <v>0</v>
      </c>
      <c r="BZ314" s="564">
        <f t="shared" si="103"/>
        <v>18486944</v>
      </c>
      <c r="CA314" s="564">
        <f t="shared" si="103"/>
        <v>934331</v>
      </c>
      <c r="CB314" s="564">
        <f t="shared" si="103"/>
        <v>0</v>
      </c>
      <c r="CC314" s="564">
        <f t="shared" si="103"/>
        <v>22816387</v>
      </c>
      <c r="CD314" s="564">
        <f t="shared" si="103"/>
        <v>803672134</v>
      </c>
      <c r="CE314" s="564">
        <f t="shared" si="103"/>
        <v>178973115</v>
      </c>
      <c r="CF314" s="564">
        <f t="shared" si="103"/>
        <v>5036871</v>
      </c>
      <c r="CG314" s="564">
        <f t="shared" si="103"/>
        <v>11781907</v>
      </c>
      <c r="CH314" s="564">
        <f t="shared" si="103"/>
        <v>1027481</v>
      </c>
      <c r="CI314" s="564">
        <f t="shared" si="103"/>
        <v>13002290</v>
      </c>
      <c r="CJ314" s="564">
        <f t="shared" si="103"/>
        <v>970631786</v>
      </c>
      <c r="CK314" s="564">
        <f t="shared" si="103"/>
        <v>43355057</v>
      </c>
      <c r="CL314" s="564">
        <f t="shared" si="103"/>
        <v>1842354</v>
      </c>
      <c r="CM314" s="564">
        <f t="shared" si="103"/>
        <v>14436083</v>
      </c>
      <c r="CN314" s="564">
        <f t="shared" si="103"/>
        <v>2174291</v>
      </c>
      <c r="CO314" s="564">
        <f t="shared" si="103"/>
        <v>49381050</v>
      </c>
      <c r="CP314" s="564">
        <f t="shared" si="103"/>
        <v>10495401</v>
      </c>
      <c r="CQ314" s="564">
        <f t="shared" si="103"/>
        <v>6502490</v>
      </c>
      <c r="CR314" s="564">
        <f t="shared" si="103"/>
        <v>10232634</v>
      </c>
      <c r="CS314" s="564">
        <f t="shared" si="103"/>
        <v>78196398</v>
      </c>
      <c r="CT314" s="564">
        <f t="shared" si="103"/>
        <v>0</v>
      </c>
      <c r="CU314" s="564">
        <f t="shared" si="103"/>
        <v>0</v>
      </c>
      <c r="CV314" s="564">
        <f t="shared" si="103"/>
        <v>0</v>
      </c>
      <c r="CW314" s="564">
        <f t="shared" si="103"/>
        <v>0</v>
      </c>
      <c r="CX314" s="564">
        <f t="shared" si="103"/>
        <v>0</v>
      </c>
      <c r="CY314" s="564">
        <f t="shared" si="103"/>
        <v>0</v>
      </c>
      <c r="CZ314" s="564">
        <f t="shared" si="103"/>
        <v>0</v>
      </c>
    </row>
    <row r="315" spans="1:104" x14ac:dyDescent="0.3">
      <c r="A315" s="563">
        <v>626</v>
      </c>
      <c r="B315" s="180"/>
      <c r="C315" s="180">
        <v>170</v>
      </c>
      <c r="D315" s="564">
        <f t="shared" ref="D315:AI315" si="104">D170</f>
        <v>73462</v>
      </c>
      <c r="E315" s="564">
        <f t="shared" si="104"/>
        <v>1577502</v>
      </c>
      <c r="F315" s="564">
        <f t="shared" si="104"/>
        <v>189789</v>
      </c>
      <c r="G315" s="564">
        <f t="shared" si="104"/>
        <v>3867</v>
      </c>
      <c r="H315" s="564">
        <f t="shared" si="104"/>
        <v>869384</v>
      </c>
      <c r="I315" s="564">
        <f t="shared" si="104"/>
        <v>20313</v>
      </c>
      <c r="J315" s="564">
        <f t="shared" si="104"/>
        <v>958638</v>
      </c>
      <c r="K315" s="564">
        <f t="shared" si="104"/>
        <v>0</v>
      </c>
      <c r="L315" s="564">
        <f t="shared" si="104"/>
        <v>62034</v>
      </c>
      <c r="M315" s="564">
        <f t="shared" si="104"/>
        <v>9804512</v>
      </c>
      <c r="N315" s="564">
        <f t="shared" si="104"/>
        <v>0</v>
      </c>
      <c r="O315" s="564">
        <f t="shared" si="104"/>
        <v>151822</v>
      </c>
      <c r="P315" s="564">
        <f t="shared" si="104"/>
        <v>373557</v>
      </c>
      <c r="Q315" s="564">
        <f t="shared" si="104"/>
        <v>388613</v>
      </c>
      <c r="R315" s="564">
        <f t="shared" si="104"/>
        <v>0</v>
      </c>
      <c r="S315" s="564">
        <f t="shared" si="104"/>
        <v>11451</v>
      </c>
      <c r="T315" s="564">
        <f t="shared" si="104"/>
        <v>316343</v>
      </c>
      <c r="U315" s="564">
        <f t="shared" si="104"/>
        <v>216129</v>
      </c>
      <c r="V315" s="564">
        <f t="shared" si="104"/>
        <v>427985</v>
      </c>
      <c r="W315" s="564">
        <f t="shared" si="104"/>
        <v>1273176</v>
      </c>
      <c r="X315" s="564">
        <f t="shared" si="104"/>
        <v>7593321</v>
      </c>
      <c r="Y315" s="564">
        <f t="shared" si="104"/>
        <v>16662</v>
      </c>
      <c r="Z315" s="564">
        <f t="shared" si="104"/>
        <v>306786</v>
      </c>
      <c r="AA315" s="564">
        <f t="shared" si="104"/>
        <v>443221</v>
      </c>
      <c r="AB315" s="564">
        <f t="shared" si="104"/>
        <v>8691</v>
      </c>
      <c r="AC315" s="564">
        <f t="shared" si="104"/>
        <v>537006</v>
      </c>
      <c r="AD315" s="564">
        <f t="shared" si="104"/>
        <v>0</v>
      </c>
      <c r="AE315" s="564">
        <f t="shared" si="104"/>
        <v>162689</v>
      </c>
      <c r="AF315" s="564">
        <f t="shared" si="104"/>
        <v>2016</v>
      </c>
      <c r="AG315" s="564">
        <f t="shared" si="104"/>
        <v>6433919</v>
      </c>
      <c r="AH315" s="564">
        <f t="shared" si="104"/>
        <v>156681</v>
      </c>
      <c r="AI315" s="564">
        <f t="shared" si="104"/>
        <v>249481</v>
      </c>
      <c r="AJ315" s="564">
        <f t="shared" ref="AJ315:BO315" si="105">AJ170</f>
        <v>895968</v>
      </c>
      <c r="AK315" s="564">
        <f t="shared" si="105"/>
        <v>1901</v>
      </c>
      <c r="AL315" s="564">
        <f t="shared" si="105"/>
        <v>1138574</v>
      </c>
      <c r="AM315" s="564">
        <f t="shared" si="105"/>
        <v>1265750</v>
      </c>
      <c r="AN315" s="564">
        <f t="shared" si="105"/>
        <v>857041</v>
      </c>
      <c r="AO315" s="564">
        <f t="shared" si="105"/>
        <v>139773</v>
      </c>
      <c r="AP315" s="564">
        <f t="shared" si="105"/>
        <v>47931</v>
      </c>
      <c r="AQ315" s="564">
        <f t="shared" si="105"/>
        <v>36006</v>
      </c>
      <c r="AR315" s="564">
        <f t="shared" si="105"/>
        <v>78166</v>
      </c>
      <c r="AS315" s="564">
        <f t="shared" si="105"/>
        <v>186089</v>
      </c>
      <c r="AT315" s="564">
        <f t="shared" si="105"/>
        <v>47295</v>
      </c>
      <c r="AU315" s="564">
        <f t="shared" si="105"/>
        <v>0</v>
      </c>
      <c r="AV315" s="564">
        <f t="shared" si="105"/>
        <v>219702</v>
      </c>
      <c r="AW315" s="564">
        <f t="shared" si="105"/>
        <v>37079</v>
      </c>
      <c r="AX315" s="564">
        <f t="shared" si="105"/>
        <v>17150</v>
      </c>
      <c r="AY315" s="564">
        <f t="shared" si="105"/>
        <v>1101644</v>
      </c>
      <c r="AZ315" s="564">
        <f t="shared" si="105"/>
        <v>12946</v>
      </c>
      <c r="BA315" s="564">
        <f t="shared" si="105"/>
        <v>19347100</v>
      </c>
      <c r="BB315" s="564">
        <f t="shared" si="105"/>
        <v>978762</v>
      </c>
      <c r="BC315" s="564">
        <f t="shared" si="105"/>
        <v>433350</v>
      </c>
      <c r="BD315" s="564">
        <f t="shared" si="105"/>
        <v>0</v>
      </c>
      <c r="BE315" s="564">
        <f t="shared" si="105"/>
        <v>232564</v>
      </c>
      <c r="BF315" s="564">
        <f t="shared" si="105"/>
        <v>188051</v>
      </c>
      <c r="BG315" s="564">
        <f t="shared" si="105"/>
        <v>33007</v>
      </c>
      <c r="BH315" s="564">
        <f t="shared" si="105"/>
        <v>266099</v>
      </c>
      <c r="BI315" s="564">
        <f t="shared" si="105"/>
        <v>656344</v>
      </c>
      <c r="BJ315" s="564">
        <f t="shared" si="105"/>
        <v>2619395</v>
      </c>
      <c r="BK315" s="564">
        <f t="shared" si="105"/>
        <v>79075</v>
      </c>
      <c r="BL315" s="564">
        <f t="shared" si="105"/>
        <v>0</v>
      </c>
      <c r="BM315" s="564">
        <f t="shared" si="105"/>
        <v>3366986</v>
      </c>
      <c r="BN315" s="564">
        <f t="shared" si="105"/>
        <v>3017521</v>
      </c>
      <c r="BO315" s="564">
        <f t="shared" si="105"/>
        <v>1348383</v>
      </c>
      <c r="BP315" s="564">
        <f t="shared" ref="BP315:CZ315" si="106">BP170</f>
        <v>40810</v>
      </c>
      <c r="BQ315" s="564">
        <f t="shared" si="106"/>
        <v>760794</v>
      </c>
      <c r="BR315" s="564">
        <f t="shared" si="106"/>
        <v>119723</v>
      </c>
      <c r="BS315" s="564">
        <f t="shared" si="106"/>
        <v>3714112</v>
      </c>
      <c r="BT315" s="564">
        <f t="shared" si="106"/>
        <v>363565</v>
      </c>
      <c r="BU315" s="564">
        <f t="shared" si="106"/>
        <v>339423</v>
      </c>
      <c r="BV315" s="564">
        <f t="shared" si="106"/>
        <v>223442</v>
      </c>
      <c r="BW315" s="564">
        <f t="shared" si="106"/>
        <v>433945</v>
      </c>
      <c r="BX315" s="564">
        <f t="shared" si="106"/>
        <v>0</v>
      </c>
      <c r="BY315" s="564">
        <f t="shared" si="106"/>
        <v>0</v>
      </c>
      <c r="BZ315" s="564">
        <f t="shared" si="106"/>
        <v>3247241</v>
      </c>
      <c r="CA315" s="564">
        <f t="shared" si="106"/>
        <v>8446</v>
      </c>
      <c r="CB315" s="564">
        <f t="shared" si="106"/>
        <v>0</v>
      </c>
      <c r="CC315" s="564">
        <f t="shared" si="106"/>
        <v>2660277</v>
      </c>
      <c r="CD315" s="564">
        <f t="shared" si="106"/>
        <v>57514079</v>
      </c>
      <c r="CE315" s="564">
        <f t="shared" si="106"/>
        <v>19653339</v>
      </c>
      <c r="CF315" s="564">
        <f t="shared" si="106"/>
        <v>52581</v>
      </c>
      <c r="CG315" s="564">
        <f t="shared" si="106"/>
        <v>283880</v>
      </c>
      <c r="CH315" s="564">
        <f t="shared" si="106"/>
        <v>58280</v>
      </c>
      <c r="CI315" s="564">
        <f t="shared" si="106"/>
        <v>228011</v>
      </c>
      <c r="CJ315" s="564">
        <f t="shared" si="106"/>
        <v>84443913</v>
      </c>
      <c r="CK315" s="564">
        <f t="shared" si="106"/>
        <v>3829543</v>
      </c>
      <c r="CL315" s="564">
        <f t="shared" si="106"/>
        <v>204056</v>
      </c>
      <c r="CM315" s="564">
        <f t="shared" si="106"/>
        <v>604657</v>
      </c>
      <c r="CN315" s="564">
        <f t="shared" si="106"/>
        <v>132059</v>
      </c>
      <c r="CO315" s="564">
        <f t="shared" si="106"/>
        <v>1480656</v>
      </c>
      <c r="CP315" s="564">
        <f t="shared" si="106"/>
        <v>676895</v>
      </c>
      <c r="CQ315" s="564">
        <f t="shared" si="106"/>
        <v>503182</v>
      </c>
      <c r="CR315" s="564">
        <f t="shared" si="106"/>
        <v>386903</v>
      </c>
      <c r="CS315" s="564">
        <f t="shared" si="106"/>
        <v>2236679</v>
      </c>
      <c r="CT315" s="564">
        <f t="shared" si="106"/>
        <v>0</v>
      </c>
      <c r="CU315" s="564">
        <f t="shared" si="106"/>
        <v>0</v>
      </c>
      <c r="CV315" s="564">
        <f t="shared" si="106"/>
        <v>0</v>
      </c>
      <c r="CW315" s="564">
        <f t="shared" si="106"/>
        <v>0</v>
      </c>
      <c r="CX315" s="564">
        <f t="shared" si="106"/>
        <v>0</v>
      </c>
      <c r="CY315" s="564">
        <f t="shared" si="106"/>
        <v>0</v>
      </c>
      <c r="CZ315" s="564">
        <f t="shared" si="106"/>
        <v>0</v>
      </c>
    </row>
    <row r="316" spans="1:104" x14ac:dyDescent="0.3">
      <c r="A316" s="563">
        <v>338</v>
      </c>
      <c r="B316" s="180"/>
      <c r="C316" s="180">
        <v>60</v>
      </c>
      <c r="D316" s="569">
        <f t="shared" ref="D316:AI316" si="107">D60</f>
        <v>73462</v>
      </c>
      <c r="E316" s="569">
        <f t="shared" si="107"/>
        <v>3078649</v>
      </c>
      <c r="F316" s="569">
        <f t="shared" si="107"/>
        <v>3100115</v>
      </c>
      <c r="G316" s="569">
        <f t="shared" si="107"/>
        <v>55790</v>
      </c>
      <c r="H316" s="569">
        <f t="shared" si="107"/>
        <v>4670648</v>
      </c>
      <c r="I316" s="569">
        <f t="shared" si="107"/>
        <v>428260</v>
      </c>
      <c r="J316" s="569">
        <f t="shared" si="107"/>
        <v>3186820</v>
      </c>
      <c r="K316" s="569">
        <f t="shared" si="107"/>
        <v>0</v>
      </c>
      <c r="L316" s="569">
        <f t="shared" si="107"/>
        <v>425625</v>
      </c>
      <c r="M316" s="569">
        <f t="shared" si="107"/>
        <v>26325866</v>
      </c>
      <c r="N316" s="569">
        <f t="shared" si="107"/>
        <v>0</v>
      </c>
      <c r="O316" s="569">
        <f t="shared" si="107"/>
        <v>383066</v>
      </c>
      <c r="P316" s="569">
        <f t="shared" si="107"/>
        <v>373557</v>
      </c>
      <c r="Q316" s="569">
        <f t="shared" si="107"/>
        <v>1091897</v>
      </c>
      <c r="R316" s="569">
        <f t="shared" si="107"/>
        <v>0</v>
      </c>
      <c r="S316" s="569">
        <f t="shared" si="107"/>
        <v>26222</v>
      </c>
      <c r="T316" s="569">
        <f t="shared" si="107"/>
        <v>1488525</v>
      </c>
      <c r="U316" s="569">
        <f t="shared" si="107"/>
        <v>1270642</v>
      </c>
      <c r="V316" s="569">
        <f t="shared" si="107"/>
        <v>10871083</v>
      </c>
      <c r="W316" s="569">
        <f t="shared" si="107"/>
        <v>5401500</v>
      </c>
      <c r="X316" s="569">
        <f t="shared" si="107"/>
        <v>10737445</v>
      </c>
      <c r="Y316" s="569">
        <f t="shared" si="107"/>
        <v>16662</v>
      </c>
      <c r="Z316" s="569">
        <f t="shared" si="107"/>
        <v>3461191</v>
      </c>
      <c r="AA316" s="569">
        <f t="shared" si="107"/>
        <v>4285238</v>
      </c>
      <c r="AB316" s="569">
        <f t="shared" si="107"/>
        <v>8691</v>
      </c>
      <c r="AC316" s="569">
        <f t="shared" si="107"/>
        <v>28881437</v>
      </c>
      <c r="AD316" s="569">
        <f t="shared" si="107"/>
        <v>0</v>
      </c>
      <c r="AE316" s="569">
        <f t="shared" si="107"/>
        <v>446482</v>
      </c>
      <c r="AF316" s="569">
        <f t="shared" si="107"/>
        <v>29327</v>
      </c>
      <c r="AG316" s="569">
        <f t="shared" si="107"/>
        <v>45559883</v>
      </c>
      <c r="AH316" s="569">
        <f t="shared" si="107"/>
        <v>201750</v>
      </c>
      <c r="AI316" s="569">
        <f t="shared" si="107"/>
        <v>2420884</v>
      </c>
      <c r="AJ316" s="569">
        <f t="shared" ref="AJ316:BO316" si="108">AJ60</f>
        <v>1485384</v>
      </c>
      <c r="AK316" s="569">
        <f t="shared" si="108"/>
        <v>442110</v>
      </c>
      <c r="AL316" s="569">
        <f t="shared" si="108"/>
        <v>1266633</v>
      </c>
      <c r="AM316" s="569">
        <f t="shared" si="108"/>
        <v>5680542</v>
      </c>
      <c r="AN316" s="569">
        <f t="shared" si="108"/>
        <v>2925755</v>
      </c>
      <c r="AO316" s="569">
        <f t="shared" si="108"/>
        <v>1233075</v>
      </c>
      <c r="AP316" s="569">
        <f t="shared" si="108"/>
        <v>57615</v>
      </c>
      <c r="AQ316" s="569">
        <f t="shared" si="108"/>
        <v>56119</v>
      </c>
      <c r="AR316" s="569">
        <f t="shared" si="108"/>
        <v>6052849</v>
      </c>
      <c r="AS316" s="569">
        <f t="shared" si="108"/>
        <v>418603</v>
      </c>
      <c r="AT316" s="569">
        <f t="shared" si="108"/>
        <v>99691</v>
      </c>
      <c r="AU316" s="569">
        <f t="shared" si="108"/>
        <v>143012</v>
      </c>
      <c r="AV316" s="569">
        <f t="shared" si="108"/>
        <v>819547</v>
      </c>
      <c r="AW316" s="569">
        <f t="shared" si="108"/>
        <v>37827</v>
      </c>
      <c r="AX316" s="569">
        <f t="shared" si="108"/>
        <v>449904</v>
      </c>
      <c r="AY316" s="569">
        <f t="shared" si="108"/>
        <v>10806278</v>
      </c>
      <c r="AZ316" s="569">
        <f t="shared" si="108"/>
        <v>660289</v>
      </c>
      <c r="BA316" s="569">
        <f t="shared" si="108"/>
        <v>88422364</v>
      </c>
      <c r="BB316" s="569">
        <f t="shared" si="108"/>
        <v>1050734</v>
      </c>
      <c r="BC316" s="569">
        <f t="shared" si="108"/>
        <v>2914068</v>
      </c>
      <c r="BD316" s="569">
        <f t="shared" si="108"/>
        <v>363630</v>
      </c>
      <c r="BE316" s="569">
        <f t="shared" si="108"/>
        <v>299981</v>
      </c>
      <c r="BF316" s="569">
        <f t="shared" si="108"/>
        <v>391107</v>
      </c>
      <c r="BG316" s="569">
        <f t="shared" si="108"/>
        <v>39212</v>
      </c>
      <c r="BH316" s="569">
        <f t="shared" si="108"/>
        <v>990551</v>
      </c>
      <c r="BI316" s="569">
        <f t="shared" si="108"/>
        <v>2093877</v>
      </c>
      <c r="BJ316" s="569">
        <f t="shared" si="108"/>
        <v>22249294</v>
      </c>
      <c r="BK316" s="569">
        <f t="shared" si="108"/>
        <v>128829</v>
      </c>
      <c r="BL316" s="569">
        <f t="shared" si="108"/>
        <v>0</v>
      </c>
      <c r="BM316" s="569">
        <f t="shared" si="108"/>
        <v>8905642</v>
      </c>
      <c r="BN316" s="569">
        <f t="shared" si="108"/>
        <v>20942255</v>
      </c>
      <c r="BO316" s="569">
        <f t="shared" si="108"/>
        <v>6124276</v>
      </c>
      <c r="BP316" s="569">
        <f t="shared" ref="BP316:CZ316" si="109">BP60</f>
        <v>40810</v>
      </c>
      <c r="BQ316" s="569">
        <f t="shared" si="109"/>
        <v>854785</v>
      </c>
      <c r="BR316" s="569">
        <f t="shared" si="109"/>
        <v>1223419</v>
      </c>
      <c r="BS316" s="569">
        <f t="shared" si="109"/>
        <v>25213509</v>
      </c>
      <c r="BT316" s="569">
        <f t="shared" si="109"/>
        <v>566607</v>
      </c>
      <c r="BU316" s="569">
        <f t="shared" si="109"/>
        <v>378231</v>
      </c>
      <c r="BV316" s="569">
        <f t="shared" si="109"/>
        <v>864214</v>
      </c>
      <c r="BW316" s="569">
        <f t="shared" si="109"/>
        <v>3549750</v>
      </c>
      <c r="BX316" s="569">
        <f t="shared" si="109"/>
        <v>0</v>
      </c>
      <c r="BY316" s="569">
        <f t="shared" si="109"/>
        <v>0</v>
      </c>
      <c r="BZ316" s="569">
        <f t="shared" si="109"/>
        <v>11943420</v>
      </c>
      <c r="CA316" s="569">
        <f t="shared" si="109"/>
        <v>8446</v>
      </c>
      <c r="CB316" s="569">
        <f t="shared" si="109"/>
        <v>0</v>
      </c>
      <c r="CC316" s="569">
        <f t="shared" si="109"/>
        <v>13581522</v>
      </c>
      <c r="CD316" s="569">
        <f t="shared" si="109"/>
        <v>403191647</v>
      </c>
      <c r="CE316" s="569">
        <f t="shared" si="109"/>
        <v>110048173</v>
      </c>
      <c r="CF316" s="569">
        <f t="shared" si="109"/>
        <v>445508</v>
      </c>
      <c r="CG316" s="569">
        <f t="shared" si="109"/>
        <v>3403435</v>
      </c>
      <c r="CH316" s="569">
        <f t="shared" si="109"/>
        <v>295106</v>
      </c>
      <c r="CI316" s="569">
        <f t="shared" si="109"/>
        <v>9058510</v>
      </c>
      <c r="CJ316" s="569">
        <f t="shared" si="109"/>
        <v>567153132</v>
      </c>
      <c r="CK316" s="569">
        <f t="shared" si="109"/>
        <v>11366484</v>
      </c>
      <c r="CL316" s="569">
        <f t="shared" si="109"/>
        <v>459496</v>
      </c>
      <c r="CM316" s="569">
        <f t="shared" si="109"/>
        <v>8206924</v>
      </c>
      <c r="CN316" s="569">
        <f t="shared" si="109"/>
        <v>300472</v>
      </c>
      <c r="CO316" s="569">
        <f t="shared" si="109"/>
        <v>11780455</v>
      </c>
      <c r="CP316" s="569">
        <f t="shared" si="109"/>
        <v>2079384</v>
      </c>
      <c r="CQ316" s="569">
        <f t="shared" si="109"/>
        <v>834828</v>
      </c>
      <c r="CR316" s="569">
        <f t="shared" si="109"/>
        <v>4158491</v>
      </c>
      <c r="CS316" s="569">
        <f t="shared" si="109"/>
        <v>15908261</v>
      </c>
      <c r="CT316" s="569">
        <f t="shared" si="109"/>
        <v>0</v>
      </c>
      <c r="CU316" s="569">
        <f t="shared" si="109"/>
        <v>0</v>
      </c>
      <c r="CV316" s="569">
        <f t="shared" si="109"/>
        <v>0</v>
      </c>
      <c r="CW316" s="569">
        <f t="shared" si="109"/>
        <v>0</v>
      </c>
      <c r="CX316" s="569">
        <f t="shared" si="109"/>
        <v>0</v>
      </c>
      <c r="CY316" s="569">
        <f t="shared" si="109"/>
        <v>0</v>
      </c>
      <c r="CZ316" s="569">
        <f t="shared" si="109"/>
        <v>0</v>
      </c>
    </row>
    <row r="317" spans="1:104" s="180" customFormat="1" x14ac:dyDescent="0.3">
      <c r="A317" s="567">
        <v>620</v>
      </c>
      <c r="C317" s="180">
        <v>166</v>
      </c>
      <c r="D317" s="568">
        <f t="shared" ref="D317:AI317" si="110">D166</f>
        <v>2</v>
      </c>
      <c r="E317" s="568">
        <f t="shared" si="110"/>
        <v>2</v>
      </c>
      <c r="F317" s="568">
        <f t="shared" si="110"/>
        <v>2</v>
      </c>
      <c r="G317" s="568">
        <f t="shared" si="110"/>
        <v>2</v>
      </c>
      <c r="H317" s="568">
        <f t="shared" si="110"/>
        <v>2</v>
      </c>
      <c r="I317" s="568">
        <f t="shared" si="110"/>
        <v>2</v>
      </c>
      <c r="J317" s="568">
        <f t="shared" si="110"/>
        <v>2</v>
      </c>
      <c r="K317" s="568">
        <f t="shared" si="110"/>
        <v>0</v>
      </c>
      <c r="L317" s="568">
        <f t="shared" si="110"/>
        <v>1</v>
      </c>
      <c r="M317" s="568">
        <f t="shared" si="110"/>
        <v>2</v>
      </c>
      <c r="N317" s="568">
        <f t="shared" si="110"/>
        <v>0</v>
      </c>
      <c r="O317" s="568">
        <f t="shared" si="110"/>
        <v>2</v>
      </c>
      <c r="P317" s="568">
        <f t="shared" si="110"/>
        <v>2</v>
      </c>
      <c r="Q317" s="568">
        <f t="shared" si="110"/>
        <v>2</v>
      </c>
      <c r="R317" s="568">
        <f t="shared" si="110"/>
        <v>2</v>
      </c>
      <c r="S317" s="568">
        <f t="shared" si="110"/>
        <v>2</v>
      </c>
      <c r="T317" s="568">
        <f t="shared" si="110"/>
        <v>2</v>
      </c>
      <c r="U317" s="568">
        <f t="shared" si="110"/>
        <v>2</v>
      </c>
      <c r="V317" s="568">
        <f t="shared" si="110"/>
        <v>2</v>
      </c>
      <c r="W317" s="568">
        <f t="shared" si="110"/>
        <v>2</v>
      </c>
      <c r="X317" s="568">
        <f t="shared" si="110"/>
        <v>2</v>
      </c>
      <c r="Y317" s="568">
        <f t="shared" si="110"/>
        <v>2</v>
      </c>
      <c r="Z317" s="568">
        <f t="shared" si="110"/>
        <v>2</v>
      </c>
      <c r="AA317" s="568">
        <f t="shared" si="110"/>
        <v>2</v>
      </c>
      <c r="AB317" s="568">
        <f t="shared" si="110"/>
        <v>2</v>
      </c>
      <c r="AC317" s="568">
        <f t="shared" si="110"/>
        <v>2</v>
      </c>
      <c r="AD317" s="568">
        <f t="shared" si="110"/>
        <v>0</v>
      </c>
      <c r="AE317" s="568">
        <f t="shared" si="110"/>
        <v>2</v>
      </c>
      <c r="AF317" s="568">
        <f t="shared" si="110"/>
        <v>2</v>
      </c>
      <c r="AG317" s="568">
        <f t="shared" si="110"/>
        <v>2</v>
      </c>
      <c r="AH317" s="568">
        <f t="shared" si="110"/>
        <v>2</v>
      </c>
      <c r="AI317" s="568">
        <f t="shared" si="110"/>
        <v>2</v>
      </c>
      <c r="AJ317" s="568">
        <f t="shared" ref="AJ317:BO317" si="111">AJ166</f>
        <v>2</v>
      </c>
      <c r="AK317" s="568">
        <f t="shared" si="111"/>
        <v>2</v>
      </c>
      <c r="AL317" s="568">
        <f t="shared" si="111"/>
        <v>2</v>
      </c>
      <c r="AM317" s="568">
        <f t="shared" si="111"/>
        <v>1</v>
      </c>
      <c r="AN317" s="568">
        <f t="shared" si="111"/>
        <v>2</v>
      </c>
      <c r="AO317" s="568">
        <f t="shared" si="111"/>
        <v>2</v>
      </c>
      <c r="AP317" s="568">
        <f t="shared" si="111"/>
        <v>2</v>
      </c>
      <c r="AQ317" s="568">
        <f t="shared" si="111"/>
        <v>2</v>
      </c>
      <c r="AR317" s="568">
        <f t="shared" si="111"/>
        <v>1</v>
      </c>
      <c r="AS317" s="568">
        <f t="shared" si="111"/>
        <v>2</v>
      </c>
      <c r="AT317" s="568">
        <f t="shared" si="111"/>
        <v>2</v>
      </c>
      <c r="AU317" s="568">
        <f t="shared" si="111"/>
        <v>2</v>
      </c>
      <c r="AV317" s="568">
        <f t="shared" si="111"/>
        <v>2</v>
      </c>
      <c r="AW317" s="568">
        <f t="shared" si="111"/>
        <v>2</v>
      </c>
      <c r="AX317" s="568">
        <f t="shared" si="111"/>
        <v>2</v>
      </c>
      <c r="AY317" s="568">
        <f t="shared" si="111"/>
        <v>1</v>
      </c>
      <c r="AZ317" s="568">
        <f t="shared" si="111"/>
        <v>2</v>
      </c>
      <c r="BA317" s="568">
        <f t="shared" si="111"/>
        <v>1</v>
      </c>
      <c r="BB317" s="568">
        <f t="shared" si="111"/>
        <v>2</v>
      </c>
      <c r="BC317" s="568">
        <f t="shared" si="111"/>
        <v>1</v>
      </c>
      <c r="BD317" s="568">
        <f t="shared" si="111"/>
        <v>2</v>
      </c>
      <c r="BE317" s="568">
        <f t="shared" si="111"/>
        <v>2</v>
      </c>
      <c r="BF317" s="568">
        <f t="shared" si="111"/>
        <v>1</v>
      </c>
      <c r="BG317" s="568">
        <f t="shared" si="111"/>
        <v>2</v>
      </c>
      <c r="BH317" s="568">
        <f t="shared" si="111"/>
        <v>2</v>
      </c>
      <c r="BI317" s="568">
        <f t="shared" si="111"/>
        <v>2</v>
      </c>
      <c r="BJ317" s="568">
        <f t="shared" si="111"/>
        <v>2</v>
      </c>
      <c r="BK317" s="568">
        <f t="shared" si="111"/>
        <v>2</v>
      </c>
      <c r="BL317" s="568">
        <f t="shared" si="111"/>
        <v>2</v>
      </c>
      <c r="BM317" s="568">
        <f t="shared" si="111"/>
        <v>2</v>
      </c>
      <c r="BN317" s="568">
        <f t="shared" si="111"/>
        <v>1</v>
      </c>
      <c r="BO317" s="568">
        <f t="shared" si="111"/>
        <v>2</v>
      </c>
      <c r="BP317" s="568">
        <f t="shared" ref="BP317:CZ317" si="112">BP166</f>
        <v>2</v>
      </c>
      <c r="BQ317" s="568">
        <f t="shared" si="112"/>
        <v>2</v>
      </c>
      <c r="BR317" s="568">
        <f t="shared" si="112"/>
        <v>2</v>
      </c>
      <c r="BS317" s="568">
        <f t="shared" si="112"/>
        <v>1</v>
      </c>
      <c r="BT317" s="568">
        <f t="shared" si="112"/>
        <v>2</v>
      </c>
      <c r="BU317" s="568">
        <f t="shared" si="112"/>
        <v>2</v>
      </c>
      <c r="BV317" s="568">
        <f t="shared" si="112"/>
        <v>2</v>
      </c>
      <c r="BW317" s="568">
        <f t="shared" si="112"/>
        <v>2</v>
      </c>
      <c r="BX317" s="568">
        <f t="shared" si="112"/>
        <v>0</v>
      </c>
      <c r="BY317" s="568">
        <f t="shared" si="112"/>
        <v>0</v>
      </c>
      <c r="BZ317" s="568">
        <f t="shared" si="112"/>
        <v>1</v>
      </c>
      <c r="CA317" s="568">
        <f t="shared" si="112"/>
        <v>2</v>
      </c>
      <c r="CB317" s="568">
        <f t="shared" si="112"/>
        <v>0</v>
      </c>
      <c r="CC317" s="568">
        <f t="shared" si="112"/>
        <v>2</v>
      </c>
      <c r="CD317" s="568">
        <f t="shared" si="112"/>
        <v>1</v>
      </c>
      <c r="CE317" s="568">
        <f t="shared" si="112"/>
        <v>1</v>
      </c>
      <c r="CF317" s="568">
        <f t="shared" si="112"/>
        <v>1</v>
      </c>
      <c r="CG317" s="568">
        <f t="shared" si="112"/>
        <v>2</v>
      </c>
      <c r="CH317" s="568">
        <f t="shared" si="112"/>
        <v>2</v>
      </c>
      <c r="CI317" s="568">
        <f t="shared" si="112"/>
        <v>1</v>
      </c>
      <c r="CJ317" s="568">
        <f t="shared" si="112"/>
        <v>1</v>
      </c>
      <c r="CK317" s="568">
        <f t="shared" si="112"/>
        <v>2</v>
      </c>
      <c r="CL317" s="568">
        <f t="shared" si="112"/>
        <v>2</v>
      </c>
      <c r="CM317" s="568">
        <f t="shared" si="112"/>
        <v>1</v>
      </c>
      <c r="CN317" s="568">
        <f t="shared" si="112"/>
        <v>2</v>
      </c>
      <c r="CO317" s="568">
        <f t="shared" si="112"/>
        <v>2</v>
      </c>
      <c r="CP317" s="568">
        <f t="shared" si="112"/>
        <v>2</v>
      </c>
      <c r="CQ317" s="568">
        <f t="shared" si="112"/>
        <v>2</v>
      </c>
      <c r="CR317" s="568">
        <f t="shared" si="112"/>
        <v>2</v>
      </c>
      <c r="CS317" s="568">
        <f t="shared" si="112"/>
        <v>1</v>
      </c>
      <c r="CT317" s="568">
        <f t="shared" si="112"/>
        <v>0</v>
      </c>
      <c r="CU317" s="568">
        <f t="shared" si="112"/>
        <v>0</v>
      </c>
      <c r="CV317" s="568">
        <f t="shared" si="112"/>
        <v>0</v>
      </c>
      <c r="CW317" s="568">
        <f t="shared" si="112"/>
        <v>0</v>
      </c>
      <c r="CX317" s="568">
        <f t="shared" si="112"/>
        <v>0</v>
      </c>
      <c r="CY317" s="568">
        <f t="shared" si="112"/>
        <v>0</v>
      </c>
      <c r="CZ317" s="568">
        <f t="shared" si="112"/>
        <v>0</v>
      </c>
    </row>
    <row r="318" spans="1:104" s="180" customFormat="1" x14ac:dyDescent="0.3">
      <c r="A318" s="155">
        <v>545</v>
      </c>
      <c r="C318" s="180">
        <v>142</v>
      </c>
      <c r="D318" s="568">
        <f t="shared" ref="D318:AI318" si="113">D142</f>
        <v>0</v>
      </c>
      <c r="E318" s="568">
        <f t="shared" si="113"/>
        <v>0</v>
      </c>
      <c r="F318" s="568">
        <f t="shared" si="113"/>
        <v>0</v>
      </c>
      <c r="G318" s="568">
        <f t="shared" si="113"/>
        <v>0</v>
      </c>
      <c r="H318" s="568">
        <f t="shared" si="113"/>
        <v>0</v>
      </c>
      <c r="I318" s="568">
        <f t="shared" si="113"/>
        <v>0</v>
      </c>
      <c r="J318" s="568">
        <f t="shared" si="113"/>
        <v>0</v>
      </c>
      <c r="K318" s="568">
        <f t="shared" si="113"/>
        <v>0</v>
      </c>
      <c r="L318" s="568">
        <f t="shared" si="113"/>
        <v>0</v>
      </c>
      <c r="M318" s="568">
        <f t="shared" si="113"/>
        <v>0</v>
      </c>
      <c r="N318" s="568">
        <f t="shared" si="113"/>
        <v>0</v>
      </c>
      <c r="O318" s="568">
        <f t="shared" si="113"/>
        <v>0</v>
      </c>
      <c r="P318" s="568">
        <f t="shared" si="113"/>
        <v>0</v>
      </c>
      <c r="Q318" s="568">
        <f t="shared" si="113"/>
        <v>0</v>
      </c>
      <c r="R318" s="568">
        <f t="shared" si="113"/>
        <v>0</v>
      </c>
      <c r="S318" s="568">
        <f t="shared" si="113"/>
        <v>0</v>
      </c>
      <c r="T318" s="568">
        <f t="shared" si="113"/>
        <v>0</v>
      </c>
      <c r="U318" s="568">
        <f t="shared" si="113"/>
        <v>0</v>
      </c>
      <c r="V318" s="568">
        <f t="shared" si="113"/>
        <v>0</v>
      </c>
      <c r="W318" s="568">
        <f t="shared" si="113"/>
        <v>0</v>
      </c>
      <c r="X318" s="568">
        <f t="shared" si="113"/>
        <v>0</v>
      </c>
      <c r="Y318" s="568">
        <f t="shared" si="113"/>
        <v>0</v>
      </c>
      <c r="Z318" s="568">
        <f t="shared" si="113"/>
        <v>0</v>
      </c>
      <c r="AA318" s="568">
        <f t="shared" si="113"/>
        <v>0</v>
      </c>
      <c r="AB318" s="568">
        <f t="shared" si="113"/>
        <v>0</v>
      </c>
      <c r="AC318" s="568">
        <f t="shared" si="113"/>
        <v>0</v>
      </c>
      <c r="AD318" s="568">
        <f t="shared" si="113"/>
        <v>0</v>
      </c>
      <c r="AE318" s="568">
        <f t="shared" si="113"/>
        <v>0</v>
      </c>
      <c r="AF318" s="568">
        <f t="shared" si="113"/>
        <v>0</v>
      </c>
      <c r="AG318" s="568">
        <f t="shared" si="113"/>
        <v>0</v>
      </c>
      <c r="AH318" s="568">
        <f t="shared" si="113"/>
        <v>0</v>
      </c>
      <c r="AI318" s="568">
        <f t="shared" si="113"/>
        <v>0.03</v>
      </c>
      <c r="AJ318" s="568">
        <f t="shared" ref="AJ318:BO318" si="114">AJ142</f>
        <v>0</v>
      </c>
      <c r="AK318" s="568">
        <f t="shared" si="114"/>
        <v>0</v>
      </c>
      <c r="AL318" s="568">
        <f t="shared" si="114"/>
        <v>0</v>
      </c>
      <c r="AM318" s="568">
        <f t="shared" si="114"/>
        <v>0</v>
      </c>
      <c r="AN318" s="568">
        <f t="shared" si="114"/>
        <v>0</v>
      </c>
      <c r="AO318" s="568">
        <f t="shared" si="114"/>
        <v>0</v>
      </c>
      <c r="AP318" s="568">
        <f t="shared" si="114"/>
        <v>0.32</v>
      </c>
      <c r="AQ318" s="568">
        <f t="shared" si="114"/>
        <v>0</v>
      </c>
      <c r="AR318" s="568">
        <f t="shared" si="114"/>
        <v>0</v>
      </c>
      <c r="AS318" s="568">
        <f t="shared" si="114"/>
        <v>0</v>
      </c>
      <c r="AT318" s="568">
        <f t="shared" si="114"/>
        <v>0</v>
      </c>
      <c r="AU318" s="568">
        <f t="shared" si="114"/>
        <v>0</v>
      </c>
      <c r="AV318" s="568">
        <f t="shared" si="114"/>
        <v>0</v>
      </c>
      <c r="AW318" s="568">
        <f t="shared" si="114"/>
        <v>0</v>
      </c>
      <c r="AX318" s="568">
        <f t="shared" si="114"/>
        <v>0</v>
      </c>
      <c r="AY318" s="568">
        <f t="shared" si="114"/>
        <v>0</v>
      </c>
      <c r="AZ318" s="568">
        <f t="shared" si="114"/>
        <v>0</v>
      </c>
      <c r="BA318" s="568">
        <f t="shared" si="114"/>
        <v>0</v>
      </c>
      <c r="BB318" s="568">
        <f t="shared" si="114"/>
        <v>0</v>
      </c>
      <c r="BC318" s="568">
        <f t="shared" si="114"/>
        <v>0</v>
      </c>
      <c r="BD318" s="568">
        <f t="shared" si="114"/>
        <v>0</v>
      </c>
      <c r="BE318" s="568">
        <f t="shared" si="114"/>
        <v>0</v>
      </c>
      <c r="BF318" s="568">
        <f t="shared" si="114"/>
        <v>0</v>
      </c>
      <c r="BG318" s="568">
        <f t="shared" si="114"/>
        <v>0</v>
      </c>
      <c r="BH318" s="568">
        <f t="shared" si="114"/>
        <v>0</v>
      </c>
      <c r="BI318" s="568">
        <f t="shared" si="114"/>
        <v>0</v>
      </c>
      <c r="BJ318" s="568">
        <f t="shared" si="114"/>
        <v>0.05</v>
      </c>
      <c r="BK318" s="568">
        <f t="shared" si="114"/>
        <v>0</v>
      </c>
      <c r="BL318" s="568">
        <f t="shared" si="114"/>
        <v>0</v>
      </c>
      <c r="BM318" s="568">
        <f t="shared" si="114"/>
        <v>0</v>
      </c>
      <c r="BN318" s="568">
        <f t="shared" si="114"/>
        <v>0</v>
      </c>
      <c r="BO318" s="568">
        <f t="shared" si="114"/>
        <v>-0.03</v>
      </c>
      <c r="BP318" s="568">
        <f t="shared" ref="BP318:CZ318" si="115">BP142</f>
        <v>0</v>
      </c>
      <c r="BQ318" s="568">
        <f t="shared" si="115"/>
        <v>0</v>
      </c>
      <c r="BR318" s="568">
        <f t="shared" si="115"/>
        <v>0</v>
      </c>
      <c r="BS318" s="568">
        <f t="shared" si="115"/>
        <v>0</v>
      </c>
      <c r="BT318" s="568">
        <f t="shared" si="115"/>
        <v>0</v>
      </c>
      <c r="BU318" s="568">
        <f t="shared" si="115"/>
        <v>0</v>
      </c>
      <c r="BV318" s="568">
        <f t="shared" si="115"/>
        <v>0</v>
      </c>
      <c r="BW318" s="568">
        <f t="shared" si="115"/>
        <v>0</v>
      </c>
      <c r="BX318" s="568">
        <f t="shared" si="115"/>
        <v>0</v>
      </c>
      <c r="BY318" s="568">
        <f t="shared" si="115"/>
        <v>0</v>
      </c>
      <c r="BZ318" s="568">
        <f t="shared" si="115"/>
        <v>0</v>
      </c>
      <c r="CA318" s="568">
        <f t="shared" si="115"/>
        <v>0</v>
      </c>
      <c r="CB318" s="568">
        <f t="shared" si="115"/>
        <v>0</v>
      </c>
      <c r="CC318" s="568">
        <f t="shared" si="115"/>
        <v>0</v>
      </c>
      <c r="CD318" s="568">
        <f t="shared" si="115"/>
        <v>1.4200000000000001E-2</v>
      </c>
      <c r="CE318" s="568">
        <f t="shared" si="115"/>
        <v>0</v>
      </c>
      <c r="CF318" s="568">
        <f t="shared" si="115"/>
        <v>0</v>
      </c>
      <c r="CG318" s="568">
        <f t="shared" si="115"/>
        <v>0</v>
      </c>
      <c r="CH318" s="568">
        <f t="shared" si="115"/>
        <v>0</v>
      </c>
      <c r="CI318" s="568">
        <f t="shared" si="115"/>
        <v>0</v>
      </c>
      <c r="CJ318" s="568">
        <f t="shared" si="115"/>
        <v>2.36</v>
      </c>
      <c r="CK318" s="568">
        <f t="shared" si="115"/>
        <v>0</v>
      </c>
      <c r="CL318" s="568">
        <f t="shared" si="115"/>
        <v>0</v>
      </c>
      <c r="CM318" s="568">
        <f t="shared" si="115"/>
        <v>0</v>
      </c>
      <c r="CN318" s="568">
        <f t="shared" si="115"/>
        <v>0</v>
      </c>
      <c r="CO318" s="568">
        <f t="shared" si="115"/>
        <v>0</v>
      </c>
      <c r="CP318" s="568">
        <f t="shared" si="115"/>
        <v>0</v>
      </c>
      <c r="CQ318" s="568">
        <f t="shared" si="115"/>
        <v>0</v>
      </c>
      <c r="CR318" s="568">
        <f t="shared" si="115"/>
        <v>0</v>
      </c>
      <c r="CS318" s="568">
        <f t="shared" si="115"/>
        <v>0</v>
      </c>
      <c r="CT318" s="568">
        <f t="shared" si="115"/>
        <v>0</v>
      </c>
      <c r="CU318" s="568">
        <f t="shared" si="115"/>
        <v>0</v>
      </c>
      <c r="CV318" s="568">
        <f t="shared" si="115"/>
        <v>0</v>
      </c>
      <c r="CW318" s="568">
        <f t="shared" si="115"/>
        <v>0</v>
      </c>
      <c r="CX318" s="568">
        <f t="shared" si="115"/>
        <v>0</v>
      </c>
      <c r="CY318" s="568">
        <f t="shared" si="115"/>
        <v>0</v>
      </c>
      <c r="CZ318" s="568">
        <f t="shared" si="115"/>
        <v>0</v>
      </c>
    </row>
    <row r="319" spans="1:104" s="180" customFormat="1" x14ac:dyDescent="0.3">
      <c r="A319" s="567">
        <v>624</v>
      </c>
      <c r="C319" s="180">
        <v>169</v>
      </c>
      <c r="D319" s="568">
        <f t="shared" ref="D319:AI319" si="116">D169</f>
        <v>2</v>
      </c>
      <c r="E319" s="568">
        <f t="shared" si="116"/>
        <v>2</v>
      </c>
      <c r="F319" s="568">
        <f t="shared" si="116"/>
        <v>2</v>
      </c>
      <c r="G319" s="568">
        <f t="shared" si="116"/>
        <v>1</v>
      </c>
      <c r="H319" s="568">
        <f t="shared" si="116"/>
        <v>1</v>
      </c>
      <c r="I319" s="568">
        <f t="shared" si="116"/>
        <v>1</v>
      </c>
      <c r="J319" s="568">
        <f t="shared" si="116"/>
        <v>2</v>
      </c>
      <c r="K319" s="568">
        <f t="shared" si="116"/>
        <v>0</v>
      </c>
      <c r="L319" s="568">
        <f t="shared" si="116"/>
        <v>1</v>
      </c>
      <c r="M319" s="568">
        <f t="shared" si="116"/>
        <v>1</v>
      </c>
      <c r="N319" s="568">
        <f t="shared" si="116"/>
        <v>0</v>
      </c>
      <c r="O319" s="568">
        <f t="shared" si="116"/>
        <v>1</v>
      </c>
      <c r="P319" s="568">
        <f t="shared" si="116"/>
        <v>2</v>
      </c>
      <c r="Q319" s="568">
        <f t="shared" si="116"/>
        <v>1</v>
      </c>
      <c r="R319" s="568">
        <f t="shared" si="116"/>
        <v>1</v>
      </c>
      <c r="S319" s="568">
        <f t="shared" si="116"/>
        <v>1</v>
      </c>
      <c r="T319" s="568">
        <f t="shared" si="116"/>
        <v>0</v>
      </c>
      <c r="U319" s="568">
        <f t="shared" si="116"/>
        <v>1</v>
      </c>
      <c r="V319" s="568">
        <f t="shared" si="116"/>
        <v>1</v>
      </c>
      <c r="W319" s="568">
        <f t="shared" si="116"/>
        <v>1</v>
      </c>
      <c r="X319" s="568">
        <f t="shared" si="116"/>
        <v>1</v>
      </c>
      <c r="Y319" s="568">
        <f t="shared" si="116"/>
        <v>2</v>
      </c>
      <c r="Z319" s="568">
        <f t="shared" si="116"/>
        <v>2</v>
      </c>
      <c r="AA319" s="568">
        <f t="shared" si="116"/>
        <v>1</v>
      </c>
      <c r="AB319" s="568">
        <f t="shared" si="116"/>
        <v>2</v>
      </c>
      <c r="AC319" s="568">
        <f t="shared" si="116"/>
        <v>2</v>
      </c>
      <c r="AD319" s="568">
        <f t="shared" si="116"/>
        <v>0</v>
      </c>
      <c r="AE319" s="568">
        <f t="shared" si="116"/>
        <v>1</v>
      </c>
      <c r="AF319" s="568">
        <f t="shared" si="116"/>
        <v>1</v>
      </c>
      <c r="AG319" s="568">
        <f t="shared" si="116"/>
        <v>2</v>
      </c>
      <c r="AH319" s="568">
        <f t="shared" si="116"/>
        <v>1</v>
      </c>
      <c r="AI319" s="568">
        <f t="shared" si="116"/>
        <v>2</v>
      </c>
      <c r="AJ319" s="568">
        <f t="shared" ref="AJ319:BO319" si="117">AJ169</f>
        <v>1</v>
      </c>
      <c r="AK319" s="568">
        <f t="shared" si="117"/>
        <v>1</v>
      </c>
      <c r="AL319" s="568">
        <f t="shared" si="117"/>
        <v>1</v>
      </c>
      <c r="AM319" s="568">
        <f t="shared" si="117"/>
        <v>0</v>
      </c>
      <c r="AN319" s="568">
        <f t="shared" si="117"/>
        <v>2</v>
      </c>
      <c r="AO319" s="568">
        <f t="shared" si="117"/>
        <v>1</v>
      </c>
      <c r="AP319" s="568">
        <f t="shared" si="117"/>
        <v>1</v>
      </c>
      <c r="AQ319" s="568">
        <f t="shared" si="117"/>
        <v>2</v>
      </c>
      <c r="AR319" s="568">
        <f t="shared" si="117"/>
        <v>2</v>
      </c>
      <c r="AS319" s="568">
        <f t="shared" si="117"/>
        <v>1</v>
      </c>
      <c r="AT319" s="568">
        <f t="shared" si="117"/>
        <v>1</v>
      </c>
      <c r="AU319" s="568">
        <f t="shared" si="117"/>
        <v>1</v>
      </c>
      <c r="AV319" s="568">
        <f t="shared" si="117"/>
        <v>1</v>
      </c>
      <c r="AW319" s="568">
        <f t="shared" si="117"/>
        <v>0</v>
      </c>
      <c r="AX319" s="568">
        <f t="shared" si="117"/>
        <v>1</v>
      </c>
      <c r="AY319" s="568">
        <f t="shared" si="117"/>
        <v>1</v>
      </c>
      <c r="AZ319" s="568">
        <f t="shared" si="117"/>
        <v>1</v>
      </c>
      <c r="BA319" s="568">
        <f t="shared" si="117"/>
        <v>1</v>
      </c>
      <c r="BB319" s="568">
        <f t="shared" si="117"/>
        <v>1</v>
      </c>
      <c r="BC319" s="568">
        <f t="shared" si="117"/>
        <v>2</v>
      </c>
      <c r="BD319" s="568">
        <f t="shared" si="117"/>
        <v>1</v>
      </c>
      <c r="BE319" s="568">
        <f t="shared" si="117"/>
        <v>1</v>
      </c>
      <c r="BF319" s="568">
        <f t="shared" si="117"/>
        <v>1</v>
      </c>
      <c r="BG319" s="568">
        <f t="shared" si="117"/>
        <v>1</v>
      </c>
      <c r="BH319" s="568">
        <f t="shared" si="117"/>
        <v>1</v>
      </c>
      <c r="BI319" s="568">
        <f t="shared" si="117"/>
        <v>1</v>
      </c>
      <c r="BJ319" s="568">
        <f t="shared" si="117"/>
        <v>1</v>
      </c>
      <c r="BK319" s="568">
        <f t="shared" si="117"/>
        <v>1</v>
      </c>
      <c r="BL319" s="568">
        <f t="shared" si="117"/>
        <v>2</v>
      </c>
      <c r="BM319" s="568">
        <f t="shared" si="117"/>
        <v>2</v>
      </c>
      <c r="BN319" s="568">
        <f t="shared" si="117"/>
        <v>1</v>
      </c>
      <c r="BO319" s="568">
        <f t="shared" si="117"/>
        <v>1</v>
      </c>
      <c r="BP319" s="568">
        <f t="shared" ref="BP319:CZ319" si="118">BP169</f>
        <v>1</v>
      </c>
      <c r="BQ319" s="568">
        <f t="shared" si="118"/>
        <v>2</v>
      </c>
      <c r="BR319" s="568">
        <f t="shared" si="118"/>
        <v>1</v>
      </c>
      <c r="BS319" s="568">
        <f t="shared" si="118"/>
        <v>1</v>
      </c>
      <c r="BT319" s="568">
        <f t="shared" si="118"/>
        <v>2</v>
      </c>
      <c r="BU319" s="568">
        <f t="shared" si="118"/>
        <v>1</v>
      </c>
      <c r="BV319" s="568">
        <f t="shared" si="118"/>
        <v>2</v>
      </c>
      <c r="BW319" s="568">
        <f t="shared" si="118"/>
        <v>2</v>
      </c>
      <c r="BX319" s="568">
        <f t="shared" si="118"/>
        <v>0</v>
      </c>
      <c r="BY319" s="568">
        <f t="shared" si="118"/>
        <v>0</v>
      </c>
      <c r="BZ319" s="568">
        <f t="shared" si="118"/>
        <v>1</v>
      </c>
      <c r="CA319" s="568">
        <f t="shared" si="118"/>
        <v>1</v>
      </c>
      <c r="CB319" s="568">
        <f t="shared" si="118"/>
        <v>0</v>
      </c>
      <c r="CC319" s="568">
        <f t="shared" si="118"/>
        <v>2</v>
      </c>
      <c r="CD319" s="568">
        <f t="shared" si="118"/>
        <v>1</v>
      </c>
      <c r="CE319" s="568">
        <f t="shared" si="118"/>
        <v>1</v>
      </c>
      <c r="CF319" s="568">
        <f t="shared" si="118"/>
        <v>1</v>
      </c>
      <c r="CG319" s="568">
        <f t="shared" si="118"/>
        <v>0</v>
      </c>
      <c r="CH319" s="568">
        <f t="shared" si="118"/>
        <v>2</v>
      </c>
      <c r="CI319" s="568">
        <f t="shared" si="118"/>
        <v>1</v>
      </c>
      <c r="CJ319" s="568">
        <f t="shared" si="118"/>
        <v>1</v>
      </c>
      <c r="CK319" s="568">
        <f t="shared" si="118"/>
        <v>2</v>
      </c>
      <c r="CL319" s="568">
        <f t="shared" si="118"/>
        <v>1</v>
      </c>
      <c r="CM319" s="568">
        <f t="shared" si="118"/>
        <v>1</v>
      </c>
      <c r="CN319" s="568">
        <f t="shared" si="118"/>
        <v>1</v>
      </c>
      <c r="CO319" s="568">
        <f t="shared" si="118"/>
        <v>1</v>
      </c>
      <c r="CP319" s="568">
        <f t="shared" si="118"/>
        <v>1</v>
      </c>
      <c r="CQ319" s="568">
        <f t="shared" si="118"/>
        <v>2</v>
      </c>
      <c r="CR319" s="568">
        <f t="shared" si="118"/>
        <v>2</v>
      </c>
      <c r="CS319" s="568">
        <f t="shared" si="118"/>
        <v>1</v>
      </c>
      <c r="CT319" s="568">
        <f t="shared" si="118"/>
        <v>0</v>
      </c>
      <c r="CU319" s="568">
        <f t="shared" si="118"/>
        <v>0</v>
      </c>
      <c r="CV319" s="568">
        <f t="shared" si="118"/>
        <v>0</v>
      </c>
      <c r="CW319" s="568">
        <f t="shared" si="118"/>
        <v>0</v>
      </c>
      <c r="CX319" s="568">
        <f t="shared" si="118"/>
        <v>0</v>
      </c>
      <c r="CY319" s="568">
        <f t="shared" si="118"/>
        <v>0</v>
      </c>
      <c r="CZ319" s="568">
        <f t="shared" si="118"/>
        <v>0</v>
      </c>
    </row>
    <row r="320" spans="1:104" s="180" customFormat="1" x14ac:dyDescent="0.3">
      <c r="A320" s="567">
        <v>577</v>
      </c>
      <c r="C320" s="180">
        <v>150</v>
      </c>
      <c r="D320" s="568">
        <f t="shared" ref="D320:AI320" si="119">D150</f>
        <v>2</v>
      </c>
      <c r="E320" s="568">
        <f t="shared" si="119"/>
        <v>0</v>
      </c>
      <c r="F320" s="568">
        <f t="shared" si="119"/>
        <v>2</v>
      </c>
      <c r="G320" s="568">
        <f t="shared" si="119"/>
        <v>0</v>
      </c>
      <c r="H320" s="568">
        <f t="shared" si="119"/>
        <v>2</v>
      </c>
      <c r="I320" s="568">
        <f t="shared" si="119"/>
        <v>2</v>
      </c>
      <c r="J320" s="568">
        <f t="shared" si="119"/>
        <v>1</v>
      </c>
      <c r="K320" s="568">
        <f t="shared" si="119"/>
        <v>0</v>
      </c>
      <c r="L320" s="568">
        <f t="shared" si="119"/>
        <v>2</v>
      </c>
      <c r="M320" s="568">
        <f t="shared" si="119"/>
        <v>2</v>
      </c>
      <c r="N320" s="568">
        <f t="shared" si="119"/>
        <v>0</v>
      </c>
      <c r="O320" s="568">
        <f t="shared" si="119"/>
        <v>0</v>
      </c>
      <c r="P320" s="568">
        <f t="shared" si="119"/>
        <v>2</v>
      </c>
      <c r="Q320" s="568">
        <f t="shared" si="119"/>
        <v>1</v>
      </c>
      <c r="R320" s="568">
        <f t="shared" si="119"/>
        <v>2</v>
      </c>
      <c r="S320" s="568">
        <f t="shared" si="119"/>
        <v>2</v>
      </c>
      <c r="T320" s="568">
        <f t="shared" si="119"/>
        <v>2</v>
      </c>
      <c r="U320" s="568">
        <f t="shared" si="119"/>
        <v>2</v>
      </c>
      <c r="V320" s="568">
        <f t="shared" si="119"/>
        <v>2</v>
      </c>
      <c r="W320" s="568">
        <f t="shared" si="119"/>
        <v>2</v>
      </c>
      <c r="X320" s="568">
        <f t="shared" si="119"/>
        <v>2</v>
      </c>
      <c r="Y320" s="568">
        <f t="shared" si="119"/>
        <v>2</v>
      </c>
      <c r="Z320" s="568">
        <f t="shared" si="119"/>
        <v>2</v>
      </c>
      <c r="AA320" s="568">
        <f t="shared" si="119"/>
        <v>2</v>
      </c>
      <c r="AB320" s="568">
        <f t="shared" si="119"/>
        <v>2</v>
      </c>
      <c r="AC320" s="568">
        <f t="shared" si="119"/>
        <v>2</v>
      </c>
      <c r="AD320" s="568">
        <f t="shared" si="119"/>
        <v>0</v>
      </c>
      <c r="AE320" s="568">
        <f t="shared" si="119"/>
        <v>1</v>
      </c>
      <c r="AF320" s="568">
        <f t="shared" si="119"/>
        <v>2</v>
      </c>
      <c r="AG320" s="568">
        <f t="shared" si="119"/>
        <v>2</v>
      </c>
      <c r="AH320" s="568">
        <f t="shared" si="119"/>
        <v>2</v>
      </c>
      <c r="AI320" s="568">
        <f t="shared" si="119"/>
        <v>2</v>
      </c>
      <c r="AJ320" s="568">
        <f t="shared" ref="AJ320:BO320" si="120">AJ150</f>
        <v>0</v>
      </c>
      <c r="AK320" s="568">
        <f t="shared" si="120"/>
        <v>2</v>
      </c>
      <c r="AL320" s="568">
        <f t="shared" si="120"/>
        <v>2</v>
      </c>
      <c r="AM320" s="568">
        <f t="shared" si="120"/>
        <v>2</v>
      </c>
      <c r="AN320" s="568">
        <f t="shared" si="120"/>
        <v>2</v>
      </c>
      <c r="AO320" s="568">
        <f t="shared" si="120"/>
        <v>2</v>
      </c>
      <c r="AP320" s="568">
        <f t="shared" si="120"/>
        <v>2</v>
      </c>
      <c r="AQ320" s="568">
        <f t="shared" si="120"/>
        <v>2</v>
      </c>
      <c r="AR320" s="568">
        <f t="shared" si="120"/>
        <v>2</v>
      </c>
      <c r="AS320" s="568">
        <f t="shared" si="120"/>
        <v>1</v>
      </c>
      <c r="AT320" s="568">
        <f t="shared" si="120"/>
        <v>2</v>
      </c>
      <c r="AU320" s="568">
        <f t="shared" si="120"/>
        <v>2</v>
      </c>
      <c r="AV320" s="568">
        <f t="shared" si="120"/>
        <v>0</v>
      </c>
      <c r="AW320" s="568">
        <f t="shared" si="120"/>
        <v>0</v>
      </c>
      <c r="AX320" s="568">
        <f t="shared" si="120"/>
        <v>2</v>
      </c>
      <c r="AY320" s="568">
        <f t="shared" si="120"/>
        <v>2</v>
      </c>
      <c r="AZ320" s="568">
        <f t="shared" si="120"/>
        <v>2</v>
      </c>
      <c r="BA320" s="568">
        <f t="shared" si="120"/>
        <v>2</v>
      </c>
      <c r="BB320" s="568">
        <f t="shared" si="120"/>
        <v>2</v>
      </c>
      <c r="BC320" s="568">
        <f t="shared" si="120"/>
        <v>2</v>
      </c>
      <c r="BD320" s="568">
        <f t="shared" si="120"/>
        <v>2</v>
      </c>
      <c r="BE320" s="568">
        <f t="shared" si="120"/>
        <v>2</v>
      </c>
      <c r="BF320" s="568">
        <f t="shared" si="120"/>
        <v>2</v>
      </c>
      <c r="BG320" s="568">
        <f t="shared" si="120"/>
        <v>2</v>
      </c>
      <c r="BH320" s="568">
        <f t="shared" si="120"/>
        <v>2</v>
      </c>
      <c r="BI320" s="568">
        <f t="shared" si="120"/>
        <v>2</v>
      </c>
      <c r="BJ320" s="568">
        <f t="shared" si="120"/>
        <v>2</v>
      </c>
      <c r="BK320" s="568">
        <f t="shared" si="120"/>
        <v>2</v>
      </c>
      <c r="BL320" s="568">
        <f t="shared" si="120"/>
        <v>0</v>
      </c>
      <c r="BM320" s="568">
        <f t="shared" si="120"/>
        <v>2</v>
      </c>
      <c r="BN320" s="568">
        <f t="shared" si="120"/>
        <v>2</v>
      </c>
      <c r="BO320" s="568">
        <f t="shared" si="120"/>
        <v>2</v>
      </c>
      <c r="BP320" s="568">
        <f t="shared" ref="BP320:CZ320" si="121">BP150</f>
        <v>2</v>
      </c>
      <c r="BQ320" s="568">
        <f t="shared" si="121"/>
        <v>2</v>
      </c>
      <c r="BR320" s="568">
        <f t="shared" si="121"/>
        <v>2</v>
      </c>
      <c r="BS320" s="568">
        <f t="shared" si="121"/>
        <v>2</v>
      </c>
      <c r="BT320" s="568">
        <f t="shared" si="121"/>
        <v>2</v>
      </c>
      <c r="BU320" s="568">
        <f t="shared" si="121"/>
        <v>0</v>
      </c>
      <c r="BV320" s="568">
        <f t="shared" si="121"/>
        <v>2</v>
      </c>
      <c r="BW320" s="568">
        <f t="shared" si="121"/>
        <v>2</v>
      </c>
      <c r="BX320" s="568">
        <f t="shared" si="121"/>
        <v>0</v>
      </c>
      <c r="BY320" s="568">
        <f t="shared" si="121"/>
        <v>0</v>
      </c>
      <c r="BZ320" s="568">
        <f t="shared" si="121"/>
        <v>2</v>
      </c>
      <c r="CA320" s="568">
        <f t="shared" si="121"/>
        <v>0</v>
      </c>
      <c r="CB320" s="568">
        <f t="shared" si="121"/>
        <v>0</v>
      </c>
      <c r="CC320" s="568">
        <f t="shared" si="121"/>
        <v>1</v>
      </c>
      <c r="CD320" s="568">
        <f t="shared" si="121"/>
        <v>2</v>
      </c>
      <c r="CE320" s="568">
        <f t="shared" si="121"/>
        <v>2</v>
      </c>
      <c r="CF320" s="568">
        <f t="shared" si="121"/>
        <v>2</v>
      </c>
      <c r="CG320" s="568">
        <f t="shared" si="121"/>
        <v>1</v>
      </c>
      <c r="CH320" s="568">
        <f t="shared" si="121"/>
        <v>2</v>
      </c>
      <c r="CI320" s="568">
        <f t="shared" si="121"/>
        <v>2</v>
      </c>
      <c r="CJ320" s="568">
        <f t="shared" si="121"/>
        <v>1</v>
      </c>
      <c r="CK320" s="568">
        <f t="shared" si="121"/>
        <v>1</v>
      </c>
      <c r="CL320" s="568">
        <f t="shared" si="121"/>
        <v>2</v>
      </c>
      <c r="CM320" s="568">
        <f t="shared" si="121"/>
        <v>2</v>
      </c>
      <c r="CN320" s="568">
        <f t="shared" si="121"/>
        <v>2</v>
      </c>
      <c r="CO320" s="568">
        <f t="shared" si="121"/>
        <v>2</v>
      </c>
      <c r="CP320" s="568">
        <f t="shared" si="121"/>
        <v>2</v>
      </c>
      <c r="CQ320" s="568">
        <f t="shared" si="121"/>
        <v>2</v>
      </c>
      <c r="CR320" s="568">
        <f t="shared" si="121"/>
        <v>2</v>
      </c>
      <c r="CS320" s="568">
        <f t="shared" si="121"/>
        <v>2</v>
      </c>
      <c r="CT320" s="568">
        <f t="shared" si="121"/>
        <v>0</v>
      </c>
      <c r="CU320" s="568">
        <f t="shared" si="121"/>
        <v>0</v>
      </c>
      <c r="CV320" s="568">
        <f t="shared" si="121"/>
        <v>0</v>
      </c>
      <c r="CW320" s="568">
        <f t="shared" si="121"/>
        <v>0</v>
      </c>
      <c r="CX320" s="568">
        <f t="shared" si="121"/>
        <v>0</v>
      </c>
      <c r="CY320" s="568">
        <f t="shared" si="121"/>
        <v>0</v>
      </c>
      <c r="CZ320" s="568">
        <f t="shared" si="121"/>
        <v>0</v>
      </c>
    </row>
    <row r="321" spans="1:104" s="180" customFormat="1" x14ac:dyDescent="0.3">
      <c r="A321" s="567">
        <v>991</v>
      </c>
      <c r="C321" s="180">
        <v>235</v>
      </c>
      <c r="D321" s="568">
        <f t="shared" ref="D321:AI321" si="122">D235</f>
        <v>23</v>
      </c>
      <c r="E321" s="568">
        <f t="shared" si="122"/>
        <v>23</v>
      </c>
      <c r="F321" s="568">
        <f t="shared" si="122"/>
        <v>22</v>
      </c>
      <c r="G321" s="568">
        <f t="shared" si="122"/>
        <v>20</v>
      </c>
      <c r="H321" s="568">
        <f t="shared" si="122"/>
        <v>20</v>
      </c>
      <c r="I321" s="568">
        <f t="shared" si="122"/>
        <v>23</v>
      </c>
      <c r="J321" s="568">
        <f t="shared" si="122"/>
        <v>23</v>
      </c>
      <c r="K321" s="568">
        <f t="shared" si="122"/>
        <v>0</v>
      </c>
      <c r="L321" s="568">
        <f t="shared" si="122"/>
        <v>23</v>
      </c>
      <c r="M321" s="568">
        <f t="shared" si="122"/>
        <v>20</v>
      </c>
      <c r="N321" s="568">
        <f t="shared" si="122"/>
        <v>0</v>
      </c>
      <c r="O321" s="568">
        <f t="shared" si="122"/>
        <v>23</v>
      </c>
      <c r="P321" s="568">
        <f t="shared" si="122"/>
        <v>23</v>
      </c>
      <c r="Q321" s="568">
        <f t="shared" si="122"/>
        <v>22</v>
      </c>
      <c r="R321" s="568">
        <f t="shared" si="122"/>
        <v>23</v>
      </c>
      <c r="S321" s="568">
        <f t="shared" si="122"/>
        <v>22</v>
      </c>
      <c r="T321" s="568">
        <f t="shared" si="122"/>
        <v>20</v>
      </c>
      <c r="U321" s="568">
        <f t="shared" si="122"/>
        <v>23</v>
      </c>
      <c r="V321" s="568">
        <f t="shared" si="122"/>
        <v>20</v>
      </c>
      <c r="W321" s="568">
        <f t="shared" si="122"/>
        <v>23</v>
      </c>
      <c r="X321" s="568">
        <f t="shared" si="122"/>
        <v>23</v>
      </c>
      <c r="Y321" s="568">
        <f t="shared" si="122"/>
        <v>23</v>
      </c>
      <c r="Z321" s="568">
        <f t="shared" si="122"/>
        <v>23</v>
      </c>
      <c r="AA321" s="568">
        <f t="shared" si="122"/>
        <v>23</v>
      </c>
      <c r="AB321" s="568">
        <f t="shared" si="122"/>
        <v>22</v>
      </c>
      <c r="AC321" s="568">
        <f t="shared" si="122"/>
        <v>23</v>
      </c>
      <c r="AD321" s="568">
        <f t="shared" si="122"/>
        <v>0</v>
      </c>
      <c r="AE321" s="568">
        <f t="shared" si="122"/>
        <v>22</v>
      </c>
      <c r="AF321" s="568">
        <f t="shared" si="122"/>
        <v>23</v>
      </c>
      <c r="AG321" s="568">
        <f t="shared" si="122"/>
        <v>23</v>
      </c>
      <c r="AH321" s="568">
        <f t="shared" si="122"/>
        <v>23</v>
      </c>
      <c r="AI321" s="568">
        <f t="shared" si="122"/>
        <v>23</v>
      </c>
      <c r="AJ321" s="568">
        <f t="shared" ref="AJ321:BO321" si="123">AJ235</f>
        <v>20</v>
      </c>
      <c r="AK321" s="568">
        <f t="shared" si="123"/>
        <v>23</v>
      </c>
      <c r="AL321" s="568">
        <f t="shared" si="123"/>
        <v>20</v>
      </c>
      <c r="AM321" s="568">
        <f t="shared" si="123"/>
        <v>22</v>
      </c>
      <c r="AN321" s="568">
        <f t="shared" si="123"/>
        <v>23</v>
      </c>
      <c r="AO321" s="568">
        <f t="shared" si="123"/>
        <v>22</v>
      </c>
      <c r="AP321" s="568">
        <f t="shared" si="123"/>
        <v>23</v>
      </c>
      <c r="AQ321" s="568">
        <f t="shared" si="123"/>
        <v>23</v>
      </c>
      <c r="AR321" s="568">
        <f t="shared" si="123"/>
        <v>20</v>
      </c>
      <c r="AS321" s="568">
        <f t="shared" si="123"/>
        <v>20</v>
      </c>
      <c r="AT321" s="568">
        <f t="shared" si="123"/>
        <v>23</v>
      </c>
      <c r="AU321" s="568">
        <f t="shared" si="123"/>
        <v>20</v>
      </c>
      <c r="AV321" s="568">
        <f t="shared" si="123"/>
        <v>20</v>
      </c>
      <c r="AW321" s="568">
        <f t="shared" si="123"/>
        <v>23</v>
      </c>
      <c r="AX321" s="568">
        <f t="shared" si="123"/>
        <v>23</v>
      </c>
      <c r="AY321" s="568">
        <f t="shared" si="123"/>
        <v>23</v>
      </c>
      <c r="AZ321" s="568">
        <f t="shared" si="123"/>
        <v>23</v>
      </c>
      <c r="BA321" s="568">
        <f t="shared" si="123"/>
        <v>23</v>
      </c>
      <c r="BB321" s="568">
        <f t="shared" si="123"/>
        <v>23</v>
      </c>
      <c r="BC321" s="568">
        <f t="shared" si="123"/>
        <v>23</v>
      </c>
      <c r="BD321" s="568">
        <f t="shared" si="123"/>
        <v>23</v>
      </c>
      <c r="BE321" s="568">
        <f t="shared" si="123"/>
        <v>23</v>
      </c>
      <c r="BF321" s="568">
        <f t="shared" si="123"/>
        <v>23</v>
      </c>
      <c r="BG321" s="568">
        <f t="shared" si="123"/>
        <v>23</v>
      </c>
      <c r="BH321" s="568">
        <f t="shared" si="123"/>
        <v>23</v>
      </c>
      <c r="BI321" s="568">
        <f t="shared" si="123"/>
        <v>23</v>
      </c>
      <c r="BJ321" s="568">
        <f t="shared" si="123"/>
        <v>23</v>
      </c>
      <c r="BK321" s="568">
        <f t="shared" si="123"/>
        <v>23</v>
      </c>
      <c r="BL321" s="568">
        <f t="shared" si="123"/>
        <v>23</v>
      </c>
      <c r="BM321" s="568">
        <f t="shared" si="123"/>
        <v>23</v>
      </c>
      <c r="BN321" s="568">
        <f t="shared" si="123"/>
        <v>23</v>
      </c>
      <c r="BO321" s="568">
        <f t="shared" si="123"/>
        <v>23</v>
      </c>
      <c r="BP321" s="568">
        <f t="shared" ref="BP321:CZ321" si="124">BP235</f>
        <v>23</v>
      </c>
      <c r="BQ321" s="568">
        <f t="shared" si="124"/>
        <v>20</v>
      </c>
      <c r="BR321" s="568">
        <f t="shared" si="124"/>
        <v>23</v>
      </c>
      <c r="BS321" s="568">
        <f t="shared" si="124"/>
        <v>23</v>
      </c>
      <c r="BT321" s="568">
        <f t="shared" si="124"/>
        <v>23</v>
      </c>
      <c r="BU321" s="568">
        <f t="shared" si="124"/>
        <v>23</v>
      </c>
      <c r="BV321" s="568">
        <f t="shared" si="124"/>
        <v>22</v>
      </c>
      <c r="BW321" s="568">
        <f t="shared" si="124"/>
        <v>23</v>
      </c>
      <c r="BX321" s="568">
        <f t="shared" si="124"/>
        <v>0</v>
      </c>
      <c r="BY321" s="568">
        <f t="shared" si="124"/>
        <v>0</v>
      </c>
      <c r="BZ321" s="568">
        <f t="shared" si="124"/>
        <v>23</v>
      </c>
      <c r="CA321" s="568">
        <f t="shared" si="124"/>
        <v>20</v>
      </c>
      <c r="CB321" s="568">
        <f t="shared" si="124"/>
        <v>0</v>
      </c>
      <c r="CC321" s="568">
        <f t="shared" si="124"/>
        <v>23</v>
      </c>
      <c r="CD321" s="568">
        <f t="shared" si="124"/>
        <v>23</v>
      </c>
      <c r="CE321" s="568">
        <f t="shared" si="124"/>
        <v>23</v>
      </c>
      <c r="CF321" s="568">
        <f t="shared" si="124"/>
        <v>23</v>
      </c>
      <c r="CG321" s="568">
        <f t="shared" si="124"/>
        <v>23</v>
      </c>
      <c r="CH321" s="568">
        <f t="shared" si="124"/>
        <v>23</v>
      </c>
      <c r="CI321" s="568">
        <f t="shared" si="124"/>
        <v>23</v>
      </c>
      <c r="CJ321" s="568">
        <f t="shared" si="124"/>
        <v>23</v>
      </c>
      <c r="CK321" s="568">
        <f t="shared" si="124"/>
        <v>23</v>
      </c>
      <c r="CL321" s="568">
        <f t="shared" si="124"/>
        <v>23</v>
      </c>
      <c r="CM321" s="568">
        <f t="shared" si="124"/>
        <v>22</v>
      </c>
      <c r="CN321" s="568">
        <f t="shared" si="124"/>
        <v>22</v>
      </c>
      <c r="CO321" s="568">
        <f t="shared" si="124"/>
        <v>23</v>
      </c>
      <c r="CP321" s="568">
        <f t="shared" si="124"/>
        <v>20</v>
      </c>
      <c r="CQ321" s="568">
        <f t="shared" si="124"/>
        <v>23</v>
      </c>
      <c r="CR321" s="568">
        <f t="shared" si="124"/>
        <v>23</v>
      </c>
      <c r="CS321" s="568">
        <f t="shared" si="124"/>
        <v>23</v>
      </c>
      <c r="CT321" s="568">
        <f t="shared" si="124"/>
        <v>0</v>
      </c>
      <c r="CU321" s="568">
        <f t="shared" si="124"/>
        <v>0</v>
      </c>
      <c r="CV321" s="568">
        <f t="shared" si="124"/>
        <v>0</v>
      </c>
      <c r="CW321" s="568">
        <f t="shared" si="124"/>
        <v>0</v>
      </c>
      <c r="CX321" s="568">
        <f t="shared" si="124"/>
        <v>0</v>
      </c>
      <c r="CY321" s="568">
        <f t="shared" si="124"/>
        <v>0</v>
      </c>
      <c r="CZ321" s="568">
        <f t="shared" si="124"/>
        <v>0</v>
      </c>
    </row>
    <row r="322" spans="1:104" s="180" customFormat="1" x14ac:dyDescent="0.3">
      <c r="A322" s="556">
        <v>1055</v>
      </c>
      <c r="B322" s="557" t="s">
        <v>1701</v>
      </c>
      <c r="C322" s="180">
        <v>245</v>
      </c>
      <c r="D322" s="568">
        <f t="shared" ref="D322:AI322" si="125">D245</f>
        <v>2</v>
      </c>
      <c r="E322" s="568">
        <f t="shared" si="125"/>
        <v>2</v>
      </c>
      <c r="F322" s="568">
        <f t="shared" si="125"/>
        <v>2</v>
      </c>
      <c r="G322" s="568">
        <f t="shared" si="125"/>
        <v>2</v>
      </c>
      <c r="H322" s="568">
        <f t="shared" si="125"/>
        <v>2</v>
      </c>
      <c r="I322" s="568">
        <f t="shared" si="125"/>
        <v>2</v>
      </c>
      <c r="J322" s="568">
        <f t="shared" si="125"/>
        <v>2</v>
      </c>
      <c r="K322" s="568">
        <f t="shared" si="125"/>
        <v>0</v>
      </c>
      <c r="L322" s="568">
        <f t="shared" si="125"/>
        <v>2</v>
      </c>
      <c r="M322" s="568">
        <f t="shared" si="125"/>
        <v>2</v>
      </c>
      <c r="N322" s="568">
        <f t="shared" si="125"/>
        <v>0</v>
      </c>
      <c r="O322" s="568">
        <f t="shared" si="125"/>
        <v>2</v>
      </c>
      <c r="P322" s="568">
        <f t="shared" si="125"/>
        <v>2</v>
      </c>
      <c r="Q322" s="568">
        <f t="shared" si="125"/>
        <v>2</v>
      </c>
      <c r="R322" s="568">
        <f t="shared" si="125"/>
        <v>2</v>
      </c>
      <c r="S322" s="568">
        <f t="shared" si="125"/>
        <v>2</v>
      </c>
      <c r="T322" s="568">
        <f t="shared" si="125"/>
        <v>2</v>
      </c>
      <c r="U322" s="568">
        <f t="shared" si="125"/>
        <v>2</v>
      </c>
      <c r="V322" s="568">
        <f t="shared" si="125"/>
        <v>2</v>
      </c>
      <c r="W322" s="568">
        <f t="shared" si="125"/>
        <v>2</v>
      </c>
      <c r="X322" s="568">
        <f t="shared" si="125"/>
        <v>2</v>
      </c>
      <c r="Y322" s="568">
        <f t="shared" si="125"/>
        <v>2</v>
      </c>
      <c r="Z322" s="568">
        <f t="shared" si="125"/>
        <v>2</v>
      </c>
      <c r="AA322" s="568">
        <f t="shared" si="125"/>
        <v>2</v>
      </c>
      <c r="AB322" s="568">
        <f t="shared" si="125"/>
        <v>2</v>
      </c>
      <c r="AC322" s="568">
        <f t="shared" si="125"/>
        <v>2</v>
      </c>
      <c r="AD322" s="568">
        <f t="shared" si="125"/>
        <v>0</v>
      </c>
      <c r="AE322" s="568">
        <f t="shared" si="125"/>
        <v>2</v>
      </c>
      <c r="AF322" s="568">
        <f t="shared" si="125"/>
        <v>1</v>
      </c>
      <c r="AG322" s="568">
        <f t="shared" si="125"/>
        <v>2</v>
      </c>
      <c r="AH322" s="568">
        <f t="shared" si="125"/>
        <v>2</v>
      </c>
      <c r="AI322" s="568">
        <f t="shared" si="125"/>
        <v>2</v>
      </c>
      <c r="AJ322" s="568">
        <f t="shared" ref="AJ322:BO322" si="126">AJ245</f>
        <v>2</v>
      </c>
      <c r="AK322" s="568">
        <f t="shared" si="126"/>
        <v>2</v>
      </c>
      <c r="AL322" s="568">
        <f t="shared" si="126"/>
        <v>2</v>
      </c>
      <c r="AM322" s="568">
        <f t="shared" si="126"/>
        <v>2</v>
      </c>
      <c r="AN322" s="568">
        <f t="shared" si="126"/>
        <v>2</v>
      </c>
      <c r="AO322" s="568">
        <f t="shared" si="126"/>
        <v>2</v>
      </c>
      <c r="AP322" s="568">
        <f t="shared" si="126"/>
        <v>2</v>
      </c>
      <c r="AQ322" s="568">
        <f t="shared" si="126"/>
        <v>2</v>
      </c>
      <c r="AR322" s="568">
        <f t="shared" si="126"/>
        <v>2</v>
      </c>
      <c r="AS322" s="568">
        <f t="shared" si="126"/>
        <v>1</v>
      </c>
      <c r="AT322" s="568">
        <f t="shared" si="126"/>
        <v>2</v>
      </c>
      <c r="AU322" s="568">
        <f t="shared" si="126"/>
        <v>2</v>
      </c>
      <c r="AV322" s="568">
        <f t="shared" si="126"/>
        <v>2</v>
      </c>
      <c r="AW322" s="568">
        <f t="shared" si="126"/>
        <v>2</v>
      </c>
      <c r="AX322" s="568">
        <f t="shared" si="126"/>
        <v>2</v>
      </c>
      <c r="AY322" s="568">
        <f t="shared" si="126"/>
        <v>2</v>
      </c>
      <c r="AZ322" s="568">
        <f t="shared" si="126"/>
        <v>2</v>
      </c>
      <c r="BA322" s="568">
        <f t="shared" si="126"/>
        <v>2</v>
      </c>
      <c r="BB322" s="568">
        <f t="shared" si="126"/>
        <v>2</v>
      </c>
      <c r="BC322" s="568">
        <f t="shared" si="126"/>
        <v>2</v>
      </c>
      <c r="BD322" s="568">
        <f t="shared" si="126"/>
        <v>2</v>
      </c>
      <c r="BE322" s="568">
        <f t="shared" si="126"/>
        <v>2</v>
      </c>
      <c r="BF322" s="568">
        <f t="shared" si="126"/>
        <v>2</v>
      </c>
      <c r="BG322" s="568">
        <f t="shared" si="126"/>
        <v>1</v>
      </c>
      <c r="BH322" s="568">
        <f t="shared" si="126"/>
        <v>2</v>
      </c>
      <c r="BI322" s="568">
        <f t="shared" si="126"/>
        <v>2</v>
      </c>
      <c r="BJ322" s="568">
        <f t="shared" si="126"/>
        <v>2</v>
      </c>
      <c r="BK322" s="568">
        <f t="shared" si="126"/>
        <v>2</v>
      </c>
      <c r="BL322" s="568">
        <f t="shared" si="126"/>
        <v>2</v>
      </c>
      <c r="BM322" s="568">
        <f t="shared" si="126"/>
        <v>2</v>
      </c>
      <c r="BN322" s="568">
        <f t="shared" si="126"/>
        <v>2</v>
      </c>
      <c r="BO322" s="568">
        <f t="shared" si="126"/>
        <v>2</v>
      </c>
      <c r="BP322" s="568">
        <f t="shared" ref="BP322:CZ322" si="127">BP245</f>
        <v>2</v>
      </c>
      <c r="BQ322" s="568">
        <f t="shared" si="127"/>
        <v>2</v>
      </c>
      <c r="BR322" s="568">
        <f t="shared" si="127"/>
        <v>2</v>
      </c>
      <c r="BS322" s="568">
        <f t="shared" si="127"/>
        <v>2</v>
      </c>
      <c r="BT322" s="568">
        <f t="shared" si="127"/>
        <v>2</v>
      </c>
      <c r="BU322" s="568">
        <f t="shared" si="127"/>
        <v>2</v>
      </c>
      <c r="BV322" s="568">
        <f t="shared" si="127"/>
        <v>2</v>
      </c>
      <c r="BW322" s="568">
        <f t="shared" si="127"/>
        <v>2</v>
      </c>
      <c r="BX322" s="568">
        <f t="shared" si="127"/>
        <v>0</v>
      </c>
      <c r="BY322" s="568">
        <f t="shared" si="127"/>
        <v>0</v>
      </c>
      <c r="BZ322" s="568">
        <f t="shared" si="127"/>
        <v>2</v>
      </c>
      <c r="CA322" s="568">
        <f t="shared" si="127"/>
        <v>2</v>
      </c>
      <c r="CB322" s="568">
        <f t="shared" si="127"/>
        <v>0</v>
      </c>
      <c r="CC322" s="568">
        <f t="shared" si="127"/>
        <v>2</v>
      </c>
      <c r="CD322" s="568">
        <f t="shared" si="127"/>
        <v>2</v>
      </c>
      <c r="CE322" s="568">
        <f t="shared" si="127"/>
        <v>2</v>
      </c>
      <c r="CF322" s="568">
        <f t="shared" si="127"/>
        <v>2</v>
      </c>
      <c r="CG322" s="568">
        <f t="shared" si="127"/>
        <v>2</v>
      </c>
      <c r="CH322" s="568">
        <f t="shared" si="127"/>
        <v>2</v>
      </c>
      <c r="CI322" s="568">
        <f t="shared" si="127"/>
        <v>2</v>
      </c>
      <c r="CJ322" s="568">
        <f t="shared" si="127"/>
        <v>2</v>
      </c>
      <c r="CK322" s="568">
        <f t="shared" si="127"/>
        <v>1</v>
      </c>
      <c r="CL322" s="568">
        <f t="shared" si="127"/>
        <v>2</v>
      </c>
      <c r="CM322" s="568">
        <f t="shared" si="127"/>
        <v>2</v>
      </c>
      <c r="CN322" s="568">
        <f t="shared" si="127"/>
        <v>2</v>
      </c>
      <c r="CO322" s="568">
        <f t="shared" si="127"/>
        <v>2</v>
      </c>
      <c r="CP322" s="568">
        <f t="shared" si="127"/>
        <v>2</v>
      </c>
      <c r="CQ322" s="568">
        <f t="shared" si="127"/>
        <v>2</v>
      </c>
      <c r="CR322" s="568">
        <f t="shared" si="127"/>
        <v>2</v>
      </c>
      <c r="CS322" s="568">
        <f t="shared" si="127"/>
        <v>2</v>
      </c>
      <c r="CT322" s="568">
        <f t="shared" si="127"/>
        <v>0</v>
      </c>
      <c r="CU322" s="568">
        <f t="shared" si="127"/>
        <v>0</v>
      </c>
      <c r="CV322" s="568">
        <f t="shared" si="127"/>
        <v>0</v>
      </c>
      <c r="CW322" s="568">
        <f t="shared" si="127"/>
        <v>0</v>
      </c>
      <c r="CX322" s="568">
        <f t="shared" si="127"/>
        <v>0</v>
      </c>
      <c r="CY322" s="568">
        <f t="shared" si="127"/>
        <v>0</v>
      </c>
      <c r="CZ322" s="568">
        <f t="shared" si="127"/>
        <v>0</v>
      </c>
    </row>
    <row r="323" spans="1:104" s="180" customFormat="1" x14ac:dyDescent="0.3">
      <c r="A323" s="556">
        <v>1056</v>
      </c>
      <c r="B323" s="557" t="s">
        <v>1702</v>
      </c>
      <c r="C323" s="180">
        <v>246</v>
      </c>
      <c r="D323" s="568">
        <f t="shared" ref="D323:AI323" si="128">D246</f>
        <v>2</v>
      </c>
      <c r="E323" s="568">
        <f t="shared" si="128"/>
        <v>2</v>
      </c>
      <c r="F323" s="568">
        <f t="shared" si="128"/>
        <v>2</v>
      </c>
      <c r="G323" s="568">
        <f t="shared" si="128"/>
        <v>2</v>
      </c>
      <c r="H323" s="568">
        <f t="shared" si="128"/>
        <v>2</v>
      </c>
      <c r="I323" s="568">
        <f t="shared" si="128"/>
        <v>2</v>
      </c>
      <c r="J323" s="568">
        <f t="shared" si="128"/>
        <v>2</v>
      </c>
      <c r="K323" s="568">
        <f t="shared" si="128"/>
        <v>0</v>
      </c>
      <c r="L323" s="568">
        <f t="shared" si="128"/>
        <v>2</v>
      </c>
      <c r="M323" s="568">
        <f t="shared" si="128"/>
        <v>2</v>
      </c>
      <c r="N323" s="568">
        <f t="shared" si="128"/>
        <v>0</v>
      </c>
      <c r="O323" s="568">
        <f t="shared" si="128"/>
        <v>2</v>
      </c>
      <c r="P323" s="568">
        <f t="shared" si="128"/>
        <v>2</v>
      </c>
      <c r="Q323" s="568">
        <f t="shared" si="128"/>
        <v>2</v>
      </c>
      <c r="R323" s="568">
        <f t="shared" si="128"/>
        <v>2</v>
      </c>
      <c r="S323" s="568">
        <f t="shared" si="128"/>
        <v>2</v>
      </c>
      <c r="T323" s="568">
        <f t="shared" si="128"/>
        <v>2</v>
      </c>
      <c r="U323" s="568">
        <f t="shared" si="128"/>
        <v>2</v>
      </c>
      <c r="V323" s="568">
        <f t="shared" si="128"/>
        <v>2</v>
      </c>
      <c r="W323" s="568">
        <f t="shared" si="128"/>
        <v>2</v>
      </c>
      <c r="X323" s="568">
        <f t="shared" si="128"/>
        <v>2</v>
      </c>
      <c r="Y323" s="568">
        <f t="shared" si="128"/>
        <v>2</v>
      </c>
      <c r="Z323" s="568">
        <f t="shared" si="128"/>
        <v>2</v>
      </c>
      <c r="AA323" s="568">
        <f t="shared" si="128"/>
        <v>2</v>
      </c>
      <c r="AB323" s="568">
        <f t="shared" si="128"/>
        <v>2</v>
      </c>
      <c r="AC323" s="568">
        <f t="shared" si="128"/>
        <v>2</v>
      </c>
      <c r="AD323" s="568">
        <f t="shared" si="128"/>
        <v>0</v>
      </c>
      <c r="AE323" s="568">
        <f t="shared" si="128"/>
        <v>2</v>
      </c>
      <c r="AF323" s="568">
        <f t="shared" si="128"/>
        <v>2</v>
      </c>
      <c r="AG323" s="568">
        <f t="shared" si="128"/>
        <v>2</v>
      </c>
      <c r="AH323" s="568">
        <f t="shared" si="128"/>
        <v>2</v>
      </c>
      <c r="AI323" s="568">
        <f t="shared" si="128"/>
        <v>2</v>
      </c>
      <c r="AJ323" s="568">
        <f t="shared" ref="AJ323:BO323" si="129">AJ246</f>
        <v>2</v>
      </c>
      <c r="AK323" s="568">
        <f t="shared" si="129"/>
        <v>2</v>
      </c>
      <c r="AL323" s="568">
        <f t="shared" si="129"/>
        <v>2</v>
      </c>
      <c r="AM323" s="568">
        <f t="shared" si="129"/>
        <v>2</v>
      </c>
      <c r="AN323" s="568">
        <f t="shared" si="129"/>
        <v>2</v>
      </c>
      <c r="AO323" s="568">
        <f t="shared" si="129"/>
        <v>2</v>
      </c>
      <c r="AP323" s="568">
        <f t="shared" si="129"/>
        <v>2</v>
      </c>
      <c r="AQ323" s="568">
        <f t="shared" si="129"/>
        <v>2</v>
      </c>
      <c r="AR323" s="568">
        <f t="shared" si="129"/>
        <v>2</v>
      </c>
      <c r="AS323" s="568">
        <f t="shared" si="129"/>
        <v>1</v>
      </c>
      <c r="AT323" s="568">
        <f t="shared" si="129"/>
        <v>2</v>
      </c>
      <c r="AU323" s="568">
        <f t="shared" si="129"/>
        <v>2</v>
      </c>
      <c r="AV323" s="568">
        <f t="shared" si="129"/>
        <v>2</v>
      </c>
      <c r="AW323" s="568">
        <f t="shared" si="129"/>
        <v>2</v>
      </c>
      <c r="AX323" s="568">
        <f t="shared" si="129"/>
        <v>2</v>
      </c>
      <c r="AY323" s="568">
        <f t="shared" si="129"/>
        <v>2</v>
      </c>
      <c r="AZ323" s="568">
        <f t="shared" si="129"/>
        <v>2</v>
      </c>
      <c r="BA323" s="568">
        <f t="shared" si="129"/>
        <v>2</v>
      </c>
      <c r="BB323" s="568">
        <f t="shared" si="129"/>
        <v>2</v>
      </c>
      <c r="BC323" s="568">
        <f t="shared" si="129"/>
        <v>2</v>
      </c>
      <c r="BD323" s="568">
        <f t="shared" si="129"/>
        <v>2</v>
      </c>
      <c r="BE323" s="568">
        <f t="shared" si="129"/>
        <v>2</v>
      </c>
      <c r="BF323" s="568">
        <f t="shared" si="129"/>
        <v>2</v>
      </c>
      <c r="BG323" s="568">
        <f t="shared" si="129"/>
        <v>1</v>
      </c>
      <c r="BH323" s="568">
        <f t="shared" si="129"/>
        <v>1</v>
      </c>
      <c r="BI323" s="568">
        <f t="shared" si="129"/>
        <v>2</v>
      </c>
      <c r="BJ323" s="568">
        <f t="shared" si="129"/>
        <v>2</v>
      </c>
      <c r="BK323" s="568">
        <f t="shared" si="129"/>
        <v>2</v>
      </c>
      <c r="BL323" s="568">
        <f t="shared" si="129"/>
        <v>2</v>
      </c>
      <c r="BM323" s="568">
        <f t="shared" si="129"/>
        <v>2</v>
      </c>
      <c r="BN323" s="568">
        <f t="shared" si="129"/>
        <v>2</v>
      </c>
      <c r="BO323" s="568">
        <f t="shared" si="129"/>
        <v>2</v>
      </c>
      <c r="BP323" s="568">
        <f t="shared" ref="BP323:CZ323" si="130">BP246</f>
        <v>2</v>
      </c>
      <c r="BQ323" s="568">
        <f t="shared" si="130"/>
        <v>2</v>
      </c>
      <c r="BR323" s="568">
        <f t="shared" si="130"/>
        <v>1</v>
      </c>
      <c r="BS323" s="568">
        <f t="shared" si="130"/>
        <v>2</v>
      </c>
      <c r="BT323" s="568">
        <f t="shared" si="130"/>
        <v>2</v>
      </c>
      <c r="BU323" s="568">
        <f t="shared" si="130"/>
        <v>2</v>
      </c>
      <c r="BV323" s="568">
        <f t="shared" si="130"/>
        <v>2</v>
      </c>
      <c r="BW323" s="568">
        <f t="shared" si="130"/>
        <v>2</v>
      </c>
      <c r="BX323" s="568">
        <f t="shared" si="130"/>
        <v>0</v>
      </c>
      <c r="BY323" s="568">
        <f t="shared" si="130"/>
        <v>0</v>
      </c>
      <c r="BZ323" s="568">
        <f t="shared" si="130"/>
        <v>2</v>
      </c>
      <c r="CA323" s="568">
        <f t="shared" si="130"/>
        <v>2</v>
      </c>
      <c r="CB323" s="568">
        <f t="shared" si="130"/>
        <v>0</v>
      </c>
      <c r="CC323" s="568">
        <f t="shared" si="130"/>
        <v>1</v>
      </c>
      <c r="CD323" s="568">
        <f t="shared" si="130"/>
        <v>2</v>
      </c>
      <c r="CE323" s="568">
        <f t="shared" si="130"/>
        <v>2</v>
      </c>
      <c r="CF323" s="568">
        <f t="shared" si="130"/>
        <v>2</v>
      </c>
      <c r="CG323" s="568">
        <f t="shared" si="130"/>
        <v>2</v>
      </c>
      <c r="CH323" s="568">
        <f t="shared" si="130"/>
        <v>2</v>
      </c>
      <c r="CI323" s="568">
        <f t="shared" si="130"/>
        <v>2</v>
      </c>
      <c r="CJ323" s="568">
        <f t="shared" si="130"/>
        <v>2</v>
      </c>
      <c r="CK323" s="568">
        <f t="shared" si="130"/>
        <v>2</v>
      </c>
      <c r="CL323" s="568">
        <f t="shared" si="130"/>
        <v>2</v>
      </c>
      <c r="CM323" s="568">
        <f t="shared" si="130"/>
        <v>2</v>
      </c>
      <c r="CN323" s="568">
        <f t="shared" si="130"/>
        <v>2</v>
      </c>
      <c r="CO323" s="568">
        <f t="shared" si="130"/>
        <v>2</v>
      </c>
      <c r="CP323" s="568">
        <f t="shared" si="130"/>
        <v>2</v>
      </c>
      <c r="CQ323" s="568">
        <f t="shared" si="130"/>
        <v>2</v>
      </c>
      <c r="CR323" s="568">
        <f t="shared" si="130"/>
        <v>2</v>
      </c>
      <c r="CS323" s="568">
        <f t="shared" si="130"/>
        <v>2</v>
      </c>
      <c r="CT323" s="568">
        <f t="shared" si="130"/>
        <v>0</v>
      </c>
      <c r="CU323" s="568">
        <f t="shared" si="130"/>
        <v>0</v>
      </c>
      <c r="CV323" s="568">
        <f t="shared" si="130"/>
        <v>0</v>
      </c>
      <c r="CW323" s="568">
        <f t="shared" si="130"/>
        <v>0</v>
      </c>
      <c r="CX323" s="568">
        <f t="shared" si="130"/>
        <v>0</v>
      </c>
      <c r="CY323" s="568">
        <f t="shared" si="130"/>
        <v>0</v>
      </c>
      <c r="CZ323" s="568">
        <f t="shared" si="130"/>
        <v>0</v>
      </c>
    </row>
    <row r="324" spans="1:104" s="180" customFormat="1" x14ac:dyDescent="0.3">
      <c r="A324" s="556">
        <v>1057</v>
      </c>
      <c r="B324" s="557" t="s">
        <v>1518</v>
      </c>
      <c r="C324" s="180">
        <v>247</v>
      </c>
      <c r="D324" s="568">
        <f t="shared" ref="D324:AI324" si="131">D247</f>
        <v>2</v>
      </c>
      <c r="E324" s="568">
        <f t="shared" si="131"/>
        <v>2</v>
      </c>
      <c r="F324" s="568">
        <f t="shared" si="131"/>
        <v>2</v>
      </c>
      <c r="G324" s="568">
        <f t="shared" si="131"/>
        <v>1</v>
      </c>
      <c r="H324" s="568">
        <f t="shared" si="131"/>
        <v>2</v>
      </c>
      <c r="I324" s="568">
        <f t="shared" si="131"/>
        <v>2</v>
      </c>
      <c r="J324" s="568">
        <f t="shared" si="131"/>
        <v>2</v>
      </c>
      <c r="K324" s="568">
        <f t="shared" si="131"/>
        <v>0</v>
      </c>
      <c r="L324" s="568">
        <f t="shared" si="131"/>
        <v>2</v>
      </c>
      <c r="M324" s="568">
        <f t="shared" si="131"/>
        <v>2</v>
      </c>
      <c r="N324" s="568">
        <f t="shared" si="131"/>
        <v>0</v>
      </c>
      <c r="O324" s="568">
        <f t="shared" si="131"/>
        <v>2</v>
      </c>
      <c r="P324" s="568">
        <f t="shared" si="131"/>
        <v>2</v>
      </c>
      <c r="Q324" s="568">
        <f t="shared" si="131"/>
        <v>1</v>
      </c>
      <c r="R324" s="568">
        <f t="shared" si="131"/>
        <v>1</v>
      </c>
      <c r="S324" s="568">
        <f t="shared" si="131"/>
        <v>2</v>
      </c>
      <c r="T324" s="568">
        <f t="shared" si="131"/>
        <v>2</v>
      </c>
      <c r="U324" s="568">
        <f t="shared" si="131"/>
        <v>2</v>
      </c>
      <c r="V324" s="568">
        <f t="shared" si="131"/>
        <v>2</v>
      </c>
      <c r="W324" s="568">
        <f t="shared" si="131"/>
        <v>2</v>
      </c>
      <c r="X324" s="568">
        <f t="shared" si="131"/>
        <v>2</v>
      </c>
      <c r="Y324" s="568">
        <f t="shared" si="131"/>
        <v>2</v>
      </c>
      <c r="Z324" s="568">
        <f t="shared" si="131"/>
        <v>2</v>
      </c>
      <c r="AA324" s="568">
        <f t="shared" si="131"/>
        <v>2</v>
      </c>
      <c r="AB324" s="568">
        <f t="shared" si="131"/>
        <v>2</v>
      </c>
      <c r="AC324" s="568">
        <f t="shared" si="131"/>
        <v>2</v>
      </c>
      <c r="AD324" s="568">
        <f t="shared" si="131"/>
        <v>0</v>
      </c>
      <c r="AE324" s="568">
        <f t="shared" si="131"/>
        <v>1</v>
      </c>
      <c r="AF324" s="568">
        <f t="shared" si="131"/>
        <v>1</v>
      </c>
      <c r="AG324" s="568">
        <f t="shared" si="131"/>
        <v>2</v>
      </c>
      <c r="AH324" s="568">
        <f t="shared" si="131"/>
        <v>2</v>
      </c>
      <c r="AI324" s="568">
        <f t="shared" si="131"/>
        <v>2</v>
      </c>
      <c r="AJ324" s="568">
        <f t="shared" ref="AJ324:BO324" si="132">AJ247</f>
        <v>2</v>
      </c>
      <c r="AK324" s="568">
        <f t="shared" si="132"/>
        <v>2</v>
      </c>
      <c r="AL324" s="568">
        <f t="shared" si="132"/>
        <v>2</v>
      </c>
      <c r="AM324" s="568">
        <f t="shared" si="132"/>
        <v>1</v>
      </c>
      <c r="AN324" s="568">
        <f t="shared" si="132"/>
        <v>1</v>
      </c>
      <c r="AO324" s="568">
        <f t="shared" si="132"/>
        <v>1</v>
      </c>
      <c r="AP324" s="568">
        <f t="shared" si="132"/>
        <v>2</v>
      </c>
      <c r="AQ324" s="568">
        <f t="shared" si="132"/>
        <v>2</v>
      </c>
      <c r="AR324" s="568">
        <f t="shared" si="132"/>
        <v>2</v>
      </c>
      <c r="AS324" s="568">
        <f t="shared" si="132"/>
        <v>1</v>
      </c>
      <c r="AT324" s="568">
        <f t="shared" si="132"/>
        <v>2</v>
      </c>
      <c r="AU324" s="568">
        <f t="shared" si="132"/>
        <v>2</v>
      </c>
      <c r="AV324" s="568">
        <f t="shared" si="132"/>
        <v>2</v>
      </c>
      <c r="AW324" s="568">
        <f t="shared" si="132"/>
        <v>1</v>
      </c>
      <c r="AX324" s="568">
        <f t="shared" si="132"/>
        <v>2</v>
      </c>
      <c r="AY324" s="568">
        <f t="shared" si="132"/>
        <v>1</v>
      </c>
      <c r="AZ324" s="568">
        <f t="shared" si="132"/>
        <v>2</v>
      </c>
      <c r="BA324" s="568">
        <f t="shared" si="132"/>
        <v>2</v>
      </c>
      <c r="BB324" s="568">
        <f t="shared" si="132"/>
        <v>2</v>
      </c>
      <c r="BC324" s="568">
        <f t="shared" si="132"/>
        <v>1</v>
      </c>
      <c r="BD324" s="568">
        <f t="shared" si="132"/>
        <v>2</v>
      </c>
      <c r="BE324" s="568">
        <f t="shared" si="132"/>
        <v>2</v>
      </c>
      <c r="BF324" s="568">
        <f t="shared" si="132"/>
        <v>2</v>
      </c>
      <c r="BG324" s="568">
        <f t="shared" si="132"/>
        <v>2</v>
      </c>
      <c r="BH324" s="568">
        <f t="shared" si="132"/>
        <v>2</v>
      </c>
      <c r="BI324" s="568">
        <f t="shared" si="132"/>
        <v>2</v>
      </c>
      <c r="BJ324" s="568">
        <f t="shared" si="132"/>
        <v>2</v>
      </c>
      <c r="BK324" s="568">
        <f t="shared" si="132"/>
        <v>2</v>
      </c>
      <c r="BL324" s="568">
        <f t="shared" si="132"/>
        <v>2</v>
      </c>
      <c r="BM324" s="568">
        <f t="shared" si="132"/>
        <v>1</v>
      </c>
      <c r="BN324" s="568">
        <f t="shared" si="132"/>
        <v>2</v>
      </c>
      <c r="BO324" s="568">
        <f t="shared" si="132"/>
        <v>2</v>
      </c>
      <c r="BP324" s="568">
        <f t="shared" ref="BP324:CZ324" si="133">BP247</f>
        <v>1</v>
      </c>
      <c r="BQ324" s="568">
        <f t="shared" si="133"/>
        <v>2</v>
      </c>
      <c r="BR324" s="568">
        <f t="shared" si="133"/>
        <v>2</v>
      </c>
      <c r="BS324" s="568">
        <f t="shared" si="133"/>
        <v>2</v>
      </c>
      <c r="BT324" s="568">
        <f t="shared" si="133"/>
        <v>2</v>
      </c>
      <c r="BU324" s="568">
        <f t="shared" si="133"/>
        <v>2</v>
      </c>
      <c r="BV324" s="568">
        <f t="shared" si="133"/>
        <v>2</v>
      </c>
      <c r="BW324" s="568">
        <f t="shared" si="133"/>
        <v>2</v>
      </c>
      <c r="BX324" s="568">
        <f t="shared" si="133"/>
        <v>0</v>
      </c>
      <c r="BY324" s="568">
        <f t="shared" si="133"/>
        <v>0</v>
      </c>
      <c r="BZ324" s="568">
        <f t="shared" si="133"/>
        <v>1</v>
      </c>
      <c r="CA324" s="568">
        <f t="shared" si="133"/>
        <v>2</v>
      </c>
      <c r="CB324" s="568">
        <f t="shared" si="133"/>
        <v>0</v>
      </c>
      <c r="CC324" s="568">
        <f t="shared" si="133"/>
        <v>1</v>
      </c>
      <c r="CD324" s="568">
        <f t="shared" si="133"/>
        <v>2</v>
      </c>
      <c r="CE324" s="568">
        <f t="shared" si="133"/>
        <v>2</v>
      </c>
      <c r="CF324" s="568">
        <f t="shared" si="133"/>
        <v>2</v>
      </c>
      <c r="CG324" s="568">
        <f t="shared" si="133"/>
        <v>2</v>
      </c>
      <c r="CH324" s="568">
        <f t="shared" si="133"/>
        <v>1</v>
      </c>
      <c r="CI324" s="568">
        <f t="shared" si="133"/>
        <v>2</v>
      </c>
      <c r="CJ324" s="568">
        <f t="shared" si="133"/>
        <v>2</v>
      </c>
      <c r="CK324" s="568">
        <f t="shared" si="133"/>
        <v>1</v>
      </c>
      <c r="CL324" s="568">
        <f t="shared" si="133"/>
        <v>2</v>
      </c>
      <c r="CM324" s="568">
        <f t="shared" si="133"/>
        <v>2</v>
      </c>
      <c r="CN324" s="568">
        <f t="shared" si="133"/>
        <v>1</v>
      </c>
      <c r="CO324" s="568">
        <f t="shared" si="133"/>
        <v>1</v>
      </c>
      <c r="CP324" s="568">
        <f t="shared" si="133"/>
        <v>2</v>
      </c>
      <c r="CQ324" s="568">
        <f t="shared" si="133"/>
        <v>1</v>
      </c>
      <c r="CR324" s="568">
        <f t="shared" si="133"/>
        <v>2</v>
      </c>
      <c r="CS324" s="568">
        <f t="shared" si="133"/>
        <v>2</v>
      </c>
      <c r="CT324" s="568">
        <f t="shared" si="133"/>
        <v>0</v>
      </c>
      <c r="CU324" s="568">
        <f t="shared" si="133"/>
        <v>0</v>
      </c>
      <c r="CV324" s="568">
        <f t="shared" si="133"/>
        <v>0</v>
      </c>
      <c r="CW324" s="568">
        <f t="shared" si="133"/>
        <v>0</v>
      </c>
      <c r="CX324" s="568">
        <f t="shared" si="133"/>
        <v>0</v>
      </c>
      <c r="CY324" s="568">
        <f t="shared" si="133"/>
        <v>0</v>
      </c>
      <c r="CZ324" s="568">
        <f t="shared" si="133"/>
        <v>0</v>
      </c>
    </row>
    <row r="325" spans="1:104" s="180" customFormat="1" x14ac:dyDescent="0.3">
      <c r="A325" s="556">
        <v>1058</v>
      </c>
      <c r="B325" s="557" t="s">
        <v>1519</v>
      </c>
      <c r="C325" s="180">
        <v>248</v>
      </c>
      <c r="D325" s="568">
        <f t="shared" ref="D325:AI325" si="134">D248</f>
        <v>2</v>
      </c>
      <c r="E325" s="568">
        <f t="shared" si="134"/>
        <v>2</v>
      </c>
      <c r="F325" s="568">
        <f t="shared" si="134"/>
        <v>2</v>
      </c>
      <c r="G325" s="568">
        <f t="shared" si="134"/>
        <v>1</v>
      </c>
      <c r="H325" s="568">
        <f t="shared" si="134"/>
        <v>2</v>
      </c>
      <c r="I325" s="568">
        <f t="shared" si="134"/>
        <v>2</v>
      </c>
      <c r="J325" s="568">
        <f t="shared" si="134"/>
        <v>2</v>
      </c>
      <c r="K325" s="568">
        <f t="shared" si="134"/>
        <v>0</v>
      </c>
      <c r="L325" s="568">
        <f t="shared" si="134"/>
        <v>1</v>
      </c>
      <c r="M325" s="568">
        <f t="shared" si="134"/>
        <v>2</v>
      </c>
      <c r="N325" s="568">
        <f t="shared" si="134"/>
        <v>0</v>
      </c>
      <c r="O325" s="568">
        <f t="shared" si="134"/>
        <v>2</v>
      </c>
      <c r="P325" s="568">
        <f t="shared" si="134"/>
        <v>2</v>
      </c>
      <c r="Q325" s="568">
        <f t="shared" si="134"/>
        <v>2</v>
      </c>
      <c r="R325" s="568">
        <f t="shared" si="134"/>
        <v>2</v>
      </c>
      <c r="S325" s="568">
        <f t="shared" si="134"/>
        <v>2</v>
      </c>
      <c r="T325" s="568">
        <f t="shared" si="134"/>
        <v>2</v>
      </c>
      <c r="U325" s="568">
        <f t="shared" si="134"/>
        <v>2</v>
      </c>
      <c r="V325" s="568">
        <f t="shared" si="134"/>
        <v>2</v>
      </c>
      <c r="W325" s="568">
        <f t="shared" si="134"/>
        <v>2</v>
      </c>
      <c r="X325" s="568">
        <f t="shared" si="134"/>
        <v>2</v>
      </c>
      <c r="Y325" s="568">
        <f t="shared" si="134"/>
        <v>2</v>
      </c>
      <c r="Z325" s="568">
        <f t="shared" si="134"/>
        <v>2</v>
      </c>
      <c r="AA325" s="568">
        <f t="shared" si="134"/>
        <v>2</v>
      </c>
      <c r="AB325" s="568">
        <f t="shared" si="134"/>
        <v>2</v>
      </c>
      <c r="AC325" s="568">
        <f t="shared" si="134"/>
        <v>2</v>
      </c>
      <c r="AD325" s="568">
        <f t="shared" si="134"/>
        <v>0</v>
      </c>
      <c r="AE325" s="568">
        <f t="shared" si="134"/>
        <v>1</v>
      </c>
      <c r="AF325" s="568">
        <f t="shared" si="134"/>
        <v>2</v>
      </c>
      <c r="AG325" s="568">
        <f t="shared" si="134"/>
        <v>2</v>
      </c>
      <c r="AH325" s="568">
        <f t="shared" si="134"/>
        <v>2</v>
      </c>
      <c r="AI325" s="568">
        <f t="shared" si="134"/>
        <v>2</v>
      </c>
      <c r="AJ325" s="568">
        <f t="shared" ref="AJ325:BO325" si="135">AJ248</f>
        <v>2</v>
      </c>
      <c r="AK325" s="568">
        <f t="shared" si="135"/>
        <v>2</v>
      </c>
      <c r="AL325" s="568">
        <f t="shared" si="135"/>
        <v>2</v>
      </c>
      <c r="AM325" s="568">
        <f t="shared" si="135"/>
        <v>2</v>
      </c>
      <c r="AN325" s="568">
        <f t="shared" si="135"/>
        <v>2</v>
      </c>
      <c r="AO325" s="568">
        <f t="shared" si="135"/>
        <v>2</v>
      </c>
      <c r="AP325" s="568">
        <f t="shared" si="135"/>
        <v>2</v>
      </c>
      <c r="AQ325" s="568">
        <f t="shared" si="135"/>
        <v>2</v>
      </c>
      <c r="AR325" s="568">
        <f t="shared" si="135"/>
        <v>2</v>
      </c>
      <c r="AS325" s="568">
        <f t="shared" si="135"/>
        <v>1</v>
      </c>
      <c r="AT325" s="568">
        <f t="shared" si="135"/>
        <v>2</v>
      </c>
      <c r="AU325" s="568">
        <f t="shared" si="135"/>
        <v>2</v>
      </c>
      <c r="AV325" s="568">
        <f t="shared" si="135"/>
        <v>2</v>
      </c>
      <c r="AW325" s="568">
        <f t="shared" si="135"/>
        <v>2</v>
      </c>
      <c r="AX325" s="568">
        <f t="shared" si="135"/>
        <v>2</v>
      </c>
      <c r="AY325" s="568">
        <f t="shared" si="135"/>
        <v>2</v>
      </c>
      <c r="AZ325" s="568">
        <f t="shared" si="135"/>
        <v>2</v>
      </c>
      <c r="BA325" s="568">
        <f t="shared" si="135"/>
        <v>2</v>
      </c>
      <c r="BB325" s="568">
        <f t="shared" si="135"/>
        <v>2</v>
      </c>
      <c r="BC325" s="568">
        <f t="shared" si="135"/>
        <v>2</v>
      </c>
      <c r="BD325" s="568">
        <f t="shared" si="135"/>
        <v>2</v>
      </c>
      <c r="BE325" s="568">
        <f t="shared" si="135"/>
        <v>2</v>
      </c>
      <c r="BF325" s="568">
        <f t="shared" si="135"/>
        <v>2</v>
      </c>
      <c r="BG325" s="568">
        <f t="shared" si="135"/>
        <v>1</v>
      </c>
      <c r="BH325" s="568">
        <f t="shared" si="135"/>
        <v>1</v>
      </c>
      <c r="BI325" s="568">
        <f t="shared" si="135"/>
        <v>2</v>
      </c>
      <c r="BJ325" s="568">
        <f t="shared" si="135"/>
        <v>2</v>
      </c>
      <c r="BK325" s="568">
        <f t="shared" si="135"/>
        <v>2</v>
      </c>
      <c r="BL325" s="568">
        <f t="shared" si="135"/>
        <v>2</v>
      </c>
      <c r="BM325" s="568">
        <f t="shared" si="135"/>
        <v>2</v>
      </c>
      <c r="BN325" s="568">
        <f t="shared" si="135"/>
        <v>2</v>
      </c>
      <c r="BO325" s="568">
        <f t="shared" si="135"/>
        <v>2</v>
      </c>
      <c r="BP325" s="568">
        <f t="shared" ref="BP325:CZ325" si="136">BP248</f>
        <v>2</v>
      </c>
      <c r="BQ325" s="568">
        <f t="shared" si="136"/>
        <v>2</v>
      </c>
      <c r="BR325" s="568">
        <f t="shared" si="136"/>
        <v>1</v>
      </c>
      <c r="BS325" s="568">
        <f t="shared" si="136"/>
        <v>2</v>
      </c>
      <c r="BT325" s="568">
        <f t="shared" si="136"/>
        <v>2</v>
      </c>
      <c r="BU325" s="568">
        <f t="shared" si="136"/>
        <v>2</v>
      </c>
      <c r="BV325" s="568">
        <f t="shared" si="136"/>
        <v>2</v>
      </c>
      <c r="BW325" s="568">
        <f t="shared" si="136"/>
        <v>2</v>
      </c>
      <c r="BX325" s="568">
        <f t="shared" si="136"/>
        <v>0</v>
      </c>
      <c r="BY325" s="568">
        <f t="shared" si="136"/>
        <v>0</v>
      </c>
      <c r="BZ325" s="568">
        <f t="shared" si="136"/>
        <v>2</v>
      </c>
      <c r="CA325" s="568">
        <f t="shared" si="136"/>
        <v>2</v>
      </c>
      <c r="CB325" s="568">
        <f t="shared" si="136"/>
        <v>0</v>
      </c>
      <c r="CC325" s="568">
        <f t="shared" si="136"/>
        <v>1</v>
      </c>
      <c r="CD325" s="568">
        <f t="shared" si="136"/>
        <v>2</v>
      </c>
      <c r="CE325" s="568">
        <f t="shared" si="136"/>
        <v>2</v>
      </c>
      <c r="CF325" s="568">
        <f t="shared" si="136"/>
        <v>2</v>
      </c>
      <c r="CG325" s="568">
        <f t="shared" si="136"/>
        <v>2</v>
      </c>
      <c r="CH325" s="568">
        <f t="shared" si="136"/>
        <v>2</v>
      </c>
      <c r="CI325" s="568">
        <f t="shared" si="136"/>
        <v>2</v>
      </c>
      <c r="CJ325" s="568">
        <f t="shared" si="136"/>
        <v>2</v>
      </c>
      <c r="CK325" s="568">
        <f t="shared" si="136"/>
        <v>2</v>
      </c>
      <c r="CL325" s="568">
        <f t="shared" si="136"/>
        <v>2</v>
      </c>
      <c r="CM325" s="568">
        <f t="shared" si="136"/>
        <v>2</v>
      </c>
      <c r="CN325" s="568">
        <f t="shared" si="136"/>
        <v>1</v>
      </c>
      <c r="CO325" s="568">
        <f t="shared" si="136"/>
        <v>1</v>
      </c>
      <c r="CP325" s="568">
        <f t="shared" si="136"/>
        <v>2</v>
      </c>
      <c r="CQ325" s="568">
        <f t="shared" si="136"/>
        <v>2</v>
      </c>
      <c r="CR325" s="568">
        <f t="shared" si="136"/>
        <v>2</v>
      </c>
      <c r="CS325" s="568">
        <f t="shared" si="136"/>
        <v>2</v>
      </c>
      <c r="CT325" s="568">
        <f t="shared" si="136"/>
        <v>0</v>
      </c>
      <c r="CU325" s="568">
        <f t="shared" si="136"/>
        <v>0</v>
      </c>
      <c r="CV325" s="568">
        <f t="shared" si="136"/>
        <v>0</v>
      </c>
      <c r="CW325" s="568">
        <f t="shared" si="136"/>
        <v>0</v>
      </c>
      <c r="CX325" s="568">
        <f t="shared" si="136"/>
        <v>0</v>
      </c>
      <c r="CY325" s="568">
        <f t="shared" si="136"/>
        <v>0</v>
      </c>
      <c r="CZ325" s="568">
        <f t="shared" si="136"/>
        <v>0</v>
      </c>
    </row>
    <row r="326" spans="1:104" s="180" customFormat="1" x14ac:dyDescent="0.3">
      <c r="A326" s="556">
        <v>1059</v>
      </c>
      <c r="B326" s="557" t="s">
        <v>1703</v>
      </c>
      <c r="C326" s="180">
        <v>249</v>
      </c>
      <c r="D326" s="568">
        <f t="shared" ref="D326:AI326" si="137">D249</f>
        <v>1</v>
      </c>
      <c r="E326" s="568">
        <f t="shared" si="137"/>
        <v>1</v>
      </c>
      <c r="F326" s="568">
        <f t="shared" si="137"/>
        <v>1</v>
      </c>
      <c r="G326" s="568">
        <f t="shared" si="137"/>
        <v>1</v>
      </c>
      <c r="H326" s="568">
        <f t="shared" si="137"/>
        <v>1</v>
      </c>
      <c r="I326" s="568">
        <f t="shared" si="137"/>
        <v>1</v>
      </c>
      <c r="J326" s="568">
        <f t="shared" si="137"/>
        <v>1</v>
      </c>
      <c r="K326" s="568">
        <f t="shared" si="137"/>
        <v>0</v>
      </c>
      <c r="L326" s="568">
        <f t="shared" si="137"/>
        <v>1</v>
      </c>
      <c r="M326" s="568">
        <f t="shared" si="137"/>
        <v>1</v>
      </c>
      <c r="N326" s="568">
        <f t="shared" si="137"/>
        <v>0</v>
      </c>
      <c r="O326" s="568">
        <f t="shared" si="137"/>
        <v>1</v>
      </c>
      <c r="P326" s="568">
        <f t="shared" si="137"/>
        <v>1</v>
      </c>
      <c r="Q326" s="568">
        <f t="shared" si="137"/>
        <v>1</v>
      </c>
      <c r="R326" s="568">
        <f t="shared" si="137"/>
        <v>1</v>
      </c>
      <c r="S326" s="568">
        <f t="shared" si="137"/>
        <v>1</v>
      </c>
      <c r="T326" s="568">
        <f t="shared" si="137"/>
        <v>1</v>
      </c>
      <c r="U326" s="568">
        <f t="shared" si="137"/>
        <v>1</v>
      </c>
      <c r="V326" s="568">
        <f t="shared" si="137"/>
        <v>1</v>
      </c>
      <c r="W326" s="568">
        <f t="shared" si="137"/>
        <v>1</v>
      </c>
      <c r="X326" s="568">
        <f t="shared" si="137"/>
        <v>1</v>
      </c>
      <c r="Y326" s="568">
        <f t="shared" si="137"/>
        <v>1</v>
      </c>
      <c r="Z326" s="568">
        <f t="shared" si="137"/>
        <v>1</v>
      </c>
      <c r="AA326" s="568">
        <f t="shared" si="137"/>
        <v>1</v>
      </c>
      <c r="AB326" s="568">
        <f t="shared" si="137"/>
        <v>1</v>
      </c>
      <c r="AC326" s="568">
        <f t="shared" si="137"/>
        <v>1</v>
      </c>
      <c r="AD326" s="568">
        <f t="shared" si="137"/>
        <v>0</v>
      </c>
      <c r="AE326" s="568">
        <f t="shared" si="137"/>
        <v>1</v>
      </c>
      <c r="AF326" s="568">
        <f t="shared" si="137"/>
        <v>1</v>
      </c>
      <c r="AG326" s="568">
        <f t="shared" si="137"/>
        <v>1</v>
      </c>
      <c r="AH326" s="568">
        <f t="shared" si="137"/>
        <v>1</v>
      </c>
      <c r="AI326" s="568">
        <f t="shared" si="137"/>
        <v>1</v>
      </c>
      <c r="AJ326" s="568">
        <f t="shared" ref="AJ326:BO326" si="138">AJ249</f>
        <v>1</v>
      </c>
      <c r="AK326" s="568">
        <f t="shared" si="138"/>
        <v>1</v>
      </c>
      <c r="AL326" s="568">
        <f t="shared" si="138"/>
        <v>1</v>
      </c>
      <c r="AM326" s="568">
        <f t="shared" si="138"/>
        <v>1</v>
      </c>
      <c r="AN326" s="568">
        <f t="shared" si="138"/>
        <v>1</v>
      </c>
      <c r="AO326" s="568">
        <f t="shared" si="138"/>
        <v>1</v>
      </c>
      <c r="AP326" s="568">
        <f t="shared" si="138"/>
        <v>1</v>
      </c>
      <c r="AQ326" s="568">
        <f t="shared" si="138"/>
        <v>1</v>
      </c>
      <c r="AR326" s="568">
        <f t="shared" si="138"/>
        <v>1</v>
      </c>
      <c r="AS326" s="568">
        <f t="shared" si="138"/>
        <v>1</v>
      </c>
      <c r="AT326" s="568">
        <f t="shared" si="138"/>
        <v>1</v>
      </c>
      <c r="AU326" s="568">
        <f t="shared" si="138"/>
        <v>1</v>
      </c>
      <c r="AV326" s="568">
        <f t="shared" si="138"/>
        <v>1</v>
      </c>
      <c r="AW326" s="568">
        <f t="shared" si="138"/>
        <v>1</v>
      </c>
      <c r="AX326" s="568">
        <f t="shared" si="138"/>
        <v>1</v>
      </c>
      <c r="AY326" s="568">
        <f t="shared" si="138"/>
        <v>1</v>
      </c>
      <c r="AZ326" s="568">
        <f t="shared" si="138"/>
        <v>1</v>
      </c>
      <c r="BA326" s="568">
        <f t="shared" si="138"/>
        <v>1</v>
      </c>
      <c r="BB326" s="568">
        <f t="shared" si="138"/>
        <v>1</v>
      </c>
      <c r="BC326" s="568">
        <f t="shared" si="138"/>
        <v>1</v>
      </c>
      <c r="BD326" s="568">
        <f t="shared" si="138"/>
        <v>1</v>
      </c>
      <c r="BE326" s="568">
        <f t="shared" si="138"/>
        <v>1</v>
      </c>
      <c r="BF326" s="568">
        <f t="shared" si="138"/>
        <v>1</v>
      </c>
      <c r="BG326" s="568">
        <f t="shared" si="138"/>
        <v>1</v>
      </c>
      <c r="BH326" s="568">
        <f t="shared" si="138"/>
        <v>1</v>
      </c>
      <c r="BI326" s="568">
        <f t="shared" si="138"/>
        <v>1</v>
      </c>
      <c r="BJ326" s="568">
        <f t="shared" si="138"/>
        <v>1</v>
      </c>
      <c r="BK326" s="568">
        <f t="shared" si="138"/>
        <v>1</v>
      </c>
      <c r="BL326" s="568">
        <f t="shared" si="138"/>
        <v>1</v>
      </c>
      <c r="BM326" s="568">
        <f t="shared" si="138"/>
        <v>1</v>
      </c>
      <c r="BN326" s="568">
        <f t="shared" si="138"/>
        <v>1</v>
      </c>
      <c r="BO326" s="568">
        <f t="shared" si="138"/>
        <v>1</v>
      </c>
      <c r="BP326" s="568">
        <f t="shared" ref="BP326:CZ326" si="139">BP249</f>
        <v>1</v>
      </c>
      <c r="BQ326" s="568">
        <f t="shared" si="139"/>
        <v>1</v>
      </c>
      <c r="BR326" s="568">
        <f t="shared" si="139"/>
        <v>1</v>
      </c>
      <c r="BS326" s="568">
        <f t="shared" si="139"/>
        <v>1</v>
      </c>
      <c r="BT326" s="568">
        <f t="shared" si="139"/>
        <v>1</v>
      </c>
      <c r="BU326" s="568">
        <f t="shared" si="139"/>
        <v>1</v>
      </c>
      <c r="BV326" s="568">
        <f t="shared" si="139"/>
        <v>1</v>
      </c>
      <c r="BW326" s="568">
        <f t="shared" si="139"/>
        <v>1</v>
      </c>
      <c r="BX326" s="568">
        <f t="shared" si="139"/>
        <v>0</v>
      </c>
      <c r="BY326" s="568">
        <f t="shared" si="139"/>
        <v>0</v>
      </c>
      <c r="BZ326" s="568">
        <f t="shared" si="139"/>
        <v>1</v>
      </c>
      <c r="CA326" s="568">
        <f t="shared" si="139"/>
        <v>1</v>
      </c>
      <c r="CB326" s="568">
        <f t="shared" si="139"/>
        <v>0</v>
      </c>
      <c r="CC326" s="568">
        <f t="shared" si="139"/>
        <v>1</v>
      </c>
      <c r="CD326" s="568">
        <f t="shared" si="139"/>
        <v>1</v>
      </c>
      <c r="CE326" s="568">
        <f t="shared" si="139"/>
        <v>1</v>
      </c>
      <c r="CF326" s="568">
        <f t="shared" si="139"/>
        <v>1</v>
      </c>
      <c r="CG326" s="568">
        <f t="shared" si="139"/>
        <v>1</v>
      </c>
      <c r="CH326" s="568">
        <f t="shared" si="139"/>
        <v>1</v>
      </c>
      <c r="CI326" s="568">
        <f t="shared" si="139"/>
        <v>1</v>
      </c>
      <c r="CJ326" s="568">
        <f t="shared" si="139"/>
        <v>1</v>
      </c>
      <c r="CK326" s="568">
        <f t="shared" si="139"/>
        <v>1</v>
      </c>
      <c r="CL326" s="568">
        <f t="shared" si="139"/>
        <v>1</v>
      </c>
      <c r="CM326" s="568">
        <f t="shared" si="139"/>
        <v>1</v>
      </c>
      <c r="CN326" s="568">
        <f t="shared" si="139"/>
        <v>1</v>
      </c>
      <c r="CO326" s="568">
        <f t="shared" si="139"/>
        <v>1</v>
      </c>
      <c r="CP326" s="568">
        <f t="shared" si="139"/>
        <v>1</v>
      </c>
      <c r="CQ326" s="568">
        <f t="shared" si="139"/>
        <v>1</v>
      </c>
      <c r="CR326" s="568">
        <f t="shared" si="139"/>
        <v>1</v>
      </c>
      <c r="CS326" s="568">
        <f t="shared" si="139"/>
        <v>1</v>
      </c>
      <c r="CT326" s="568">
        <f t="shared" si="139"/>
        <v>0</v>
      </c>
      <c r="CU326" s="568">
        <f t="shared" si="139"/>
        <v>0</v>
      </c>
      <c r="CV326" s="568">
        <f t="shared" si="139"/>
        <v>0</v>
      </c>
      <c r="CW326" s="568">
        <f t="shared" si="139"/>
        <v>0</v>
      </c>
      <c r="CX326" s="568">
        <f t="shared" si="139"/>
        <v>0</v>
      </c>
      <c r="CY326" s="568">
        <f t="shared" si="139"/>
        <v>0</v>
      </c>
      <c r="CZ326" s="568">
        <f t="shared" si="139"/>
        <v>0</v>
      </c>
    </row>
    <row r="327" spans="1:104" s="562" customFormat="1" x14ac:dyDescent="0.3">
      <c r="A327" s="561" t="s">
        <v>1059</v>
      </c>
      <c r="D327" s="562">
        <f>SUM(D285:D326)</f>
        <v>1273846</v>
      </c>
      <c r="E327" s="562">
        <f t="shared" ref="E327:BP327" si="140">SUM(E285:E326)</f>
        <v>19174136</v>
      </c>
      <c r="F327" s="562">
        <f t="shared" si="140"/>
        <v>12941433.01</v>
      </c>
      <c r="G327" s="251">
        <f>SUM(G285:G326)</f>
        <v>1159253</v>
      </c>
      <c r="H327" s="562">
        <f t="shared" si="140"/>
        <v>43209213</v>
      </c>
      <c r="I327" s="562">
        <f t="shared" si="140"/>
        <v>4225265.01</v>
      </c>
      <c r="J327" s="562">
        <f t="shared" si="140"/>
        <v>15615968.01</v>
      </c>
      <c r="K327" s="562">
        <f t="shared" si="140"/>
        <v>50425.1</v>
      </c>
      <c r="L327" s="562">
        <f t="shared" si="140"/>
        <v>3678059.01</v>
      </c>
      <c r="M327" s="562">
        <f t="shared" si="140"/>
        <v>237296896.07999998</v>
      </c>
      <c r="N327" s="562">
        <f t="shared" si="140"/>
        <v>50428.01</v>
      </c>
      <c r="O327" s="562">
        <f t="shared" si="140"/>
        <v>2399900</v>
      </c>
      <c r="P327" s="562">
        <f t="shared" si="140"/>
        <v>8378506.0099999998</v>
      </c>
      <c r="Q327" s="562">
        <f t="shared" si="140"/>
        <v>5649707.0099999998</v>
      </c>
      <c r="R327" s="562">
        <f t="shared" si="140"/>
        <v>390518</v>
      </c>
      <c r="S327" s="562">
        <f t="shared" si="140"/>
        <v>980537.01</v>
      </c>
      <c r="T327" s="562">
        <f t="shared" si="140"/>
        <v>7218530</v>
      </c>
      <c r="U327" s="562">
        <f t="shared" si="140"/>
        <v>17056530</v>
      </c>
      <c r="V327" s="562">
        <f t="shared" si="140"/>
        <v>50658396</v>
      </c>
      <c r="W327" s="562">
        <f t="shared" si="140"/>
        <v>87913067.00999999</v>
      </c>
      <c r="X327" s="562">
        <f t="shared" si="140"/>
        <v>38473422</v>
      </c>
      <c r="Y327" s="562">
        <f t="shared" si="140"/>
        <v>7663413.0099999998</v>
      </c>
      <c r="Z327" s="562">
        <f t="shared" si="140"/>
        <v>30306729</v>
      </c>
      <c r="AA327" s="562">
        <f t="shared" si="140"/>
        <v>24543206.009999998</v>
      </c>
      <c r="AB327" s="562">
        <f t="shared" si="140"/>
        <v>229185</v>
      </c>
      <c r="AC327" s="562">
        <f t="shared" si="140"/>
        <v>73460596.090000004</v>
      </c>
      <c r="AD327" s="562">
        <f t="shared" si="140"/>
        <v>50439.01</v>
      </c>
      <c r="AE327" s="562">
        <f t="shared" si="140"/>
        <v>10422835.01</v>
      </c>
      <c r="AF327" s="562">
        <f t="shared" si="140"/>
        <v>1685554.01</v>
      </c>
      <c r="AG327" s="562">
        <f t="shared" si="140"/>
        <v>152521861.00999999</v>
      </c>
      <c r="AH327" s="562">
        <f t="shared" si="140"/>
        <v>4849219</v>
      </c>
      <c r="AI327" s="562">
        <f t="shared" si="140"/>
        <v>36178129.039999999</v>
      </c>
      <c r="AJ327" s="562">
        <f t="shared" si="140"/>
        <v>12262326</v>
      </c>
      <c r="AK327" s="562">
        <f t="shared" si="140"/>
        <v>4149602.01</v>
      </c>
      <c r="AL327" s="562">
        <f t="shared" si="140"/>
        <v>23505354.009999998</v>
      </c>
      <c r="AM327" s="562">
        <f t="shared" si="140"/>
        <v>29142950.009999998</v>
      </c>
      <c r="AN327" s="562">
        <f t="shared" si="140"/>
        <v>18100676.009999998</v>
      </c>
      <c r="AO327" s="562">
        <f t="shared" si="140"/>
        <v>8890036.0099999998</v>
      </c>
      <c r="AP327" s="562">
        <f t="shared" si="140"/>
        <v>586299.32999999996</v>
      </c>
      <c r="AQ327" s="562">
        <f t="shared" si="140"/>
        <v>3835091</v>
      </c>
      <c r="AR327" s="562">
        <f t="shared" si="140"/>
        <v>31679649.009999998</v>
      </c>
      <c r="AS327" s="562">
        <f t="shared" si="140"/>
        <v>2986999.01</v>
      </c>
      <c r="AT327" s="562">
        <f t="shared" si="140"/>
        <v>1979397</v>
      </c>
      <c r="AU327" s="562">
        <f t="shared" si="140"/>
        <v>3075328</v>
      </c>
      <c r="AV327" s="562">
        <f t="shared" si="140"/>
        <v>3247829</v>
      </c>
      <c r="AW327" s="562">
        <f t="shared" si="140"/>
        <v>426935</v>
      </c>
      <c r="AX327" s="562">
        <f t="shared" si="140"/>
        <v>2193826.0099999998</v>
      </c>
      <c r="AY327" s="562">
        <f t="shared" si="140"/>
        <v>33896385.009999998</v>
      </c>
      <c r="AZ327" s="562">
        <f t="shared" si="140"/>
        <v>4480583.01</v>
      </c>
      <c r="BA327" s="562">
        <f t="shared" si="140"/>
        <v>516432395.07999998</v>
      </c>
      <c r="BB327" s="562">
        <f t="shared" si="140"/>
        <v>14321602</v>
      </c>
      <c r="BC327" s="562">
        <f t="shared" si="140"/>
        <v>23225178.009999998</v>
      </c>
      <c r="BD327" s="562">
        <f t="shared" si="140"/>
        <v>9105390</v>
      </c>
      <c r="BE327" s="562">
        <f t="shared" si="140"/>
        <v>6053958.0099999998</v>
      </c>
      <c r="BF327" s="562">
        <f t="shared" si="140"/>
        <v>7750120.0099999998</v>
      </c>
      <c r="BG327" s="562">
        <f t="shared" si="140"/>
        <v>1142250.1000000001</v>
      </c>
      <c r="BH327" s="562">
        <f t="shared" si="140"/>
        <v>6063393.0099999998</v>
      </c>
      <c r="BI327" s="562">
        <f t="shared" si="140"/>
        <v>16794132.009999998</v>
      </c>
      <c r="BJ327" s="562">
        <f t="shared" si="140"/>
        <v>127239115.14</v>
      </c>
      <c r="BK327" s="562">
        <f t="shared" si="140"/>
        <v>1234363</v>
      </c>
      <c r="BL327" s="562">
        <f t="shared" si="140"/>
        <v>424491</v>
      </c>
      <c r="BM327" s="562">
        <f t="shared" si="140"/>
        <v>106916980</v>
      </c>
      <c r="BN327" s="562">
        <f t="shared" si="140"/>
        <v>85617421.099999994</v>
      </c>
      <c r="BO327" s="562">
        <f t="shared" si="140"/>
        <v>37413258.979999997</v>
      </c>
      <c r="BP327" s="562">
        <f t="shared" si="140"/>
        <v>646497</v>
      </c>
      <c r="BQ327" s="562">
        <f t="shared" ref="BQ327:CZ327" si="141">SUM(BQ285:BQ326)</f>
        <v>9947660</v>
      </c>
      <c r="BR327" s="562">
        <f t="shared" si="141"/>
        <v>8198696.0099999998</v>
      </c>
      <c r="BS327" s="562">
        <f t="shared" si="141"/>
        <v>74586468</v>
      </c>
      <c r="BT327" s="562">
        <f t="shared" si="141"/>
        <v>9198737</v>
      </c>
      <c r="BU327" s="562">
        <f t="shared" si="141"/>
        <v>5597769</v>
      </c>
      <c r="BV327" s="562">
        <f t="shared" si="141"/>
        <v>9319427.0099999998</v>
      </c>
      <c r="BW327" s="562">
        <f t="shared" si="141"/>
        <v>17685502</v>
      </c>
      <c r="BX327" s="562">
        <f t="shared" si="141"/>
        <v>50470.01</v>
      </c>
      <c r="BY327" s="562">
        <f t="shared" si="141"/>
        <v>50471.01</v>
      </c>
      <c r="BZ327" s="562">
        <f t="shared" si="141"/>
        <v>40859826.009999998</v>
      </c>
      <c r="CA327" s="562">
        <f t="shared" si="141"/>
        <v>1103527.01</v>
      </c>
      <c r="CB327" s="562">
        <f t="shared" si="141"/>
        <v>50473.01</v>
      </c>
      <c r="CC327" s="562">
        <f t="shared" si="141"/>
        <v>49394456.009999998</v>
      </c>
      <c r="CD327" s="562">
        <f t="shared" si="141"/>
        <v>1352797054.0142</v>
      </c>
      <c r="CE327" s="562">
        <f t="shared" si="141"/>
        <v>441425689.09000003</v>
      </c>
      <c r="CF327" s="562">
        <f t="shared" si="141"/>
        <v>5685201</v>
      </c>
      <c r="CG327" s="562">
        <f t="shared" si="141"/>
        <v>30958800.100000001</v>
      </c>
      <c r="CH327" s="562">
        <f t="shared" si="141"/>
        <v>1680290.01</v>
      </c>
      <c r="CI327" s="562">
        <f t="shared" si="141"/>
        <v>24546549.009999998</v>
      </c>
      <c r="CJ327" s="562">
        <f t="shared" si="141"/>
        <v>2040495378.3699999</v>
      </c>
      <c r="CK327" s="562">
        <f t="shared" si="141"/>
        <v>79911481.099999994</v>
      </c>
      <c r="CL327" s="562">
        <f t="shared" si="141"/>
        <v>3942745.01</v>
      </c>
      <c r="CM327" s="562">
        <f t="shared" si="141"/>
        <v>30032282</v>
      </c>
      <c r="CN327" s="562">
        <f t="shared" si="141"/>
        <v>4297342.01</v>
      </c>
      <c r="CO327" s="562">
        <f t="shared" si="141"/>
        <v>74751485.00999999</v>
      </c>
      <c r="CP327" s="562">
        <f t="shared" si="141"/>
        <v>18121903.009999998</v>
      </c>
      <c r="CQ327" s="562">
        <f t="shared" si="141"/>
        <v>10833267.01</v>
      </c>
      <c r="CR327" s="562">
        <f t="shared" si="141"/>
        <v>18174686</v>
      </c>
      <c r="CS327" s="562">
        <f t="shared" si="141"/>
        <v>98421683</v>
      </c>
      <c r="CT327" s="562">
        <f t="shared" si="141"/>
        <v>0</v>
      </c>
      <c r="CU327" s="562">
        <f t="shared" si="141"/>
        <v>0</v>
      </c>
      <c r="CV327" s="562">
        <f t="shared" si="141"/>
        <v>0</v>
      </c>
      <c r="CW327" s="562">
        <f t="shared" si="141"/>
        <v>0</v>
      </c>
      <c r="CX327" s="562">
        <f t="shared" si="141"/>
        <v>0</v>
      </c>
      <c r="CY327" s="562">
        <f t="shared" si="141"/>
        <v>0</v>
      </c>
      <c r="CZ327" s="562">
        <f t="shared" si="141"/>
        <v>0</v>
      </c>
    </row>
    <row r="328" spans="1:104" s="562" customFormat="1" x14ac:dyDescent="0.3">
      <c r="A328" s="561"/>
    </row>
    <row r="329" spans="1:104" s="562" customFormat="1" x14ac:dyDescent="0.3">
      <c r="A329" s="561" t="s">
        <v>1722</v>
      </c>
      <c r="D329" s="798">
        <f>D280-D327</f>
        <v>7394437</v>
      </c>
      <c r="E329" s="798">
        <f t="shared" ref="E329:BP329" si="142">E280-E327</f>
        <v>74978282.609999999</v>
      </c>
      <c r="F329" s="798">
        <f t="shared" si="142"/>
        <v>84438224.556499988</v>
      </c>
      <c r="G329" s="798">
        <f t="shared" si="142"/>
        <v>6254004.5549999997</v>
      </c>
      <c r="H329" s="798">
        <f t="shared" si="142"/>
        <v>246983488.88599998</v>
      </c>
      <c r="I329" s="798">
        <f t="shared" si="142"/>
        <v>45569584.080000006</v>
      </c>
      <c r="J329" s="798">
        <f t="shared" si="142"/>
        <v>145639410.40000001</v>
      </c>
      <c r="K329" s="798">
        <f t="shared" si="142"/>
        <v>0</v>
      </c>
      <c r="L329" s="798">
        <f t="shared" si="142"/>
        <v>31415378.020000003</v>
      </c>
      <c r="M329" s="798">
        <f t="shared" si="142"/>
        <v>2033538894.54</v>
      </c>
      <c r="N329" s="798">
        <f t="shared" si="142"/>
        <v>0</v>
      </c>
      <c r="O329" s="798">
        <f t="shared" si="142"/>
        <v>13573574.609999999</v>
      </c>
      <c r="P329" s="798">
        <f t="shared" si="142"/>
        <v>51801610</v>
      </c>
      <c r="Q329" s="798">
        <f t="shared" si="142"/>
        <v>61782494.039999999</v>
      </c>
      <c r="R329" s="798">
        <f t="shared" si="142"/>
        <v>2495366.04</v>
      </c>
      <c r="S329" s="798">
        <f t="shared" si="142"/>
        <v>25371941.719999999</v>
      </c>
      <c r="T329" s="798">
        <f t="shared" si="142"/>
        <v>34381978.649999999</v>
      </c>
      <c r="U329" s="798">
        <f t="shared" si="142"/>
        <v>71519302.607500002</v>
      </c>
      <c r="V329" s="798">
        <f t="shared" si="142"/>
        <v>167923330.15000001</v>
      </c>
      <c r="W329" s="798">
        <f t="shared" si="142"/>
        <v>579008574.77999997</v>
      </c>
      <c r="X329" s="798">
        <f t="shared" si="142"/>
        <v>86823904.140000001</v>
      </c>
      <c r="Y329" s="798">
        <f t="shared" si="142"/>
        <v>72415752</v>
      </c>
      <c r="Z329" s="798">
        <f t="shared" si="142"/>
        <v>126286505.465</v>
      </c>
      <c r="AA329" s="798">
        <f t="shared" si="142"/>
        <v>129599774.15000001</v>
      </c>
      <c r="AB329" s="798">
        <f t="shared" si="142"/>
        <v>1403104.86</v>
      </c>
      <c r="AC329" s="798">
        <f t="shared" si="142"/>
        <v>732020147.29999995</v>
      </c>
      <c r="AD329" s="798">
        <f t="shared" si="142"/>
        <v>0</v>
      </c>
      <c r="AE329" s="798">
        <f t="shared" si="142"/>
        <v>45383039.700000003</v>
      </c>
      <c r="AF329" s="798">
        <f t="shared" si="142"/>
        <v>24889891.449999999</v>
      </c>
      <c r="AG329" s="798">
        <f t="shared" si="142"/>
        <v>963311489.38000011</v>
      </c>
      <c r="AH329" s="798">
        <f t="shared" si="142"/>
        <v>24917784.289999999</v>
      </c>
      <c r="AI329" s="798">
        <f t="shared" si="142"/>
        <v>132078372.02000001</v>
      </c>
      <c r="AJ329" s="798">
        <f t="shared" si="142"/>
        <v>46145792.600000001</v>
      </c>
      <c r="AK329" s="798">
        <f t="shared" si="142"/>
        <v>33610480.890000001</v>
      </c>
      <c r="AL329" s="798">
        <f t="shared" si="142"/>
        <v>221264476.62</v>
      </c>
      <c r="AM329" s="798">
        <f t="shared" si="142"/>
        <v>199843953.83000001</v>
      </c>
      <c r="AN329" s="798">
        <f t="shared" si="142"/>
        <v>119065733.38</v>
      </c>
      <c r="AO329" s="798">
        <f t="shared" si="142"/>
        <v>97423206.361000001</v>
      </c>
      <c r="AP329" s="798">
        <f t="shared" si="142"/>
        <v>5327984.24</v>
      </c>
      <c r="AQ329" s="798">
        <f t="shared" si="142"/>
        <v>24737624.710000001</v>
      </c>
      <c r="AR329" s="798">
        <f t="shared" si="142"/>
        <v>288002931.75</v>
      </c>
      <c r="AS329" s="798">
        <f t="shared" si="142"/>
        <v>46191198.280000001</v>
      </c>
      <c r="AT329" s="798">
        <f t="shared" si="142"/>
        <v>5588971.3300000001</v>
      </c>
      <c r="AU329" s="798">
        <f t="shared" si="142"/>
        <v>15526099.879999999</v>
      </c>
      <c r="AV329" s="798">
        <f t="shared" si="142"/>
        <v>14288758.225000001</v>
      </c>
      <c r="AW329" s="798">
        <f t="shared" si="142"/>
        <v>2344158.71</v>
      </c>
      <c r="AX329" s="798">
        <f t="shared" si="142"/>
        <v>12279925.17</v>
      </c>
      <c r="AY329" s="798">
        <f t="shared" si="142"/>
        <v>184050918.40600002</v>
      </c>
      <c r="AZ329" s="798">
        <f t="shared" si="142"/>
        <v>33579583.940000005</v>
      </c>
      <c r="BA329" s="798">
        <f t="shared" si="142"/>
        <v>1711613990.835</v>
      </c>
      <c r="BB329" s="798">
        <f t="shared" si="142"/>
        <v>64268068.120000005</v>
      </c>
      <c r="BC329" s="798">
        <f t="shared" si="142"/>
        <v>198175247.06</v>
      </c>
      <c r="BD329" s="798">
        <f t="shared" si="142"/>
        <v>37523898.859999999</v>
      </c>
      <c r="BE329" s="798">
        <f t="shared" si="142"/>
        <v>56523677.380000003</v>
      </c>
      <c r="BF329" s="798">
        <f t="shared" si="142"/>
        <v>58001708.25</v>
      </c>
      <c r="BG329" s="798">
        <f t="shared" si="142"/>
        <v>18185221.16</v>
      </c>
      <c r="BH329" s="798">
        <f t="shared" si="142"/>
        <v>77555900.75</v>
      </c>
      <c r="BI329" s="798">
        <f t="shared" si="142"/>
        <v>165342645.09</v>
      </c>
      <c r="BJ329" s="798">
        <f t="shared" si="142"/>
        <v>1084467942.4199998</v>
      </c>
      <c r="BK329" s="798">
        <f t="shared" si="142"/>
        <v>6246593.6200000001</v>
      </c>
      <c r="BL329" s="798">
        <f t="shared" si="142"/>
        <v>3115662.08</v>
      </c>
      <c r="BM329" s="798">
        <f t="shared" si="142"/>
        <v>434811991.85500002</v>
      </c>
      <c r="BN329" s="798">
        <f t="shared" si="142"/>
        <v>627086980.88919997</v>
      </c>
      <c r="BO329" s="798">
        <f t="shared" si="142"/>
        <v>227250851.03</v>
      </c>
      <c r="BP329" s="798">
        <f t="shared" si="142"/>
        <v>3370413.79</v>
      </c>
      <c r="BQ329" s="798">
        <f t="shared" ref="BQ329:CZ329" si="143">BQ280-BQ327</f>
        <v>51027954.188000001</v>
      </c>
      <c r="BR329" s="798">
        <f t="shared" si="143"/>
        <v>90586717.049999997</v>
      </c>
      <c r="BS329" s="798">
        <f t="shared" si="143"/>
        <v>289830808.88</v>
      </c>
      <c r="BT329" s="798">
        <f t="shared" si="143"/>
        <v>30931235</v>
      </c>
      <c r="BU329" s="798">
        <f t="shared" si="143"/>
        <v>20572829.120000001</v>
      </c>
      <c r="BV329" s="798">
        <f t="shared" si="143"/>
        <v>105396401.48999999</v>
      </c>
      <c r="BW329" s="798">
        <f t="shared" si="143"/>
        <v>86708916.329999998</v>
      </c>
      <c r="BX329" s="798">
        <f t="shared" si="143"/>
        <v>0</v>
      </c>
      <c r="BY329" s="798">
        <f t="shared" si="143"/>
        <v>0</v>
      </c>
      <c r="BZ329" s="798">
        <f t="shared" si="143"/>
        <v>211680457.90000001</v>
      </c>
      <c r="CA329" s="798">
        <f t="shared" si="143"/>
        <v>9595960.5999999996</v>
      </c>
      <c r="CB329" s="798">
        <f t="shared" si="143"/>
        <v>0</v>
      </c>
      <c r="CC329" s="798">
        <f t="shared" si="143"/>
        <v>287418516.94</v>
      </c>
      <c r="CD329" s="798">
        <f t="shared" si="143"/>
        <v>3234812485.6507998</v>
      </c>
      <c r="CE329" s="798">
        <f t="shared" si="143"/>
        <v>3478799474.7950001</v>
      </c>
      <c r="CF329" s="798">
        <f t="shared" si="143"/>
        <v>56936323.420000002</v>
      </c>
      <c r="CG329" s="798">
        <f t="shared" si="143"/>
        <v>193308641.41499999</v>
      </c>
      <c r="CH329" s="798">
        <f t="shared" si="143"/>
        <v>33025288.809999999</v>
      </c>
      <c r="CI329" s="798">
        <f t="shared" si="143"/>
        <v>103625058.72</v>
      </c>
      <c r="CJ329" s="798">
        <f t="shared" si="143"/>
        <v>11306367938.732399</v>
      </c>
      <c r="CK329" s="798">
        <f t="shared" si="143"/>
        <v>465534203.35500002</v>
      </c>
      <c r="CL329" s="798">
        <f t="shared" si="143"/>
        <v>41294273.700000003</v>
      </c>
      <c r="CM329" s="798">
        <f t="shared" si="143"/>
        <v>93412002.900000006</v>
      </c>
      <c r="CN329" s="798">
        <f t="shared" si="143"/>
        <v>35451676.200000003</v>
      </c>
      <c r="CO329" s="798">
        <f t="shared" si="143"/>
        <v>393505967.89230001</v>
      </c>
      <c r="CP329" s="798">
        <f t="shared" si="143"/>
        <v>159803447.15000001</v>
      </c>
      <c r="CQ329" s="798">
        <f t="shared" si="143"/>
        <v>96594961.030000001</v>
      </c>
      <c r="CR329" s="798">
        <f t="shared" si="143"/>
        <v>62834615.375</v>
      </c>
      <c r="CS329" s="798">
        <f t="shared" si="143"/>
        <v>346767101.77999997</v>
      </c>
      <c r="CT329" s="798">
        <f t="shared" si="143"/>
        <v>0</v>
      </c>
      <c r="CU329" s="798">
        <f t="shared" si="143"/>
        <v>0</v>
      </c>
      <c r="CV329" s="798">
        <f t="shared" si="143"/>
        <v>0</v>
      </c>
      <c r="CW329" s="798">
        <f t="shared" si="143"/>
        <v>0</v>
      </c>
      <c r="CX329" s="798">
        <f t="shared" si="143"/>
        <v>0</v>
      </c>
      <c r="CY329" s="798">
        <f t="shared" si="143"/>
        <v>0</v>
      </c>
      <c r="CZ329" s="798">
        <f t="shared" si="143"/>
        <v>0</v>
      </c>
    </row>
    <row r="330" spans="1:104" s="562" customFormat="1" x14ac:dyDescent="0.3">
      <c r="A330" s="561"/>
    </row>
    <row r="331" spans="1:104" x14ac:dyDescent="0.3">
      <c r="A331" s="563">
        <v>1</v>
      </c>
      <c r="B331" s="180"/>
      <c r="C331" s="180"/>
      <c r="D331" s="564">
        <f t="shared" ref="D331:AI331" si="144">D258</f>
        <v>1070398</v>
      </c>
      <c r="E331" s="564">
        <f t="shared" si="144"/>
        <v>12904925</v>
      </c>
      <c r="F331" s="564">
        <f t="shared" si="144"/>
        <v>4938313</v>
      </c>
      <c r="G331" s="564">
        <f t="shared" si="144"/>
        <v>1045260</v>
      </c>
      <c r="H331" s="564">
        <f t="shared" si="144"/>
        <v>33350928</v>
      </c>
      <c r="I331" s="564">
        <f t="shared" si="144"/>
        <v>2647897</v>
      </c>
      <c r="J331" s="564">
        <f t="shared" si="144"/>
        <v>8016151</v>
      </c>
      <c r="K331" s="564">
        <f t="shared" si="144"/>
        <v>0</v>
      </c>
      <c r="L331" s="564">
        <f t="shared" si="144"/>
        <v>2702877</v>
      </c>
      <c r="M331" s="564">
        <f t="shared" si="144"/>
        <v>108065381</v>
      </c>
      <c r="N331" s="564">
        <f t="shared" si="144"/>
        <v>0</v>
      </c>
      <c r="O331" s="564">
        <f t="shared" si="144"/>
        <v>1753046</v>
      </c>
      <c r="P331" s="564">
        <f t="shared" si="144"/>
        <v>5465106</v>
      </c>
      <c r="Q331" s="564">
        <f t="shared" si="144"/>
        <v>3239260</v>
      </c>
      <c r="R331" s="564">
        <f t="shared" si="144"/>
        <v>339933</v>
      </c>
      <c r="S331" s="564">
        <f t="shared" si="144"/>
        <v>685501</v>
      </c>
      <c r="T331" s="564">
        <f t="shared" si="144"/>
        <v>5089900</v>
      </c>
      <c r="U331" s="564">
        <f t="shared" si="144"/>
        <v>15303033</v>
      </c>
      <c r="V331" s="564">
        <f t="shared" si="144"/>
        <v>35035565</v>
      </c>
      <c r="W331" s="564">
        <f t="shared" si="144"/>
        <v>59328200</v>
      </c>
      <c r="X331" s="564">
        <f t="shared" si="144"/>
        <v>19116373</v>
      </c>
      <c r="Y331" s="564">
        <f t="shared" si="144"/>
        <v>4250784</v>
      </c>
      <c r="Z331" s="564">
        <f t="shared" si="144"/>
        <v>26181479</v>
      </c>
      <c r="AA331" s="564">
        <f t="shared" si="144"/>
        <v>11205755</v>
      </c>
      <c r="AB331" s="564">
        <f t="shared" si="144"/>
        <v>152622</v>
      </c>
      <c r="AC331" s="564">
        <f t="shared" si="144"/>
        <v>23582155</v>
      </c>
      <c r="AD331" s="564">
        <f t="shared" si="144"/>
        <v>0</v>
      </c>
      <c r="AE331" s="564">
        <f t="shared" si="144"/>
        <v>2342680</v>
      </c>
      <c r="AF331" s="564">
        <f t="shared" si="144"/>
        <v>1141827</v>
      </c>
      <c r="AG331" s="564">
        <f t="shared" si="144"/>
        <v>63364987</v>
      </c>
      <c r="AH331" s="564">
        <f t="shared" si="144"/>
        <v>4298310</v>
      </c>
      <c r="AI331" s="564">
        <f t="shared" si="144"/>
        <v>20596128</v>
      </c>
      <c r="AJ331" s="564">
        <f t="shared" ref="AJ331:BO331" si="145">AJ258</f>
        <v>9811818</v>
      </c>
      <c r="AK331" s="564">
        <f t="shared" si="145"/>
        <v>1697374</v>
      </c>
      <c r="AL331" s="564">
        <f t="shared" si="145"/>
        <v>15003987</v>
      </c>
      <c r="AM331" s="564">
        <f t="shared" si="145"/>
        <v>17654430</v>
      </c>
      <c r="AN331" s="564">
        <f t="shared" si="145"/>
        <v>9629557</v>
      </c>
      <c r="AO331" s="564">
        <f t="shared" si="145"/>
        <v>6583131</v>
      </c>
      <c r="AP331" s="564">
        <f t="shared" si="145"/>
        <v>341770</v>
      </c>
      <c r="AQ331" s="564">
        <f t="shared" si="145"/>
        <v>3656307</v>
      </c>
      <c r="AR331" s="564">
        <f t="shared" si="145"/>
        <v>17119656</v>
      </c>
      <c r="AS331" s="564">
        <f t="shared" si="145"/>
        <v>1660990</v>
      </c>
      <c r="AT331" s="564">
        <f t="shared" si="145"/>
        <v>1773496</v>
      </c>
      <c r="AU331" s="564">
        <f t="shared" si="145"/>
        <v>2881685</v>
      </c>
      <c r="AV331" s="564">
        <f t="shared" si="145"/>
        <v>1938382</v>
      </c>
      <c r="AW331" s="564">
        <f t="shared" si="145"/>
        <v>298313</v>
      </c>
      <c r="AX331" s="564">
        <f t="shared" si="145"/>
        <v>1417115</v>
      </c>
      <c r="AY331" s="564">
        <f t="shared" si="145"/>
        <v>14447127</v>
      </c>
      <c r="AZ331" s="564">
        <f t="shared" si="145"/>
        <v>3225432</v>
      </c>
      <c r="BA331" s="564">
        <f t="shared" si="145"/>
        <v>378774287</v>
      </c>
      <c r="BB331" s="564">
        <f t="shared" si="145"/>
        <v>10801484</v>
      </c>
      <c r="BC331" s="564">
        <f t="shared" si="145"/>
        <v>9148245</v>
      </c>
      <c r="BD331" s="564">
        <f t="shared" si="145"/>
        <v>8691093</v>
      </c>
      <c r="BE331" s="564">
        <f t="shared" si="145"/>
        <v>3426584</v>
      </c>
      <c r="BF331" s="564">
        <f t="shared" si="145"/>
        <v>5707869</v>
      </c>
      <c r="BG331" s="564">
        <f t="shared" si="145"/>
        <v>403495</v>
      </c>
      <c r="BH331" s="564">
        <f t="shared" si="145"/>
        <v>2388790</v>
      </c>
      <c r="BI331" s="564">
        <f t="shared" si="145"/>
        <v>6576894</v>
      </c>
      <c r="BJ331" s="564">
        <f t="shared" si="145"/>
        <v>54604303</v>
      </c>
      <c r="BK331" s="564">
        <f t="shared" si="145"/>
        <v>898539</v>
      </c>
      <c r="BL331" s="564">
        <f t="shared" si="145"/>
        <v>373903</v>
      </c>
      <c r="BM331" s="564">
        <f t="shared" si="145"/>
        <v>88211751</v>
      </c>
      <c r="BN331" s="564">
        <f t="shared" si="145"/>
        <v>42352898</v>
      </c>
      <c r="BO331" s="564">
        <f t="shared" si="145"/>
        <v>23845243</v>
      </c>
      <c r="BP331" s="564">
        <f t="shared" ref="BP331:CZ331" si="146">BP258</f>
        <v>473550</v>
      </c>
      <c r="BQ331" s="564">
        <f t="shared" si="146"/>
        <v>7527298</v>
      </c>
      <c r="BR331" s="564">
        <f t="shared" si="146"/>
        <v>3463810</v>
      </c>
      <c r="BS331" s="564">
        <f t="shared" si="146"/>
        <v>37621961</v>
      </c>
      <c r="BT331" s="564">
        <f t="shared" si="146"/>
        <v>7859490</v>
      </c>
      <c r="BU331" s="564">
        <f t="shared" si="146"/>
        <v>4490040</v>
      </c>
      <c r="BV331" s="564">
        <f t="shared" si="146"/>
        <v>6828832</v>
      </c>
      <c r="BW331" s="564">
        <f t="shared" si="146"/>
        <v>13452190</v>
      </c>
      <c r="BX331" s="564">
        <f t="shared" si="146"/>
        <v>0</v>
      </c>
      <c r="BY331" s="564">
        <f t="shared" si="146"/>
        <v>0</v>
      </c>
      <c r="BZ331" s="564">
        <f t="shared" si="146"/>
        <v>18486944</v>
      </c>
      <c r="CA331" s="564">
        <f t="shared" si="146"/>
        <v>934331</v>
      </c>
      <c r="CB331" s="564">
        <f t="shared" si="146"/>
        <v>0</v>
      </c>
      <c r="CC331" s="564">
        <f t="shared" si="146"/>
        <v>21511509</v>
      </c>
      <c r="CD331" s="564">
        <f t="shared" si="146"/>
        <v>803672134</v>
      </c>
      <c r="CE331" s="564">
        <f t="shared" si="146"/>
        <v>177798812</v>
      </c>
      <c r="CF331" s="564">
        <f t="shared" si="146"/>
        <v>5036871</v>
      </c>
      <c r="CG331" s="564">
        <f t="shared" si="146"/>
        <v>11605059</v>
      </c>
      <c r="CH331" s="564">
        <f t="shared" si="146"/>
        <v>1027481</v>
      </c>
      <c r="CI331" s="564">
        <f t="shared" si="146"/>
        <v>13002290</v>
      </c>
      <c r="CJ331" s="564">
        <f t="shared" si="146"/>
        <v>970631786</v>
      </c>
      <c r="CK331" s="564">
        <f t="shared" si="146"/>
        <v>43355057</v>
      </c>
      <c r="CL331" s="564">
        <f t="shared" si="146"/>
        <v>1842354</v>
      </c>
      <c r="CM331" s="564">
        <f t="shared" si="146"/>
        <v>14436083</v>
      </c>
      <c r="CN331" s="564">
        <f t="shared" si="146"/>
        <v>2174291</v>
      </c>
      <c r="CO331" s="564">
        <f t="shared" si="146"/>
        <v>49381050</v>
      </c>
      <c r="CP331" s="564">
        <f t="shared" si="146"/>
        <v>10495401</v>
      </c>
      <c r="CQ331" s="564">
        <f t="shared" si="146"/>
        <v>6502490</v>
      </c>
      <c r="CR331" s="564">
        <f t="shared" si="146"/>
        <v>10232634</v>
      </c>
      <c r="CS331" s="564">
        <f t="shared" si="146"/>
        <v>78196398</v>
      </c>
      <c r="CT331" s="564">
        <f t="shared" si="146"/>
        <v>0</v>
      </c>
      <c r="CU331" s="564">
        <f t="shared" si="146"/>
        <v>0</v>
      </c>
      <c r="CV331" s="564">
        <f t="shared" si="146"/>
        <v>0</v>
      </c>
      <c r="CW331" s="564">
        <f t="shared" si="146"/>
        <v>0</v>
      </c>
      <c r="CX331" s="564">
        <f t="shared" si="146"/>
        <v>0</v>
      </c>
      <c r="CY331" s="564">
        <f t="shared" si="146"/>
        <v>0</v>
      </c>
      <c r="CZ331" s="564">
        <f t="shared" si="146"/>
        <v>0</v>
      </c>
    </row>
    <row r="332" spans="1:104" x14ac:dyDescent="0.3">
      <c r="A332" s="563">
        <v>2</v>
      </c>
      <c r="B332" s="180"/>
      <c r="C332" s="180"/>
      <c r="D332" s="564">
        <f t="shared" ref="D332:AI332" si="147">D259</f>
        <v>73462</v>
      </c>
      <c r="E332" s="564">
        <f t="shared" si="147"/>
        <v>1577502</v>
      </c>
      <c r="F332" s="564">
        <f t="shared" si="147"/>
        <v>189789</v>
      </c>
      <c r="G332" s="564">
        <f t="shared" si="147"/>
        <v>3867</v>
      </c>
      <c r="H332" s="564">
        <f t="shared" si="147"/>
        <v>869384</v>
      </c>
      <c r="I332" s="564">
        <f t="shared" si="147"/>
        <v>20313</v>
      </c>
      <c r="J332" s="564">
        <f t="shared" si="147"/>
        <v>958638</v>
      </c>
      <c r="K332" s="564">
        <f t="shared" si="147"/>
        <v>0</v>
      </c>
      <c r="L332" s="564">
        <f t="shared" si="147"/>
        <v>62034</v>
      </c>
      <c r="M332" s="564">
        <f t="shared" si="147"/>
        <v>9804512</v>
      </c>
      <c r="N332" s="564">
        <f t="shared" si="147"/>
        <v>0</v>
      </c>
      <c r="O332" s="564">
        <f t="shared" si="147"/>
        <v>151822</v>
      </c>
      <c r="P332" s="564">
        <f t="shared" si="147"/>
        <v>373557</v>
      </c>
      <c r="Q332" s="564">
        <f t="shared" si="147"/>
        <v>388613</v>
      </c>
      <c r="R332" s="564">
        <f t="shared" si="147"/>
        <v>0</v>
      </c>
      <c r="S332" s="564">
        <f t="shared" si="147"/>
        <v>11451</v>
      </c>
      <c r="T332" s="564">
        <f t="shared" si="147"/>
        <v>316343</v>
      </c>
      <c r="U332" s="564">
        <f t="shared" si="147"/>
        <v>216129</v>
      </c>
      <c r="V332" s="564">
        <f t="shared" si="147"/>
        <v>427985</v>
      </c>
      <c r="W332" s="564">
        <f t="shared" si="147"/>
        <v>1273176</v>
      </c>
      <c r="X332" s="564">
        <f t="shared" si="147"/>
        <v>7593321</v>
      </c>
      <c r="Y332" s="564">
        <f t="shared" si="147"/>
        <v>16662</v>
      </c>
      <c r="Z332" s="564">
        <f t="shared" si="147"/>
        <v>306786</v>
      </c>
      <c r="AA332" s="564">
        <f t="shared" si="147"/>
        <v>443221</v>
      </c>
      <c r="AB332" s="564">
        <f t="shared" si="147"/>
        <v>8691</v>
      </c>
      <c r="AC332" s="564">
        <f t="shared" si="147"/>
        <v>537006</v>
      </c>
      <c r="AD332" s="564">
        <f t="shared" si="147"/>
        <v>0</v>
      </c>
      <c r="AE332" s="564">
        <f t="shared" si="147"/>
        <v>162689</v>
      </c>
      <c r="AF332" s="564">
        <f t="shared" si="147"/>
        <v>2016</v>
      </c>
      <c r="AG332" s="564">
        <f t="shared" si="147"/>
        <v>6433919</v>
      </c>
      <c r="AH332" s="564">
        <f t="shared" si="147"/>
        <v>156681</v>
      </c>
      <c r="AI332" s="564">
        <f t="shared" si="147"/>
        <v>249481</v>
      </c>
      <c r="AJ332" s="564">
        <f t="shared" ref="AJ332:BO332" si="148">AJ259</f>
        <v>895968</v>
      </c>
      <c r="AK332" s="564">
        <f t="shared" si="148"/>
        <v>1901</v>
      </c>
      <c r="AL332" s="564">
        <f t="shared" si="148"/>
        <v>1138574</v>
      </c>
      <c r="AM332" s="564">
        <f t="shared" si="148"/>
        <v>1265750</v>
      </c>
      <c r="AN332" s="564">
        <f t="shared" si="148"/>
        <v>831709</v>
      </c>
      <c r="AO332" s="564">
        <f t="shared" si="148"/>
        <v>139773</v>
      </c>
      <c r="AP332" s="564">
        <f t="shared" si="148"/>
        <v>47837</v>
      </c>
      <c r="AQ332" s="564">
        <f t="shared" si="148"/>
        <v>36006</v>
      </c>
      <c r="AR332" s="564">
        <f t="shared" si="148"/>
        <v>78166</v>
      </c>
      <c r="AS332" s="564">
        <f t="shared" si="148"/>
        <v>186089</v>
      </c>
      <c r="AT332" s="564">
        <f t="shared" si="148"/>
        <v>47295</v>
      </c>
      <c r="AU332" s="564">
        <f t="shared" si="148"/>
        <v>0</v>
      </c>
      <c r="AV332" s="564">
        <f t="shared" si="148"/>
        <v>219702</v>
      </c>
      <c r="AW332" s="564">
        <f t="shared" si="148"/>
        <v>37079</v>
      </c>
      <c r="AX332" s="564">
        <f t="shared" si="148"/>
        <v>17150</v>
      </c>
      <c r="AY332" s="564">
        <f t="shared" si="148"/>
        <v>1101644</v>
      </c>
      <c r="AZ332" s="564">
        <f t="shared" si="148"/>
        <v>12946</v>
      </c>
      <c r="BA332" s="564">
        <f t="shared" si="148"/>
        <v>19347100</v>
      </c>
      <c r="BB332" s="564">
        <f t="shared" si="148"/>
        <v>973762</v>
      </c>
      <c r="BC332" s="564">
        <f t="shared" si="148"/>
        <v>423772</v>
      </c>
      <c r="BD332" s="564">
        <f t="shared" si="148"/>
        <v>0</v>
      </c>
      <c r="BE332" s="564">
        <f t="shared" si="148"/>
        <v>232564</v>
      </c>
      <c r="BF332" s="564">
        <f t="shared" si="148"/>
        <v>188051</v>
      </c>
      <c r="BG332" s="564">
        <f t="shared" si="148"/>
        <v>33007</v>
      </c>
      <c r="BH332" s="564">
        <f t="shared" si="148"/>
        <v>266099</v>
      </c>
      <c r="BI332" s="564">
        <f t="shared" si="148"/>
        <v>656344</v>
      </c>
      <c r="BJ332" s="564">
        <f t="shared" si="148"/>
        <v>2619395</v>
      </c>
      <c r="BK332" s="564">
        <f t="shared" si="148"/>
        <v>79075</v>
      </c>
      <c r="BL332" s="564">
        <f t="shared" si="148"/>
        <v>0</v>
      </c>
      <c r="BM332" s="564">
        <f t="shared" si="148"/>
        <v>3366986</v>
      </c>
      <c r="BN332" s="564">
        <f t="shared" si="148"/>
        <v>2182382</v>
      </c>
      <c r="BO332" s="564">
        <f t="shared" si="148"/>
        <v>1348383</v>
      </c>
      <c r="BP332" s="564">
        <f t="shared" ref="BP332:CZ332" si="149">BP259</f>
        <v>40810</v>
      </c>
      <c r="BQ332" s="564">
        <f t="shared" si="149"/>
        <v>760794</v>
      </c>
      <c r="BR332" s="564">
        <f t="shared" si="149"/>
        <v>119723</v>
      </c>
      <c r="BS332" s="564">
        <f t="shared" si="149"/>
        <v>3714112</v>
      </c>
      <c r="BT332" s="564">
        <f t="shared" si="149"/>
        <v>363565</v>
      </c>
      <c r="BU332" s="564">
        <f t="shared" si="149"/>
        <v>339423</v>
      </c>
      <c r="BV332" s="564">
        <f t="shared" si="149"/>
        <v>223442</v>
      </c>
      <c r="BW332" s="564">
        <f t="shared" si="149"/>
        <v>433945</v>
      </c>
      <c r="BX332" s="564">
        <f t="shared" si="149"/>
        <v>0</v>
      </c>
      <c r="BY332" s="564">
        <f t="shared" si="149"/>
        <v>0</v>
      </c>
      <c r="BZ332" s="564">
        <f t="shared" si="149"/>
        <v>3247241</v>
      </c>
      <c r="CA332" s="564">
        <f t="shared" si="149"/>
        <v>8446</v>
      </c>
      <c r="CB332" s="564">
        <f t="shared" si="149"/>
        <v>0</v>
      </c>
      <c r="CC332" s="564">
        <f t="shared" si="149"/>
        <v>1355399</v>
      </c>
      <c r="CD332" s="564">
        <f t="shared" si="149"/>
        <v>57514079</v>
      </c>
      <c r="CE332" s="564">
        <f t="shared" si="149"/>
        <v>18479036</v>
      </c>
      <c r="CF332" s="564">
        <f t="shared" si="149"/>
        <v>52581</v>
      </c>
      <c r="CG332" s="564">
        <f t="shared" si="149"/>
        <v>107032</v>
      </c>
      <c r="CH332" s="564">
        <f t="shared" si="149"/>
        <v>58280</v>
      </c>
      <c r="CI332" s="564">
        <f t="shared" si="149"/>
        <v>228011</v>
      </c>
      <c r="CJ332" s="564">
        <f t="shared" si="149"/>
        <v>84443913</v>
      </c>
      <c r="CK332" s="564">
        <f t="shared" si="149"/>
        <v>3829543</v>
      </c>
      <c r="CL332" s="564">
        <f t="shared" si="149"/>
        <v>204056</v>
      </c>
      <c r="CM332" s="564">
        <f t="shared" si="149"/>
        <v>604657</v>
      </c>
      <c r="CN332" s="564">
        <f t="shared" si="149"/>
        <v>132059</v>
      </c>
      <c r="CO332" s="564">
        <f t="shared" si="149"/>
        <v>1480656</v>
      </c>
      <c r="CP332" s="564">
        <f t="shared" si="149"/>
        <v>676895</v>
      </c>
      <c r="CQ332" s="564">
        <f t="shared" si="149"/>
        <v>503182</v>
      </c>
      <c r="CR332" s="564">
        <f t="shared" si="149"/>
        <v>386903</v>
      </c>
      <c r="CS332" s="564">
        <f t="shared" si="149"/>
        <v>2236679</v>
      </c>
      <c r="CT332" s="564">
        <f t="shared" si="149"/>
        <v>0</v>
      </c>
      <c r="CU332" s="564">
        <f t="shared" si="149"/>
        <v>0</v>
      </c>
      <c r="CV332" s="564">
        <f t="shared" si="149"/>
        <v>0</v>
      </c>
      <c r="CW332" s="564">
        <f t="shared" si="149"/>
        <v>0</v>
      </c>
      <c r="CX332" s="564">
        <f t="shared" si="149"/>
        <v>0</v>
      </c>
      <c r="CY332" s="564">
        <f t="shared" si="149"/>
        <v>0</v>
      </c>
      <c r="CZ332" s="564">
        <f t="shared" si="149"/>
        <v>0</v>
      </c>
    </row>
    <row r="333" spans="1:104" x14ac:dyDescent="0.3">
      <c r="A333" s="563">
        <v>3</v>
      </c>
      <c r="B333" s="180"/>
      <c r="C333" s="180"/>
      <c r="D333" s="564">
        <f t="shared" ref="D333:AI333" si="150">D260</f>
        <v>73462</v>
      </c>
      <c r="E333" s="564">
        <f t="shared" si="150"/>
        <v>3078649</v>
      </c>
      <c r="F333" s="564">
        <f t="shared" si="150"/>
        <v>3100115</v>
      </c>
      <c r="G333" s="564">
        <f t="shared" si="150"/>
        <v>55790</v>
      </c>
      <c r="H333" s="564">
        <f t="shared" si="150"/>
        <v>4670648</v>
      </c>
      <c r="I333" s="564">
        <f t="shared" si="150"/>
        <v>428260</v>
      </c>
      <c r="J333" s="564">
        <f t="shared" si="150"/>
        <v>3186820</v>
      </c>
      <c r="K333" s="564">
        <f t="shared" si="150"/>
        <v>0</v>
      </c>
      <c r="L333" s="564">
        <f t="shared" si="150"/>
        <v>425625</v>
      </c>
      <c r="M333" s="564">
        <f t="shared" si="150"/>
        <v>26325866</v>
      </c>
      <c r="N333" s="564">
        <f t="shared" si="150"/>
        <v>0</v>
      </c>
      <c r="O333" s="564">
        <f t="shared" si="150"/>
        <v>383066</v>
      </c>
      <c r="P333" s="564">
        <f t="shared" si="150"/>
        <v>373557</v>
      </c>
      <c r="Q333" s="564">
        <f t="shared" si="150"/>
        <v>1091897</v>
      </c>
      <c r="R333" s="564">
        <f t="shared" si="150"/>
        <v>0</v>
      </c>
      <c r="S333" s="564">
        <f t="shared" si="150"/>
        <v>26222</v>
      </c>
      <c r="T333" s="564">
        <f t="shared" si="150"/>
        <v>1488525</v>
      </c>
      <c r="U333" s="564">
        <f t="shared" si="150"/>
        <v>1270642</v>
      </c>
      <c r="V333" s="564">
        <f t="shared" si="150"/>
        <v>10871083</v>
      </c>
      <c r="W333" s="564">
        <f t="shared" si="150"/>
        <v>5401500</v>
      </c>
      <c r="X333" s="564">
        <f t="shared" si="150"/>
        <v>10737445</v>
      </c>
      <c r="Y333" s="564">
        <f t="shared" si="150"/>
        <v>16662</v>
      </c>
      <c r="Z333" s="564">
        <f t="shared" si="150"/>
        <v>3461191</v>
      </c>
      <c r="AA333" s="564">
        <f t="shared" si="150"/>
        <v>4285238</v>
      </c>
      <c r="AB333" s="564">
        <f t="shared" si="150"/>
        <v>8691</v>
      </c>
      <c r="AC333" s="564">
        <f t="shared" si="150"/>
        <v>28881437</v>
      </c>
      <c r="AD333" s="564">
        <f t="shared" si="150"/>
        <v>0</v>
      </c>
      <c r="AE333" s="564">
        <f t="shared" si="150"/>
        <v>446482</v>
      </c>
      <c r="AF333" s="564">
        <f t="shared" si="150"/>
        <v>29327</v>
      </c>
      <c r="AG333" s="564">
        <f t="shared" si="150"/>
        <v>45559883</v>
      </c>
      <c r="AH333" s="564">
        <f t="shared" si="150"/>
        <v>201750</v>
      </c>
      <c r="AI333" s="564">
        <f t="shared" si="150"/>
        <v>2420884</v>
      </c>
      <c r="AJ333" s="564">
        <f t="shared" ref="AJ333:BO333" si="151">AJ260</f>
        <v>1485384</v>
      </c>
      <c r="AK333" s="564">
        <f t="shared" si="151"/>
        <v>442110</v>
      </c>
      <c r="AL333" s="564">
        <f t="shared" si="151"/>
        <v>1266633</v>
      </c>
      <c r="AM333" s="564">
        <f t="shared" si="151"/>
        <v>5680542</v>
      </c>
      <c r="AN333" s="564">
        <f t="shared" si="151"/>
        <v>2900423</v>
      </c>
      <c r="AO333" s="564">
        <f t="shared" si="151"/>
        <v>1233075</v>
      </c>
      <c r="AP333" s="564">
        <f t="shared" si="151"/>
        <v>57521</v>
      </c>
      <c r="AQ333" s="564">
        <f t="shared" si="151"/>
        <v>56119</v>
      </c>
      <c r="AR333" s="564">
        <f t="shared" si="151"/>
        <v>6052849</v>
      </c>
      <c r="AS333" s="564">
        <f t="shared" si="151"/>
        <v>418603</v>
      </c>
      <c r="AT333" s="564">
        <f t="shared" si="151"/>
        <v>99691</v>
      </c>
      <c r="AU333" s="564">
        <f t="shared" si="151"/>
        <v>143012</v>
      </c>
      <c r="AV333" s="564">
        <f t="shared" si="151"/>
        <v>819547</v>
      </c>
      <c r="AW333" s="564">
        <f t="shared" si="151"/>
        <v>37827</v>
      </c>
      <c r="AX333" s="564">
        <f t="shared" si="151"/>
        <v>449904</v>
      </c>
      <c r="AY333" s="564">
        <f t="shared" si="151"/>
        <v>10806278</v>
      </c>
      <c r="AZ333" s="564">
        <f t="shared" si="151"/>
        <v>660289</v>
      </c>
      <c r="BA333" s="564">
        <f t="shared" si="151"/>
        <v>88422364</v>
      </c>
      <c r="BB333" s="564">
        <f t="shared" si="151"/>
        <v>1045734</v>
      </c>
      <c r="BC333" s="564">
        <f t="shared" si="151"/>
        <v>2904490</v>
      </c>
      <c r="BD333" s="564">
        <f t="shared" si="151"/>
        <v>363630</v>
      </c>
      <c r="BE333" s="564">
        <f t="shared" si="151"/>
        <v>299981</v>
      </c>
      <c r="BF333" s="564">
        <f t="shared" si="151"/>
        <v>391107</v>
      </c>
      <c r="BG333" s="564">
        <f t="shared" si="151"/>
        <v>39212</v>
      </c>
      <c r="BH333" s="564">
        <f t="shared" si="151"/>
        <v>990551</v>
      </c>
      <c r="BI333" s="564">
        <f t="shared" si="151"/>
        <v>2093877</v>
      </c>
      <c r="BJ333" s="564">
        <f t="shared" si="151"/>
        <v>22249294</v>
      </c>
      <c r="BK333" s="564">
        <f t="shared" si="151"/>
        <v>128829</v>
      </c>
      <c r="BL333" s="564">
        <f t="shared" si="151"/>
        <v>0</v>
      </c>
      <c r="BM333" s="564">
        <f t="shared" si="151"/>
        <v>8905642</v>
      </c>
      <c r="BN333" s="564">
        <f t="shared" si="151"/>
        <v>20107116</v>
      </c>
      <c r="BO333" s="564">
        <f t="shared" si="151"/>
        <v>6124276</v>
      </c>
      <c r="BP333" s="564">
        <f t="shared" ref="BP333:CZ333" si="152">BP260</f>
        <v>40810</v>
      </c>
      <c r="BQ333" s="564">
        <f t="shared" si="152"/>
        <v>854785</v>
      </c>
      <c r="BR333" s="564">
        <f t="shared" si="152"/>
        <v>1223419</v>
      </c>
      <c r="BS333" s="564">
        <f t="shared" si="152"/>
        <v>25213509</v>
      </c>
      <c r="BT333" s="564">
        <f t="shared" si="152"/>
        <v>566607</v>
      </c>
      <c r="BU333" s="564">
        <f t="shared" si="152"/>
        <v>378231</v>
      </c>
      <c r="BV333" s="564">
        <f t="shared" si="152"/>
        <v>864214</v>
      </c>
      <c r="BW333" s="564">
        <f t="shared" si="152"/>
        <v>3549750</v>
      </c>
      <c r="BX333" s="564">
        <f t="shared" si="152"/>
        <v>0</v>
      </c>
      <c r="BY333" s="564">
        <f t="shared" si="152"/>
        <v>0</v>
      </c>
      <c r="BZ333" s="564">
        <f t="shared" si="152"/>
        <v>11943420</v>
      </c>
      <c r="CA333" s="564">
        <f t="shared" si="152"/>
        <v>8446</v>
      </c>
      <c r="CB333" s="564">
        <f t="shared" si="152"/>
        <v>0</v>
      </c>
      <c r="CC333" s="564">
        <f t="shared" si="152"/>
        <v>12276644</v>
      </c>
      <c r="CD333" s="564">
        <f t="shared" si="152"/>
        <v>403191647</v>
      </c>
      <c r="CE333" s="564">
        <f t="shared" si="152"/>
        <v>108873870</v>
      </c>
      <c r="CF333" s="564">
        <f t="shared" si="152"/>
        <v>445508</v>
      </c>
      <c r="CG333" s="564">
        <f t="shared" si="152"/>
        <v>3226587</v>
      </c>
      <c r="CH333" s="564">
        <f t="shared" si="152"/>
        <v>295106</v>
      </c>
      <c r="CI333" s="564">
        <f t="shared" si="152"/>
        <v>9058510</v>
      </c>
      <c r="CJ333" s="564">
        <f t="shared" si="152"/>
        <v>567153132</v>
      </c>
      <c r="CK333" s="564">
        <f t="shared" si="152"/>
        <v>11366484</v>
      </c>
      <c r="CL333" s="564">
        <f t="shared" si="152"/>
        <v>459496</v>
      </c>
      <c r="CM333" s="564">
        <f t="shared" si="152"/>
        <v>8206924</v>
      </c>
      <c r="CN333" s="564">
        <f t="shared" si="152"/>
        <v>300472</v>
      </c>
      <c r="CO333" s="564">
        <f t="shared" si="152"/>
        <v>11780455</v>
      </c>
      <c r="CP333" s="564">
        <f t="shared" si="152"/>
        <v>2079384</v>
      </c>
      <c r="CQ333" s="564">
        <f t="shared" si="152"/>
        <v>834828</v>
      </c>
      <c r="CR333" s="564">
        <f t="shared" si="152"/>
        <v>4158491</v>
      </c>
      <c r="CS333" s="564">
        <f t="shared" si="152"/>
        <v>15908261</v>
      </c>
      <c r="CT333" s="564">
        <f t="shared" si="152"/>
        <v>0</v>
      </c>
      <c r="CU333" s="564">
        <f t="shared" si="152"/>
        <v>0</v>
      </c>
      <c r="CV333" s="564">
        <f t="shared" si="152"/>
        <v>0</v>
      </c>
      <c r="CW333" s="564">
        <f t="shared" si="152"/>
        <v>0</v>
      </c>
      <c r="CX333" s="564">
        <f t="shared" si="152"/>
        <v>0</v>
      </c>
      <c r="CY333" s="564">
        <f t="shared" si="152"/>
        <v>0</v>
      </c>
      <c r="CZ333" s="564">
        <f t="shared" si="152"/>
        <v>0</v>
      </c>
    </row>
    <row r="334" spans="1:104" x14ac:dyDescent="0.3">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row>
    <row r="335" spans="1:104" x14ac:dyDescent="0.3">
      <c r="B335" s="180"/>
      <c r="C335" s="180"/>
      <c r="D335" s="574">
        <f>D329+D331+D332+D333</f>
        <v>8611759</v>
      </c>
      <c r="E335" s="574">
        <f t="shared" ref="E335:BP335" si="153">E329+E331+E332+E333</f>
        <v>92539358.609999999</v>
      </c>
      <c r="F335" s="574">
        <f t="shared" si="153"/>
        <v>92666441.556499988</v>
      </c>
      <c r="G335" s="574">
        <f t="shared" si="153"/>
        <v>7358921.5549999997</v>
      </c>
      <c r="H335" s="574">
        <f t="shared" si="153"/>
        <v>285874448.88599998</v>
      </c>
      <c r="I335" s="574">
        <f t="shared" si="153"/>
        <v>48666054.080000006</v>
      </c>
      <c r="J335" s="574">
        <f t="shared" si="153"/>
        <v>157801019.40000001</v>
      </c>
      <c r="K335" s="574">
        <f t="shared" si="153"/>
        <v>0</v>
      </c>
      <c r="L335" s="574">
        <f t="shared" si="153"/>
        <v>34605914.020000003</v>
      </c>
      <c r="M335" s="574">
        <f t="shared" si="153"/>
        <v>2177734653.54</v>
      </c>
      <c r="N335" s="574">
        <f t="shared" si="153"/>
        <v>0</v>
      </c>
      <c r="O335" s="574">
        <f t="shared" si="153"/>
        <v>15861508.609999999</v>
      </c>
      <c r="P335" s="574">
        <f t="shared" si="153"/>
        <v>58013830</v>
      </c>
      <c r="Q335" s="574">
        <f t="shared" si="153"/>
        <v>66502264.039999999</v>
      </c>
      <c r="R335" s="574">
        <f t="shared" si="153"/>
        <v>2835299.04</v>
      </c>
      <c r="S335" s="574">
        <f t="shared" si="153"/>
        <v>26095115.719999999</v>
      </c>
      <c r="T335" s="574">
        <f t="shared" si="153"/>
        <v>41276746.649999999</v>
      </c>
      <c r="U335" s="574">
        <f t="shared" si="153"/>
        <v>88309106.607500002</v>
      </c>
      <c r="V335" s="574">
        <f t="shared" si="153"/>
        <v>214257963.15000001</v>
      </c>
      <c r="W335" s="574">
        <f t="shared" si="153"/>
        <v>645011450.77999997</v>
      </c>
      <c r="X335" s="574">
        <f t="shared" si="153"/>
        <v>124271043.14</v>
      </c>
      <c r="Y335" s="574">
        <f t="shared" si="153"/>
        <v>76699860</v>
      </c>
      <c r="Z335" s="574">
        <f t="shared" si="153"/>
        <v>156235961.465</v>
      </c>
      <c r="AA335" s="574">
        <f t="shared" si="153"/>
        <v>145533988.15000001</v>
      </c>
      <c r="AB335" s="574">
        <f t="shared" si="153"/>
        <v>1573108.86</v>
      </c>
      <c r="AC335" s="574">
        <f t="shared" si="153"/>
        <v>785020745.29999995</v>
      </c>
      <c r="AD335" s="574">
        <f t="shared" si="153"/>
        <v>0</v>
      </c>
      <c r="AE335" s="574">
        <f t="shared" si="153"/>
        <v>48334890.700000003</v>
      </c>
      <c r="AF335" s="574">
        <f t="shared" si="153"/>
        <v>26063061.449999999</v>
      </c>
      <c r="AG335" s="574">
        <f t="shared" si="153"/>
        <v>1078670278.3800001</v>
      </c>
      <c r="AH335" s="574">
        <f t="shared" si="153"/>
        <v>29574525.289999999</v>
      </c>
      <c r="AI335" s="574">
        <f t="shared" si="153"/>
        <v>155344865.02000001</v>
      </c>
      <c r="AJ335" s="574">
        <f t="shared" si="153"/>
        <v>58338962.600000001</v>
      </c>
      <c r="AK335" s="574">
        <f t="shared" si="153"/>
        <v>35751865.890000001</v>
      </c>
      <c r="AL335" s="574">
        <f t="shared" si="153"/>
        <v>238673670.62</v>
      </c>
      <c r="AM335" s="574">
        <f t="shared" si="153"/>
        <v>224444675.83000001</v>
      </c>
      <c r="AN335" s="574">
        <f t="shared" si="153"/>
        <v>132427422.38</v>
      </c>
      <c r="AO335" s="574">
        <f t="shared" si="153"/>
        <v>105379185.361</v>
      </c>
      <c r="AP335" s="574">
        <f t="shared" si="153"/>
        <v>5775112.2400000002</v>
      </c>
      <c r="AQ335" s="574">
        <f t="shared" si="153"/>
        <v>28486056.710000001</v>
      </c>
      <c r="AR335" s="574">
        <f t="shared" si="153"/>
        <v>311253602.75</v>
      </c>
      <c r="AS335" s="574">
        <f t="shared" si="153"/>
        <v>48456880.280000001</v>
      </c>
      <c r="AT335" s="574">
        <f t="shared" si="153"/>
        <v>7509453.3300000001</v>
      </c>
      <c r="AU335" s="574">
        <f t="shared" si="153"/>
        <v>18550796.879999999</v>
      </c>
      <c r="AV335" s="574">
        <f t="shared" si="153"/>
        <v>17266389.225000001</v>
      </c>
      <c r="AW335" s="574">
        <f t="shared" si="153"/>
        <v>2717377.71</v>
      </c>
      <c r="AX335" s="574">
        <f t="shared" si="153"/>
        <v>14164094.17</v>
      </c>
      <c r="AY335" s="574">
        <f t="shared" si="153"/>
        <v>210405967.40600002</v>
      </c>
      <c r="AZ335" s="574">
        <f t="shared" si="153"/>
        <v>37478250.940000005</v>
      </c>
      <c r="BA335" s="574">
        <f t="shared" si="153"/>
        <v>2198157741.835</v>
      </c>
      <c r="BB335" s="574">
        <f t="shared" si="153"/>
        <v>77089048.120000005</v>
      </c>
      <c r="BC335" s="574">
        <f t="shared" si="153"/>
        <v>210651754.06</v>
      </c>
      <c r="BD335" s="574">
        <f t="shared" si="153"/>
        <v>46578621.859999999</v>
      </c>
      <c r="BE335" s="574">
        <f t="shared" si="153"/>
        <v>60482806.380000003</v>
      </c>
      <c r="BF335" s="574">
        <f t="shared" si="153"/>
        <v>64288735.25</v>
      </c>
      <c r="BG335" s="574">
        <f t="shared" si="153"/>
        <v>18660935.16</v>
      </c>
      <c r="BH335" s="574">
        <f t="shared" si="153"/>
        <v>81201340.75</v>
      </c>
      <c r="BI335" s="574">
        <f t="shared" si="153"/>
        <v>174669760.09</v>
      </c>
      <c r="BJ335" s="574">
        <f t="shared" si="153"/>
        <v>1163940934.4199998</v>
      </c>
      <c r="BK335" s="574">
        <f t="shared" si="153"/>
        <v>7353036.6200000001</v>
      </c>
      <c r="BL335" s="574">
        <f t="shared" si="153"/>
        <v>3489565.08</v>
      </c>
      <c r="BM335" s="574">
        <f t="shared" si="153"/>
        <v>535296370.85500002</v>
      </c>
      <c r="BN335" s="574">
        <f t="shared" si="153"/>
        <v>691729376.88919997</v>
      </c>
      <c r="BO335" s="574">
        <f t="shared" si="153"/>
        <v>258568753.03</v>
      </c>
      <c r="BP335" s="574">
        <f t="shared" si="153"/>
        <v>3925583.79</v>
      </c>
      <c r="BQ335" s="574">
        <f t="shared" ref="BQ335:CZ335" si="154">BQ329+BQ331+BQ332+BQ333</f>
        <v>60170831.188000001</v>
      </c>
      <c r="BR335" s="574">
        <f t="shared" si="154"/>
        <v>95393669.049999997</v>
      </c>
      <c r="BS335" s="574">
        <f t="shared" si="154"/>
        <v>356380390.88</v>
      </c>
      <c r="BT335" s="574">
        <f t="shared" si="154"/>
        <v>39720897</v>
      </c>
      <c r="BU335" s="574">
        <f t="shared" si="154"/>
        <v>25780523.120000001</v>
      </c>
      <c r="BV335" s="574">
        <f t="shared" si="154"/>
        <v>113312889.48999999</v>
      </c>
      <c r="BW335" s="574">
        <f t="shared" si="154"/>
        <v>104144801.33</v>
      </c>
      <c r="BX335" s="574">
        <f t="shared" si="154"/>
        <v>0</v>
      </c>
      <c r="BY335" s="574">
        <f t="shared" si="154"/>
        <v>0</v>
      </c>
      <c r="BZ335" s="574">
        <f t="shared" si="154"/>
        <v>245358062.90000001</v>
      </c>
      <c r="CA335" s="574">
        <f t="shared" si="154"/>
        <v>10547183.6</v>
      </c>
      <c r="CB335" s="574">
        <f t="shared" si="154"/>
        <v>0</v>
      </c>
      <c r="CC335" s="574">
        <f t="shared" si="154"/>
        <v>322562068.94</v>
      </c>
      <c r="CD335" s="574">
        <f t="shared" si="154"/>
        <v>4499190345.6507998</v>
      </c>
      <c r="CE335" s="574">
        <f t="shared" si="154"/>
        <v>3783951192.7950001</v>
      </c>
      <c r="CF335" s="574">
        <f t="shared" si="154"/>
        <v>62471283.420000002</v>
      </c>
      <c r="CG335" s="574">
        <f t="shared" si="154"/>
        <v>208247319.41499999</v>
      </c>
      <c r="CH335" s="574">
        <f t="shared" si="154"/>
        <v>34406155.810000002</v>
      </c>
      <c r="CI335" s="574">
        <f t="shared" si="154"/>
        <v>125913869.72</v>
      </c>
      <c r="CJ335" s="574">
        <f t="shared" si="154"/>
        <v>12928596769.732399</v>
      </c>
      <c r="CK335" s="574">
        <f t="shared" si="154"/>
        <v>524085287.35500002</v>
      </c>
      <c r="CL335" s="574">
        <f t="shared" si="154"/>
        <v>43800179.700000003</v>
      </c>
      <c r="CM335" s="574">
        <f t="shared" si="154"/>
        <v>116659666.90000001</v>
      </c>
      <c r="CN335" s="574">
        <f t="shared" si="154"/>
        <v>38058498.200000003</v>
      </c>
      <c r="CO335" s="574">
        <f t="shared" si="154"/>
        <v>456148128.89230001</v>
      </c>
      <c r="CP335" s="574">
        <f t="shared" si="154"/>
        <v>173055127.15000001</v>
      </c>
      <c r="CQ335" s="574">
        <f t="shared" si="154"/>
        <v>104435461.03</v>
      </c>
      <c r="CR335" s="574">
        <f t="shared" si="154"/>
        <v>77612643.375</v>
      </c>
      <c r="CS335" s="574">
        <f t="shared" si="154"/>
        <v>443108439.77999997</v>
      </c>
      <c r="CT335" s="574">
        <f t="shared" si="154"/>
        <v>0</v>
      </c>
      <c r="CU335" s="574">
        <f t="shared" si="154"/>
        <v>0</v>
      </c>
      <c r="CV335" s="574">
        <f t="shared" si="154"/>
        <v>0</v>
      </c>
      <c r="CW335" s="574">
        <f t="shared" si="154"/>
        <v>0</v>
      </c>
      <c r="CX335" s="574">
        <f t="shared" si="154"/>
        <v>0</v>
      </c>
      <c r="CY335" s="574">
        <f t="shared" si="154"/>
        <v>0</v>
      </c>
      <c r="CZ335" s="574">
        <f t="shared" si="154"/>
        <v>0</v>
      </c>
    </row>
    <row r="336" spans="1:104" x14ac:dyDescent="0.3">
      <c r="B336" s="180"/>
      <c r="C336" s="180"/>
      <c r="D336" s="574"/>
      <c r="E336" s="574"/>
      <c r="F336" s="574"/>
      <c r="G336" s="574"/>
      <c r="H336" s="574"/>
      <c r="I336" s="574"/>
      <c r="J336" s="574"/>
      <c r="K336" s="574"/>
      <c r="L336" s="574"/>
      <c r="M336" s="574"/>
      <c r="N336" s="574"/>
      <c r="O336" s="574"/>
      <c r="P336" s="574"/>
      <c r="Q336" s="574"/>
      <c r="R336" s="574"/>
      <c r="S336" s="574"/>
      <c r="T336" s="574"/>
      <c r="U336" s="574"/>
      <c r="V336" s="574"/>
      <c r="W336" s="574"/>
      <c r="X336" s="574"/>
      <c r="Y336" s="574"/>
      <c r="Z336" s="574"/>
      <c r="AA336" s="574"/>
      <c r="AB336" s="574"/>
      <c r="AC336" s="574"/>
      <c r="AD336" s="574"/>
      <c r="AE336" s="574"/>
      <c r="AF336" s="574"/>
      <c r="AG336" s="574"/>
      <c r="AH336" s="574"/>
      <c r="AI336" s="574"/>
      <c r="AJ336" s="574"/>
      <c r="AK336" s="574"/>
      <c r="AL336" s="574"/>
      <c r="AM336" s="574"/>
      <c r="AN336" s="574"/>
      <c r="AO336" s="574"/>
      <c r="AP336" s="574"/>
      <c r="AQ336" s="574"/>
      <c r="AR336" s="574"/>
      <c r="AS336" s="574"/>
      <c r="AT336" s="574"/>
      <c r="AU336" s="574"/>
      <c r="AV336" s="574"/>
      <c r="AW336" s="574"/>
      <c r="AX336" s="574"/>
      <c r="AY336" s="574"/>
      <c r="AZ336" s="574"/>
      <c r="BA336" s="574"/>
      <c r="BB336" s="574"/>
      <c r="BC336" s="574"/>
      <c r="BD336" s="574"/>
      <c r="BE336" s="574"/>
      <c r="BF336" s="574"/>
      <c r="BG336" s="574"/>
      <c r="BH336" s="574"/>
      <c r="BI336" s="574"/>
      <c r="BJ336" s="574"/>
      <c r="BK336" s="574"/>
      <c r="BL336" s="574"/>
      <c r="BM336" s="574"/>
      <c r="BN336" s="574"/>
      <c r="BO336" s="574"/>
      <c r="BP336" s="574"/>
      <c r="BQ336" s="574"/>
      <c r="BR336" s="574"/>
      <c r="BS336" s="574"/>
      <c r="BT336" s="574"/>
      <c r="BU336" s="574"/>
      <c r="BV336" s="574"/>
      <c r="BW336" s="574"/>
      <c r="BX336" s="574"/>
      <c r="BY336" s="574"/>
      <c r="BZ336" s="574"/>
      <c r="CA336" s="574"/>
      <c r="CB336" s="574"/>
      <c r="CC336" s="574"/>
      <c r="CD336" s="574"/>
      <c r="CE336" s="574"/>
      <c r="CF336" s="574"/>
      <c r="CG336" s="574"/>
      <c r="CH336" s="574"/>
      <c r="CI336" s="574"/>
      <c r="CJ336" s="574"/>
      <c r="CK336" s="574"/>
      <c r="CL336" s="574"/>
      <c r="CM336" s="574"/>
      <c r="CN336" s="574"/>
      <c r="CO336" s="574"/>
      <c r="CP336" s="574"/>
      <c r="CQ336" s="574"/>
      <c r="CR336" s="574"/>
      <c r="CS336" s="574"/>
      <c r="CT336" s="574"/>
      <c r="CU336" s="574"/>
      <c r="CV336" s="574"/>
      <c r="CW336" s="574"/>
      <c r="CX336" s="574"/>
      <c r="CY336" s="574"/>
      <c r="CZ336" s="574"/>
    </row>
    <row r="337" spans="2:104" x14ac:dyDescent="0.3">
      <c r="B337" s="180"/>
      <c r="C337" s="180"/>
      <c r="D337" s="574" t="e">
        <f>'Unit Data from Audit Worksheet'!$E$299</f>
        <v>#N/A</v>
      </c>
      <c r="E337" s="574" t="e">
        <f>'Unit Data from Audit Worksheet'!$E$299</f>
        <v>#N/A</v>
      </c>
      <c r="F337" s="574" t="e">
        <f>'Unit Data from Audit Worksheet'!$E$299</f>
        <v>#N/A</v>
      </c>
      <c r="G337" s="574" t="e">
        <f>'Unit Data from Audit Worksheet'!$E$299</f>
        <v>#N/A</v>
      </c>
      <c r="H337" s="574" t="e">
        <f>'Unit Data from Audit Worksheet'!$E$299</f>
        <v>#N/A</v>
      </c>
      <c r="I337" s="574" t="e">
        <f>'Unit Data from Audit Worksheet'!$E$299</f>
        <v>#N/A</v>
      </c>
      <c r="J337" s="574" t="e">
        <f>'Unit Data from Audit Worksheet'!$E$299</f>
        <v>#N/A</v>
      </c>
      <c r="K337" s="574" t="e">
        <f>'Unit Data from Audit Worksheet'!$E$299</f>
        <v>#N/A</v>
      </c>
      <c r="L337" s="574" t="e">
        <f>'Unit Data from Audit Worksheet'!$E$299</f>
        <v>#N/A</v>
      </c>
      <c r="M337" s="574" t="e">
        <f>'Unit Data from Audit Worksheet'!$E$299</f>
        <v>#N/A</v>
      </c>
      <c r="N337" s="574" t="e">
        <f>'Unit Data from Audit Worksheet'!$E$299</f>
        <v>#N/A</v>
      </c>
      <c r="O337" s="574" t="e">
        <f>'Unit Data from Audit Worksheet'!$E$299</f>
        <v>#N/A</v>
      </c>
      <c r="P337" s="574" t="e">
        <f>'Unit Data from Audit Worksheet'!$E$299</f>
        <v>#N/A</v>
      </c>
      <c r="Q337" s="574" t="e">
        <f>'Unit Data from Audit Worksheet'!$E$299</f>
        <v>#N/A</v>
      </c>
      <c r="R337" s="574" t="e">
        <f>'Unit Data from Audit Worksheet'!$E$299</f>
        <v>#N/A</v>
      </c>
      <c r="S337" s="574" t="e">
        <f>'Unit Data from Audit Worksheet'!$E$299</f>
        <v>#N/A</v>
      </c>
      <c r="T337" s="574" t="e">
        <f>'Unit Data from Audit Worksheet'!$E$299</f>
        <v>#N/A</v>
      </c>
      <c r="U337" s="574" t="e">
        <f>'Unit Data from Audit Worksheet'!$E$299</f>
        <v>#N/A</v>
      </c>
      <c r="V337" s="574" t="e">
        <f>'Unit Data from Audit Worksheet'!$E$299</f>
        <v>#N/A</v>
      </c>
      <c r="W337" s="574" t="e">
        <f>'Unit Data from Audit Worksheet'!$E$299</f>
        <v>#N/A</v>
      </c>
      <c r="X337" s="574" t="e">
        <f>'Unit Data from Audit Worksheet'!$E$299</f>
        <v>#N/A</v>
      </c>
      <c r="Y337" s="574" t="e">
        <f>'Unit Data from Audit Worksheet'!$E$299</f>
        <v>#N/A</v>
      </c>
      <c r="Z337" s="574" t="e">
        <f>'Unit Data from Audit Worksheet'!$E$299</f>
        <v>#N/A</v>
      </c>
      <c r="AA337" s="574" t="e">
        <f>'Unit Data from Audit Worksheet'!$E$299</f>
        <v>#N/A</v>
      </c>
      <c r="AB337" s="574" t="e">
        <f>'Unit Data from Audit Worksheet'!$E$299</f>
        <v>#N/A</v>
      </c>
      <c r="AC337" s="574" t="e">
        <f>'Unit Data from Audit Worksheet'!$E$299</f>
        <v>#N/A</v>
      </c>
      <c r="AD337" s="574" t="e">
        <f>'Unit Data from Audit Worksheet'!$E$299</f>
        <v>#N/A</v>
      </c>
      <c r="AE337" s="574" t="e">
        <f>'Unit Data from Audit Worksheet'!$E$299</f>
        <v>#N/A</v>
      </c>
      <c r="AF337" s="574" t="e">
        <f>'Unit Data from Audit Worksheet'!$E$299</f>
        <v>#N/A</v>
      </c>
      <c r="AG337" s="574" t="e">
        <f>'Unit Data from Audit Worksheet'!$E$299</f>
        <v>#N/A</v>
      </c>
      <c r="AH337" s="574" t="e">
        <f>'Unit Data from Audit Worksheet'!$E$299</f>
        <v>#N/A</v>
      </c>
      <c r="AI337" s="574" t="e">
        <f>'Unit Data from Audit Worksheet'!$E$299</f>
        <v>#N/A</v>
      </c>
      <c r="AJ337" s="574" t="e">
        <f>'Unit Data from Audit Worksheet'!$E$299</f>
        <v>#N/A</v>
      </c>
      <c r="AK337" s="574" t="e">
        <f>'Unit Data from Audit Worksheet'!$E$299</f>
        <v>#N/A</v>
      </c>
      <c r="AL337" s="574" t="e">
        <f>'Unit Data from Audit Worksheet'!$E$299</f>
        <v>#N/A</v>
      </c>
      <c r="AM337" s="574" t="e">
        <f>'Unit Data from Audit Worksheet'!$E$299</f>
        <v>#N/A</v>
      </c>
      <c r="AN337" s="574" t="e">
        <f>'Unit Data from Audit Worksheet'!$E$299</f>
        <v>#N/A</v>
      </c>
      <c r="AO337" s="574" t="e">
        <f>'Unit Data from Audit Worksheet'!$E$299</f>
        <v>#N/A</v>
      </c>
      <c r="AP337" s="574" t="e">
        <f>'Unit Data from Audit Worksheet'!$E$299</f>
        <v>#N/A</v>
      </c>
      <c r="AQ337" s="574" t="e">
        <f>'Unit Data from Audit Worksheet'!$E$299</f>
        <v>#N/A</v>
      </c>
      <c r="AR337" s="574" t="e">
        <f>'Unit Data from Audit Worksheet'!$E$299</f>
        <v>#N/A</v>
      </c>
      <c r="AS337" s="574" t="e">
        <f>'Unit Data from Audit Worksheet'!$E$299</f>
        <v>#N/A</v>
      </c>
      <c r="AT337" s="574" t="e">
        <f>'Unit Data from Audit Worksheet'!$E$299</f>
        <v>#N/A</v>
      </c>
      <c r="AU337" s="574" t="e">
        <f>'Unit Data from Audit Worksheet'!$E$299</f>
        <v>#N/A</v>
      </c>
      <c r="AV337" s="574" t="e">
        <f>'Unit Data from Audit Worksheet'!$E$299</f>
        <v>#N/A</v>
      </c>
      <c r="AW337" s="574" t="e">
        <f>'Unit Data from Audit Worksheet'!$E$299</f>
        <v>#N/A</v>
      </c>
      <c r="AX337" s="574" t="e">
        <f>'Unit Data from Audit Worksheet'!$E$299</f>
        <v>#N/A</v>
      </c>
      <c r="AY337" s="574" t="e">
        <f>'Unit Data from Audit Worksheet'!$E$299</f>
        <v>#N/A</v>
      </c>
      <c r="AZ337" s="574" t="e">
        <f>'Unit Data from Audit Worksheet'!$E$299</f>
        <v>#N/A</v>
      </c>
      <c r="BA337" s="574" t="e">
        <f>'Unit Data from Audit Worksheet'!$E$299</f>
        <v>#N/A</v>
      </c>
      <c r="BB337" s="574" t="e">
        <f>'Unit Data from Audit Worksheet'!$E$299</f>
        <v>#N/A</v>
      </c>
      <c r="BC337" s="574" t="e">
        <f>'Unit Data from Audit Worksheet'!$E$299</f>
        <v>#N/A</v>
      </c>
      <c r="BD337" s="574" t="e">
        <f>'Unit Data from Audit Worksheet'!$E$299</f>
        <v>#N/A</v>
      </c>
      <c r="BE337" s="574" t="e">
        <f>'Unit Data from Audit Worksheet'!$E$299</f>
        <v>#N/A</v>
      </c>
      <c r="BF337" s="574" t="e">
        <f>'Unit Data from Audit Worksheet'!$E$299</f>
        <v>#N/A</v>
      </c>
      <c r="BG337" s="574" t="e">
        <f>'Unit Data from Audit Worksheet'!$E$299</f>
        <v>#N/A</v>
      </c>
      <c r="BH337" s="574" t="e">
        <f>'Unit Data from Audit Worksheet'!$E$299</f>
        <v>#N/A</v>
      </c>
      <c r="BI337" s="574" t="e">
        <f>'Unit Data from Audit Worksheet'!$E$299</f>
        <v>#N/A</v>
      </c>
      <c r="BJ337" s="574" t="e">
        <f>'Unit Data from Audit Worksheet'!$E$299</f>
        <v>#N/A</v>
      </c>
      <c r="BK337" s="574" t="e">
        <f>'Unit Data from Audit Worksheet'!$E$299</f>
        <v>#N/A</v>
      </c>
      <c r="BL337" s="574" t="e">
        <f>'Unit Data from Audit Worksheet'!$E$299</f>
        <v>#N/A</v>
      </c>
      <c r="BM337" s="574" t="e">
        <f>'Unit Data from Audit Worksheet'!$E$299</f>
        <v>#N/A</v>
      </c>
      <c r="BN337" s="574" t="e">
        <f>'Unit Data from Audit Worksheet'!$E$299</f>
        <v>#N/A</v>
      </c>
      <c r="BO337" s="574" t="e">
        <f>'Unit Data from Audit Worksheet'!$E$299</f>
        <v>#N/A</v>
      </c>
      <c r="BP337" s="574" t="e">
        <f>'Unit Data from Audit Worksheet'!$E$299</f>
        <v>#N/A</v>
      </c>
      <c r="BQ337" s="574" t="e">
        <f>'Unit Data from Audit Worksheet'!$E$299</f>
        <v>#N/A</v>
      </c>
      <c r="BR337" s="574" t="e">
        <f>'Unit Data from Audit Worksheet'!$E$299</f>
        <v>#N/A</v>
      </c>
      <c r="BS337" s="574" t="e">
        <f>'Unit Data from Audit Worksheet'!$E$299</f>
        <v>#N/A</v>
      </c>
      <c r="BT337" s="574" t="e">
        <f>'Unit Data from Audit Worksheet'!$E$299</f>
        <v>#N/A</v>
      </c>
      <c r="BU337" s="574" t="e">
        <f>'Unit Data from Audit Worksheet'!$E$299</f>
        <v>#N/A</v>
      </c>
      <c r="BV337" s="574" t="e">
        <f>'Unit Data from Audit Worksheet'!$E$299</f>
        <v>#N/A</v>
      </c>
      <c r="BW337" s="574" t="e">
        <f>'Unit Data from Audit Worksheet'!$E$299</f>
        <v>#N/A</v>
      </c>
      <c r="BX337" s="574" t="e">
        <f>'Unit Data from Audit Worksheet'!$E$299</f>
        <v>#N/A</v>
      </c>
      <c r="BY337" s="574" t="e">
        <f>'Unit Data from Audit Worksheet'!$E$299</f>
        <v>#N/A</v>
      </c>
      <c r="BZ337" s="574" t="e">
        <f>'Unit Data from Audit Worksheet'!$E$299</f>
        <v>#N/A</v>
      </c>
      <c r="CA337" s="574" t="e">
        <f>'Unit Data from Audit Worksheet'!$E$299</f>
        <v>#N/A</v>
      </c>
      <c r="CB337" s="574" t="e">
        <f>'Unit Data from Audit Worksheet'!$E$299</f>
        <v>#N/A</v>
      </c>
      <c r="CC337" s="574" t="e">
        <f>'Unit Data from Audit Worksheet'!$E$299</f>
        <v>#N/A</v>
      </c>
      <c r="CD337" s="574" t="e">
        <f>'Unit Data from Audit Worksheet'!$E$299</f>
        <v>#N/A</v>
      </c>
      <c r="CE337" s="574" t="e">
        <f>'Unit Data from Audit Worksheet'!$E$299</f>
        <v>#N/A</v>
      </c>
      <c r="CF337" s="574" t="e">
        <f>'Unit Data from Audit Worksheet'!$E$299</f>
        <v>#N/A</v>
      </c>
      <c r="CG337" s="574" t="e">
        <f>'Unit Data from Audit Worksheet'!$E$299</f>
        <v>#N/A</v>
      </c>
      <c r="CH337" s="574" t="e">
        <f>'Unit Data from Audit Worksheet'!$E$299</f>
        <v>#N/A</v>
      </c>
      <c r="CI337" s="574" t="e">
        <f>'Unit Data from Audit Worksheet'!$E$299</f>
        <v>#N/A</v>
      </c>
      <c r="CJ337" s="574" t="e">
        <f>'Unit Data from Audit Worksheet'!$E$299</f>
        <v>#N/A</v>
      </c>
      <c r="CK337" s="574" t="e">
        <f>'Unit Data from Audit Worksheet'!$E$299</f>
        <v>#N/A</v>
      </c>
      <c r="CL337" s="574" t="e">
        <f>'Unit Data from Audit Worksheet'!$E$299</f>
        <v>#N/A</v>
      </c>
      <c r="CM337" s="574" t="e">
        <f>'Unit Data from Audit Worksheet'!$E$299</f>
        <v>#N/A</v>
      </c>
      <c r="CN337" s="574" t="e">
        <f>'Unit Data from Audit Worksheet'!$E$299</f>
        <v>#N/A</v>
      </c>
      <c r="CO337" s="574" t="e">
        <f>'Unit Data from Audit Worksheet'!$E$299</f>
        <v>#N/A</v>
      </c>
      <c r="CP337" s="574" t="e">
        <f>'Unit Data from Audit Worksheet'!$E$299</f>
        <v>#N/A</v>
      </c>
      <c r="CQ337" s="574" t="e">
        <f>'Unit Data from Audit Worksheet'!$E$299</f>
        <v>#N/A</v>
      </c>
      <c r="CR337" s="574" t="e">
        <f>'Unit Data from Audit Worksheet'!$E$299</f>
        <v>#N/A</v>
      </c>
      <c r="CS337" s="574" t="e">
        <f>'Unit Data from Audit Worksheet'!$E$299</f>
        <v>#N/A</v>
      </c>
      <c r="CT337" s="574" t="e">
        <f>'Unit Data from Audit Worksheet'!$E$299</f>
        <v>#N/A</v>
      </c>
      <c r="CU337" s="574" t="e">
        <f>'Unit Data from Audit Worksheet'!$E$299</f>
        <v>#N/A</v>
      </c>
      <c r="CV337" s="574" t="e">
        <f>'Unit Data from Audit Worksheet'!$E$299</f>
        <v>#N/A</v>
      </c>
      <c r="CW337" s="574" t="e">
        <f>'Unit Data from Audit Worksheet'!$E$299</f>
        <v>#N/A</v>
      </c>
      <c r="CX337" s="574" t="e">
        <f>'Unit Data from Audit Worksheet'!$E$299</f>
        <v>#N/A</v>
      </c>
      <c r="CY337" s="574" t="e">
        <f>'Unit Data from Audit Worksheet'!$E$299</f>
        <v>#N/A</v>
      </c>
      <c r="CZ337" s="574" t="e">
        <f>'Unit Data from Audit Worksheet'!$E$299</f>
        <v>#N/A</v>
      </c>
    </row>
    <row r="338" spans="2:104" x14ac:dyDescent="0.3">
      <c r="B338" s="180"/>
      <c r="C338" s="180"/>
      <c r="D338" s="574"/>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c r="AF338" s="574"/>
      <c r="AG338" s="574"/>
      <c r="AH338" s="574"/>
      <c r="AI338" s="574"/>
      <c r="AJ338" s="574"/>
      <c r="AK338" s="574"/>
      <c r="AL338" s="574"/>
      <c r="AM338" s="574"/>
      <c r="AN338" s="574"/>
      <c r="AO338" s="574"/>
      <c r="AP338" s="574"/>
      <c r="AQ338" s="574"/>
      <c r="AR338" s="574"/>
      <c r="AS338" s="574"/>
      <c r="AT338" s="574"/>
      <c r="AU338" s="574"/>
      <c r="AV338" s="574"/>
      <c r="AW338" s="574"/>
      <c r="AX338" s="574"/>
      <c r="AY338" s="574"/>
      <c r="AZ338" s="574"/>
      <c r="BA338" s="574"/>
      <c r="BB338" s="574"/>
      <c r="BC338" s="574"/>
      <c r="BD338" s="574"/>
      <c r="BE338" s="574"/>
      <c r="BF338" s="574"/>
      <c r="BG338" s="574"/>
      <c r="BH338" s="574"/>
      <c r="BI338" s="574"/>
      <c r="BJ338" s="574"/>
      <c r="BK338" s="574"/>
      <c r="BL338" s="574"/>
      <c r="BM338" s="574"/>
      <c r="BN338" s="574"/>
      <c r="BO338" s="574"/>
      <c r="BP338" s="574"/>
      <c r="BQ338" s="574"/>
      <c r="BR338" s="574"/>
      <c r="BS338" s="574"/>
      <c r="BT338" s="574"/>
      <c r="BU338" s="574"/>
      <c r="BV338" s="574"/>
      <c r="BW338" s="574"/>
      <c r="BX338" s="574"/>
      <c r="BY338" s="574"/>
      <c r="BZ338" s="574"/>
      <c r="CA338" s="574"/>
      <c r="CB338" s="574"/>
      <c r="CC338" s="574"/>
      <c r="CD338" s="574"/>
      <c r="CE338" s="574"/>
      <c r="CF338" s="574"/>
      <c r="CG338" s="574"/>
      <c r="CH338" s="574"/>
      <c r="CI338" s="574"/>
      <c r="CJ338" s="574"/>
      <c r="CK338" s="574"/>
      <c r="CL338" s="574"/>
      <c r="CM338" s="574"/>
      <c r="CN338" s="574"/>
      <c r="CO338" s="574"/>
      <c r="CP338" s="574"/>
      <c r="CQ338" s="574"/>
      <c r="CR338" s="574"/>
      <c r="CS338" s="574"/>
      <c r="CT338" s="574"/>
      <c r="CU338" s="574"/>
      <c r="CV338" s="574"/>
      <c r="CW338" s="574"/>
      <c r="CX338" s="574"/>
      <c r="CY338" s="574"/>
      <c r="CZ338" s="574"/>
    </row>
    <row r="339" spans="2:104" x14ac:dyDescent="0.3">
      <c r="B339" s="180"/>
      <c r="C339" s="180"/>
      <c r="D339" s="574" t="e">
        <f>D335-D337</f>
        <v>#N/A</v>
      </c>
      <c r="E339" s="574" t="e">
        <f t="shared" ref="E339:BP339" si="155">E335-E337</f>
        <v>#N/A</v>
      </c>
      <c r="F339" s="574" t="e">
        <f t="shared" si="155"/>
        <v>#N/A</v>
      </c>
      <c r="G339" s="574" t="e">
        <f t="shared" si="155"/>
        <v>#N/A</v>
      </c>
      <c r="H339" s="574" t="e">
        <f t="shared" si="155"/>
        <v>#N/A</v>
      </c>
      <c r="I339" s="574" t="e">
        <f t="shared" si="155"/>
        <v>#N/A</v>
      </c>
      <c r="J339" s="574" t="e">
        <f t="shared" si="155"/>
        <v>#N/A</v>
      </c>
      <c r="K339" s="574" t="e">
        <f t="shared" si="155"/>
        <v>#N/A</v>
      </c>
      <c r="L339" s="574" t="e">
        <f t="shared" si="155"/>
        <v>#N/A</v>
      </c>
      <c r="M339" s="574" t="e">
        <f t="shared" si="155"/>
        <v>#N/A</v>
      </c>
      <c r="N339" s="574" t="e">
        <f t="shared" si="155"/>
        <v>#N/A</v>
      </c>
      <c r="O339" s="574" t="e">
        <f t="shared" si="155"/>
        <v>#N/A</v>
      </c>
      <c r="P339" s="574" t="e">
        <f t="shared" si="155"/>
        <v>#N/A</v>
      </c>
      <c r="Q339" s="574" t="e">
        <f t="shared" si="155"/>
        <v>#N/A</v>
      </c>
      <c r="R339" s="574" t="e">
        <f t="shared" si="155"/>
        <v>#N/A</v>
      </c>
      <c r="S339" s="574" t="e">
        <f t="shared" si="155"/>
        <v>#N/A</v>
      </c>
      <c r="T339" s="574" t="e">
        <f t="shared" si="155"/>
        <v>#N/A</v>
      </c>
      <c r="U339" s="574" t="e">
        <f t="shared" si="155"/>
        <v>#N/A</v>
      </c>
      <c r="V339" s="574" t="e">
        <f t="shared" si="155"/>
        <v>#N/A</v>
      </c>
      <c r="W339" s="574" t="e">
        <f t="shared" si="155"/>
        <v>#N/A</v>
      </c>
      <c r="X339" s="574" t="e">
        <f t="shared" si="155"/>
        <v>#N/A</v>
      </c>
      <c r="Y339" s="574" t="e">
        <f t="shared" si="155"/>
        <v>#N/A</v>
      </c>
      <c r="Z339" s="574" t="e">
        <f t="shared" si="155"/>
        <v>#N/A</v>
      </c>
      <c r="AA339" s="574" t="e">
        <f t="shared" si="155"/>
        <v>#N/A</v>
      </c>
      <c r="AB339" s="574" t="e">
        <f t="shared" si="155"/>
        <v>#N/A</v>
      </c>
      <c r="AC339" s="574" t="e">
        <f t="shared" si="155"/>
        <v>#N/A</v>
      </c>
      <c r="AD339" s="574" t="e">
        <f t="shared" si="155"/>
        <v>#N/A</v>
      </c>
      <c r="AE339" s="574" t="e">
        <f t="shared" si="155"/>
        <v>#N/A</v>
      </c>
      <c r="AF339" s="574" t="e">
        <f t="shared" si="155"/>
        <v>#N/A</v>
      </c>
      <c r="AG339" s="574" t="e">
        <f t="shared" si="155"/>
        <v>#N/A</v>
      </c>
      <c r="AH339" s="574" t="e">
        <f t="shared" si="155"/>
        <v>#N/A</v>
      </c>
      <c r="AI339" s="574" t="e">
        <f t="shared" si="155"/>
        <v>#N/A</v>
      </c>
      <c r="AJ339" s="574" t="e">
        <f t="shared" si="155"/>
        <v>#N/A</v>
      </c>
      <c r="AK339" s="574" t="e">
        <f t="shared" si="155"/>
        <v>#N/A</v>
      </c>
      <c r="AL339" s="574" t="e">
        <f t="shared" si="155"/>
        <v>#N/A</v>
      </c>
      <c r="AM339" s="574" t="e">
        <f t="shared" si="155"/>
        <v>#N/A</v>
      </c>
      <c r="AN339" s="574" t="e">
        <f t="shared" si="155"/>
        <v>#N/A</v>
      </c>
      <c r="AO339" s="574" t="e">
        <f t="shared" si="155"/>
        <v>#N/A</v>
      </c>
      <c r="AP339" s="574" t="e">
        <f t="shared" si="155"/>
        <v>#N/A</v>
      </c>
      <c r="AQ339" s="574" t="e">
        <f t="shared" si="155"/>
        <v>#N/A</v>
      </c>
      <c r="AR339" s="574" t="e">
        <f t="shared" si="155"/>
        <v>#N/A</v>
      </c>
      <c r="AS339" s="574" t="e">
        <f t="shared" si="155"/>
        <v>#N/A</v>
      </c>
      <c r="AT339" s="574" t="e">
        <f t="shared" si="155"/>
        <v>#N/A</v>
      </c>
      <c r="AU339" s="574" t="e">
        <f t="shared" si="155"/>
        <v>#N/A</v>
      </c>
      <c r="AV339" s="574" t="e">
        <f t="shared" si="155"/>
        <v>#N/A</v>
      </c>
      <c r="AW339" s="574" t="e">
        <f t="shared" si="155"/>
        <v>#N/A</v>
      </c>
      <c r="AX339" s="574" t="e">
        <f t="shared" si="155"/>
        <v>#N/A</v>
      </c>
      <c r="AY339" s="574" t="e">
        <f t="shared" si="155"/>
        <v>#N/A</v>
      </c>
      <c r="AZ339" s="574" t="e">
        <f t="shared" si="155"/>
        <v>#N/A</v>
      </c>
      <c r="BA339" s="574" t="e">
        <f t="shared" si="155"/>
        <v>#N/A</v>
      </c>
      <c r="BB339" s="574" t="e">
        <f t="shared" si="155"/>
        <v>#N/A</v>
      </c>
      <c r="BC339" s="574" t="e">
        <f t="shared" si="155"/>
        <v>#N/A</v>
      </c>
      <c r="BD339" s="574" t="e">
        <f t="shared" si="155"/>
        <v>#N/A</v>
      </c>
      <c r="BE339" s="574" t="e">
        <f t="shared" si="155"/>
        <v>#N/A</v>
      </c>
      <c r="BF339" s="574" t="e">
        <f t="shared" si="155"/>
        <v>#N/A</v>
      </c>
      <c r="BG339" s="574" t="e">
        <f t="shared" si="155"/>
        <v>#N/A</v>
      </c>
      <c r="BH339" s="574" t="e">
        <f t="shared" si="155"/>
        <v>#N/A</v>
      </c>
      <c r="BI339" s="574" t="e">
        <f t="shared" si="155"/>
        <v>#N/A</v>
      </c>
      <c r="BJ339" s="574" t="e">
        <f t="shared" si="155"/>
        <v>#N/A</v>
      </c>
      <c r="BK339" s="574" t="e">
        <f t="shared" si="155"/>
        <v>#N/A</v>
      </c>
      <c r="BL339" s="574" t="e">
        <f t="shared" si="155"/>
        <v>#N/A</v>
      </c>
      <c r="BM339" s="574" t="e">
        <f t="shared" si="155"/>
        <v>#N/A</v>
      </c>
      <c r="BN339" s="574" t="e">
        <f t="shared" si="155"/>
        <v>#N/A</v>
      </c>
      <c r="BO339" s="574" t="e">
        <f t="shared" si="155"/>
        <v>#N/A</v>
      </c>
      <c r="BP339" s="574" t="e">
        <f t="shared" si="155"/>
        <v>#N/A</v>
      </c>
      <c r="BQ339" s="574" t="e">
        <f t="shared" ref="BQ339:CZ339" si="156">BQ335-BQ337</f>
        <v>#N/A</v>
      </c>
      <c r="BR339" s="574" t="e">
        <f t="shared" si="156"/>
        <v>#N/A</v>
      </c>
      <c r="BS339" s="574" t="e">
        <f t="shared" si="156"/>
        <v>#N/A</v>
      </c>
      <c r="BT339" s="574" t="e">
        <f t="shared" si="156"/>
        <v>#N/A</v>
      </c>
      <c r="BU339" s="574" t="e">
        <f t="shared" si="156"/>
        <v>#N/A</v>
      </c>
      <c r="BV339" s="574" t="e">
        <f t="shared" si="156"/>
        <v>#N/A</v>
      </c>
      <c r="BW339" s="574" t="e">
        <f t="shared" si="156"/>
        <v>#N/A</v>
      </c>
      <c r="BX339" s="574" t="e">
        <f t="shared" si="156"/>
        <v>#N/A</v>
      </c>
      <c r="BY339" s="574" t="e">
        <f t="shared" si="156"/>
        <v>#N/A</v>
      </c>
      <c r="BZ339" s="574" t="e">
        <f t="shared" si="156"/>
        <v>#N/A</v>
      </c>
      <c r="CA339" s="574" t="e">
        <f t="shared" si="156"/>
        <v>#N/A</v>
      </c>
      <c r="CB339" s="574" t="e">
        <f t="shared" si="156"/>
        <v>#N/A</v>
      </c>
      <c r="CC339" s="574" t="e">
        <f t="shared" si="156"/>
        <v>#N/A</v>
      </c>
      <c r="CD339" s="574" t="e">
        <f t="shared" si="156"/>
        <v>#N/A</v>
      </c>
      <c r="CE339" s="574" t="e">
        <f t="shared" si="156"/>
        <v>#N/A</v>
      </c>
      <c r="CF339" s="574" t="e">
        <f t="shared" si="156"/>
        <v>#N/A</v>
      </c>
      <c r="CG339" s="574" t="e">
        <f t="shared" si="156"/>
        <v>#N/A</v>
      </c>
      <c r="CH339" s="574" t="e">
        <f t="shared" si="156"/>
        <v>#N/A</v>
      </c>
      <c r="CI339" s="574" t="e">
        <f t="shared" si="156"/>
        <v>#N/A</v>
      </c>
      <c r="CJ339" s="574" t="e">
        <f t="shared" si="156"/>
        <v>#N/A</v>
      </c>
      <c r="CK339" s="574" t="e">
        <f t="shared" si="156"/>
        <v>#N/A</v>
      </c>
      <c r="CL339" s="574" t="e">
        <f t="shared" si="156"/>
        <v>#N/A</v>
      </c>
      <c r="CM339" s="574" t="e">
        <f t="shared" si="156"/>
        <v>#N/A</v>
      </c>
      <c r="CN339" s="574" t="e">
        <f t="shared" si="156"/>
        <v>#N/A</v>
      </c>
      <c r="CO339" s="574" t="e">
        <f t="shared" si="156"/>
        <v>#N/A</v>
      </c>
      <c r="CP339" s="574" t="e">
        <f t="shared" si="156"/>
        <v>#N/A</v>
      </c>
      <c r="CQ339" s="574" t="e">
        <f t="shared" si="156"/>
        <v>#N/A</v>
      </c>
      <c r="CR339" s="574" t="e">
        <f t="shared" si="156"/>
        <v>#N/A</v>
      </c>
      <c r="CS339" s="574" t="e">
        <f t="shared" si="156"/>
        <v>#N/A</v>
      </c>
      <c r="CT339" s="574" t="e">
        <f t="shared" si="156"/>
        <v>#N/A</v>
      </c>
      <c r="CU339" s="574" t="e">
        <f t="shared" si="156"/>
        <v>#N/A</v>
      </c>
      <c r="CV339" s="574" t="e">
        <f t="shared" si="156"/>
        <v>#N/A</v>
      </c>
      <c r="CW339" s="574" t="e">
        <f t="shared" si="156"/>
        <v>#N/A</v>
      </c>
      <c r="CX339" s="574" t="e">
        <f t="shared" si="156"/>
        <v>#N/A</v>
      </c>
      <c r="CY339" s="574" t="e">
        <f t="shared" si="156"/>
        <v>#N/A</v>
      </c>
      <c r="CZ339" s="574" t="e">
        <f t="shared" si="156"/>
        <v>#N/A</v>
      </c>
    </row>
    <row r="341" spans="2:104" x14ac:dyDescent="0.3">
      <c r="D341" t="str">
        <f>D1</f>
        <v>St. Helena</v>
      </c>
      <c r="E341" s="180" t="str">
        <f t="shared" ref="E341:BP341" si="157">E1</f>
        <v>St. James</v>
      </c>
      <c r="F341" s="180" t="str">
        <f t="shared" si="157"/>
        <v>St. Pauls</v>
      </c>
      <c r="G341" s="180" t="str">
        <f t="shared" si="157"/>
        <v>Staley</v>
      </c>
      <c r="H341" s="180" t="str">
        <f t="shared" si="157"/>
        <v>Stallings</v>
      </c>
      <c r="I341" s="180" t="str">
        <f t="shared" si="157"/>
        <v>Stanfield</v>
      </c>
      <c r="J341" s="180" t="str">
        <f t="shared" si="157"/>
        <v>Stanley</v>
      </c>
      <c r="K341" s="180" t="str">
        <f t="shared" si="157"/>
        <v>Stantonsburg</v>
      </c>
      <c r="L341" s="180" t="str">
        <f t="shared" si="157"/>
        <v>Star</v>
      </c>
      <c r="M341" s="180" t="str">
        <f t="shared" si="157"/>
        <v>Statesville</v>
      </c>
      <c r="N341" s="180" t="str">
        <f t="shared" si="157"/>
        <v>Stedman</v>
      </c>
      <c r="O341" s="180" t="str">
        <f t="shared" si="157"/>
        <v>Stem</v>
      </c>
      <c r="P341" s="180" t="str">
        <f t="shared" si="157"/>
        <v>Stokesdale</v>
      </c>
      <c r="Q341" s="180" t="str">
        <f t="shared" si="157"/>
        <v>Stoneville</v>
      </c>
      <c r="R341" s="180" t="str">
        <f t="shared" si="157"/>
        <v>Stonewall</v>
      </c>
      <c r="S341" s="180" t="str">
        <f t="shared" si="157"/>
        <v>Stovall</v>
      </c>
      <c r="T341" s="180" t="str">
        <f t="shared" si="157"/>
        <v>Sugar Mountain</v>
      </c>
      <c r="U341" s="180" t="str">
        <f t="shared" si="157"/>
        <v>Summerfield</v>
      </c>
      <c r="V341" s="180" t="str">
        <f t="shared" si="157"/>
        <v>Sunset Beach</v>
      </c>
      <c r="W341" s="180" t="str">
        <f t="shared" si="157"/>
        <v>Surf City</v>
      </c>
      <c r="X341" s="180" t="str">
        <f t="shared" si="157"/>
        <v>Swansboro</v>
      </c>
      <c r="Y341" s="180" t="str">
        <f t="shared" si="157"/>
        <v>Swepsonville</v>
      </c>
      <c r="Z341" s="180" t="str">
        <f t="shared" si="157"/>
        <v>Sylva</v>
      </c>
      <c r="AA341" s="180" t="str">
        <f t="shared" si="157"/>
        <v>Tabor City</v>
      </c>
      <c r="AB341" s="180" t="str">
        <f t="shared" si="157"/>
        <v>Tar Heel</v>
      </c>
      <c r="AC341" s="180" t="str">
        <f t="shared" si="157"/>
        <v>Tarboro</v>
      </c>
      <c r="AD341" s="180" t="str">
        <f t="shared" si="157"/>
        <v>Taylorsville</v>
      </c>
      <c r="AE341" s="180" t="str">
        <f t="shared" si="157"/>
        <v>Taylortown</v>
      </c>
      <c r="AF341" s="180" t="str">
        <f t="shared" si="157"/>
        <v>Teachey</v>
      </c>
      <c r="AG341" s="180" t="str">
        <f t="shared" si="157"/>
        <v>Thomasville</v>
      </c>
      <c r="AH341" s="180" t="str">
        <f t="shared" si="157"/>
        <v>Tobaccoville</v>
      </c>
      <c r="AI341" s="180" t="str">
        <f t="shared" si="157"/>
        <v>Topsail Beach</v>
      </c>
      <c r="AJ341" s="180" t="str">
        <f t="shared" si="157"/>
        <v>Trent Woods</v>
      </c>
      <c r="AK341" s="180" t="str">
        <f t="shared" si="157"/>
        <v>Trenton</v>
      </c>
      <c r="AL341" s="180" t="str">
        <f t="shared" si="157"/>
        <v>Trinity</v>
      </c>
      <c r="AM341" s="180" t="str">
        <f t="shared" si="157"/>
        <v>Troutman</v>
      </c>
      <c r="AN341" s="180" t="str">
        <f t="shared" si="157"/>
        <v>Troy</v>
      </c>
      <c r="AO341" s="180" t="str">
        <f t="shared" si="157"/>
        <v>Tryon</v>
      </c>
      <c r="AP341" s="180" t="str">
        <f t="shared" si="157"/>
        <v>Turkey</v>
      </c>
      <c r="AQ341" s="180" t="str">
        <f t="shared" si="157"/>
        <v>Unionville</v>
      </c>
      <c r="AR341" s="180" t="str">
        <f t="shared" si="157"/>
        <v>Valdese</v>
      </c>
      <c r="AS341" s="180" t="str">
        <f t="shared" si="157"/>
        <v>Vanceboro</v>
      </c>
      <c r="AT341" s="180" t="str">
        <f t="shared" si="157"/>
        <v>Vandemere</v>
      </c>
      <c r="AU341" s="180" t="str">
        <f t="shared" si="157"/>
        <v>Varnamtown</v>
      </c>
      <c r="AV341" s="180" t="str">
        <f t="shared" si="157"/>
        <v>Vass</v>
      </c>
      <c r="AW341" s="180" t="str">
        <f t="shared" si="157"/>
        <v>Waco</v>
      </c>
      <c r="AX341" s="180" t="str">
        <f t="shared" si="157"/>
        <v>Wade</v>
      </c>
      <c r="AY341" s="180" t="str">
        <f t="shared" si="157"/>
        <v>Wadesboro</v>
      </c>
      <c r="AZ341" s="180" t="str">
        <f t="shared" si="157"/>
        <v>Wagram</v>
      </c>
      <c r="BA341" s="180" t="str">
        <f t="shared" si="157"/>
        <v>Wake Forest</v>
      </c>
      <c r="BB341" s="180" t="str">
        <f t="shared" si="157"/>
        <v>Walkertown</v>
      </c>
      <c r="BC341" s="180" t="str">
        <f t="shared" si="157"/>
        <v>Wallace</v>
      </c>
      <c r="BD341" s="180" t="str">
        <f t="shared" si="157"/>
        <v>Wallburg</v>
      </c>
      <c r="BE341" s="180" t="str">
        <f t="shared" si="157"/>
        <v>Walnut Cove</v>
      </c>
      <c r="BF341" s="180" t="str">
        <f t="shared" si="157"/>
        <v>Walnut Creek</v>
      </c>
      <c r="BG341" s="180" t="str">
        <f t="shared" si="157"/>
        <v>Walstonburg</v>
      </c>
      <c r="BH341" s="180" t="str">
        <f t="shared" si="157"/>
        <v>Warrenton</v>
      </c>
      <c r="BI341" s="180" t="str">
        <f t="shared" si="157"/>
        <v>Warsaw</v>
      </c>
      <c r="BJ341" s="180" t="str">
        <f t="shared" si="157"/>
        <v>Washington</v>
      </c>
      <c r="BK341" s="180" t="str">
        <f t="shared" si="157"/>
        <v>Washington Park</v>
      </c>
      <c r="BL341" s="180" t="str">
        <f t="shared" si="157"/>
        <v>Watha</v>
      </c>
      <c r="BM341" s="180" t="str">
        <f t="shared" si="157"/>
        <v>Waxhaw</v>
      </c>
      <c r="BN341" s="180" t="str">
        <f t="shared" si="157"/>
        <v>Waynesville</v>
      </c>
      <c r="BO341" s="180" t="str">
        <f t="shared" si="157"/>
        <v>Weaverville</v>
      </c>
      <c r="BP341" s="180" t="str">
        <f t="shared" si="157"/>
        <v>Webster</v>
      </c>
      <c r="BQ341" s="180" t="str">
        <f t="shared" ref="BQ341:CZ341" si="158">BQ1</f>
        <v>Weddington</v>
      </c>
      <c r="BR341" s="180" t="str">
        <f t="shared" si="158"/>
        <v>Weldon</v>
      </c>
      <c r="BS341" s="180" t="str">
        <f t="shared" si="158"/>
        <v>Wendell</v>
      </c>
      <c r="BT341" s="180" t="str">
        <f t="shared" si="158"/>
        <v>Wentworth</v>
      </c>
      <c r="BU341" s="180" t="str">
        <f t="shared" si="158"/>
        <v>Wesley Chapel</v>
      </c>
      <c r="BV341" s="180" t="str">
        <f t="shared" si="158"/>
        <v>West Jefferson</v>
      </c>
      <c r="BW341" s="180" t="str">
        <f t="shared" si="158"/>
        <v>Whispering Pines</v>
      </c>
      <c r="BX341" s="180" t="str">
        <f t="shared" si="158"/>
        <v>Whitakers</v>
      </c>
      <c r="BY341" s="180" t="str">
        <f t="shared" si="158"/>
        <v>White Lake</v>
      </c>
      <c r="BZ341" s="180" t="str">
        <f t="shared" si="158"/>
        <v>Whiteville</v>
      </c>
      <c r="CA341" s="180" t="str">
        <f t="shared" si="158"/>
        <v>Whitsett</v>
      </c>
      <c r="CB341" s="180" t="str">
        <f t="shared" si="158"/>
        <v>Wilkesboro</v>
      </c>
      <c r="CC341" s="180" t="str">
        <f t="shared" si="158"/>
        <v>Williamston</v>
      </c>
      <c r="CD341" s="180" t="str">
        <f t="shared" si="158"/>
        <v>Wilmington</v>
      </c>
      <c r="CE341" s="180" t="str">
        <f t="shared" si="158"/>
        <v>Wilson</v>
      </c>
      <c r="CF341" s="180" t="str">
        <f t="shared" si="158"/>
        <v>Wilson's Mills</v>
      </c>
      <c r="CG341" s="180" t="str">
        <f t="shared" si="158"/>
        <v>Windsor</v>
      </c>
      <c r="CH341" s="180" t="str">
        <f t="shared" si="158"/>
        <v>Winfall</v>
      </c>
      <c r="CI341" s="180" t="str">
        <f t="shared" si="158"/>
        <v>Wingate</v>
      </c>
      <c r="CJ341" s="180" t="str">
        <f t="shared" si="158"/>
        <v>Winston-Salem</v>
      </c>
      <c r="CK341" s="180" t="str">
        <f t="shared" si="158"/>
        <v>Winterville</v>
      </c>
      <c r="CL341" s="180" t="str">
        <f t="shared" si="158"/>
        <v>Winton</v>
      </c>
      <c r="CM341" s="180" t="str">
        <f t="shared" si="158"/>
        <v>Woodfin</v>
      </c>
      <c r="CN341" s="180" t="str">
        <f t="shared" si="158"/>
        <v>Woodland</v>
      </c>
      <c r="CO341" s="180" t="str">
        <f t="shared" si="158"/>
        <v>Wrightsville Beach</v>
      </c>
      <c r="CP341" s="180" t="str">
        <f t="shared" si="158"/>
        <v>Yadkinville</v>
      </c>
      <c r="CQ341" s="180" t="str">
        <f t="shared" si="158"/>
        <v>Yanceyville</v>
      </c>
      <c r="CR341" s="180" t="str">
        <f t="shared" si="158"/>
        <v>Youngsville</v>
      </c>
      <c r="CS341" s="180" t="str">
        <f t="shared" si="158"/>
        <v>Zebulon</v>
      </c>
      <c r="CT341" s="180">
        <f t="shared" si="158"/>
        <v>0</v>
      </c>
      <c r="CU341" s="180">
        <f t="shared" si="158"/>
        <v>0</v>
      </c>
      <c r="CV341" s="180">
        <f t="shared" si="158"/>
        <v>0</v>
      </c>
      <c r="CW341" s="180">
        <f t="shared" si="158"/>
        <v>0</v>
      </c>
      <c r="CX341" s="180">
        <f t="shared" si="158"/>
        <v>0</v>
      </c>
      <c r="CY341" s="180">
        <f t="shared" si="158"/>
        <v>0</v>
      </c>
      <c r="CZ341" s="180">
        <f t="shared" si="158"/>
        <v>0</v>
      </c>
    </row>
  </sheetData>
  <sheetProtection algorithmName="SHA-512" hashValue="Irqw4K5xUHGDWWoS9Ff1S3qoxIt/WeUb9tcXOIDM0chY7RK9pEQXBgAGhTW6bV1MDmurl/qKcAMiDo0qOmNdGg==" saltValue="i8yp40uHQJMKBuGNNoeE/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S314"/>
  <sheetViews>
    <sheetView workbookViewId="0">
      <pane xSplit="3" ySplit="2" topLeftCell="D3" activePane="bottomRight" state="frozen"/>
      <selection pane="topRight" activeCell="D1" sqref="D1"/>
      <selection pane="bottomLeft" activeCell="A3" sqref="A3"/>
      <selection pane="bottomRight" activeCell="D315" sqref="D315"/>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97" x14ac:dyDescent="0.3">
      <c r="A1" s="183" t="s">
        <v>1728</v>
      </c>
      <c r="B1" t="s">
        <v>1725</v>
      </c>
      <c r="C1" t="s">
        <v>351</v>
      </c>
      <c r="D1" t="s">
        <v>1060</v>
      </c>
      <c r="E1" t="s">
        <v>1061</v>
      </c>
      <c r="F1" t="s">
        <v>1062</v>
      </c>
      <c r="G1" t="s">
        <v>1063</v>
      </c>
      <c r="H1" t="s">
        <v>1064</v>
      </c>
      <c r="I1" t="s">
        <v>1065</v>
      </c>
      <c r="J1" t="s">
        <v>848</v>
      </c>
      <c r="K1" t="s">
        <v>1066</v>
      </c>
      <c r="L1" t="s">
        <v>1067</v>
      </c>
      <c r="M1" t="s">
        <v>1068</v>
      </c>
      <c r="N1" t="s">
        <v>1069</v>
      </c>
      <c r="O1" t="s">
        <v>1070</v>
      </c>
      <c r="P1" t="s">
        <v>1071</v>
      </c>
      <c r="Q1" t="s">
        <v>1072</v>
      </c>
      <c r="R1" t="s">
        <v>849</v>
      </c>
      <c r="S1" t="s">
        <v>1073</v>
      </c>
      <c r="T1" t="s">
        <v>1074</v>
      </c>
      <c r="U1" t="s">
        <v>1075</v>
      </c>
      <c r="V1" t="s">
        <v>1076</v>
      </c>
      <c r="W1" t="s">
        <v>1077</v>
      </c>
      <c r="X1" t="s">
        <v>1078</v>
      </c>
      <c r="Y1" t="s">
        <v>1079</v>
      </c>
      <c r="Z1" t="s">
        <v>1080</v>
      </c>
      <c r="AA1" t="s">
        <v>850</v>
      </c>
      <c r="AB1" t="s">
        <v>1081</v>
      </c>
      <c r="AC1" t="s">
        <v>1082</v>
      </c>
      <c r="AD1" t="s">
        <v>555</v>
      </c>
      <c r="AE1" t="s">
        <v>556</v>
      </c>
      <c r="AF1" t="s">
        <v>851</v>
      </c>
      <c r="AG1" t="s">
        <v>1083</v>
      </c>
      <c r="AH1" t="s">
        <v>1084</v>
      </c>
      <c r="AI1" t="s">
        <v>1085</v>
      </c>
      <c r="AJ1" t="s">
        <v>1086</v>
      </c>
      <c r="AK1" t="s">
        <v>1087</v>
      </c>
      <c r="AL1" t="s">
        <v>1088</v>
      </c>
      <c r="AM1" t="s">
        <v>1089</v>
      </c>
      <c r="AN1" t="s">
        <v>1090</v>
      </c>
      <c r="AO1" t="s">
        <v>557</v>
      </c>
      <c r="AP1" t="s">
        <v>1091</v>
      </c>
      <c r="AQ1" t="s">
        <v>1092</v>
      </c>
      <c r="AR1" t="s">
        <v>1093</v>
      </c>
      <c r="AS1" t="s">
        <v>559</v>
      </c>
      <c r="AT1" t="s">
        <v>1094</v>
      </c>
      <c r="AU1" t="s">
        <v>1095</v>
      </c>
      <c r="AV1" t="s">
        <v>560</v>
      </c>
      <c r="AW1" t="s">
        <v>852</v>
      </c>
      <c r="AX1" t="s">
        <v>1096</v>
      </c>
      <c r="AY1" t="s">
        <v>1097</v>
      </c>
      <c r="AZ1" t="s">
        <v>1098</v>
      </c>
      <c r="BA1" t="s">
        <v>399</v>
      </c>
      <c r="BB1" t="s">
        <v>1099</v>
      </c>
      <c r="BC1" t="s">
        <v>1100</v>
      </c>
      <c r="BD1" t="s">
        <v>1101</v>
      </c>
      <c r="BE1" t="s">
        <v>1102</v>
      </c>
      <c r="BF1" t="s">
        <v>853</v>
      </c>
      <c r="BG1" t="s">
        <v>1103</v>
      </c>
      <c r="BH1" t="s">
        <v>854</v>
      </c>
      <c r="BI1" t="s">
        <v>1104</v>
      </c>
      <c r="BJ1" t="s">
        <v>1105</v>
      </c>
      <c r="BK1" t="s">
        <v>1106</v>
      </c>
      <c r="BL1" t="s">
        <v>1107</v>
      </c>
      <c r="BM1" t="s">
        <v>1108</v>
      </c>
      <c r="BN1" t="s">
        <v>1109</v>
      </c>
      <c r="BO1" t="s">
        <v>1110</v>
      </c>
      <c r="BP1" t="s">
        <v>1111</v>
      </c>
      <c r="BQ1" t="s">
        <v>1112</v>
      </c>
      <c r="BR1" t="s">
        <v>1113</v>
      </c>
      <c r="BS1" t="s">
        <v>1114</v>
      </c>
      <c r="BT1" t="s">
        <v>1115</v>
      </c>
      <c r="BU1" t="s">
        <v>1116</v>
      </c>
      <c r="BV1" t="s">
        <v>1117</v>
      </c>
      <c r="BW1" t="s">
        <v>1118</v>
      </c>
      <c r="BX1" t="s">
        <v>561</v>
      </c>
      <c r="BY1" t="s">
        <v>855</v>
      </c>
      <c r="BZ1" t="s">
        <v>1119</v>
      </c>
      <c r="CA1" t="s">
        <v>1120</v>
      </c>
      <c r="CB1" t="s">
        <v>562</v>
      </c>
      <c r="CC1" t="s">
        <v>1121</v>
      </c>
      <c r="CD1" t="s">
        <v>400</v>
      </c>
      <c r="CE1" t="s">
        <v>1122</v>
      </c>
      <c r="CF1" t="s">
        <v>1123</v>
      </c>
      <c r="CG1" t="s">
        <v>1124</v>
      </c>
      <c r="CH1" t="s">
        <v>1125</v>
      </c>
      <c r="CI1" t="s">
        <v>1126</v>
      </c>
      <c r="CJ1" t="s">
        <v>401</v>
      </c>
      <c r="CK1" t="s">
        <v>1127</v>
      </c>
      <c r="CL1" t="s">
        <v>856</v>
      </c>
      <c r="CM1" t="s">
        <v>1128</v>
      </c>
      <c r="CN1" t="s">
        <v>1129</v>
      </c>
      <c r="CO1" t="s">
        <v>1130</v>
      </c>
      <c r="CP1" t="s">
        <v>1131</v>
      </c>
      <c r="CQ1" t="s">
        <v>857</v>
      </c>
      <c r="CR1" t="s">
        <v>1132</v>
      </c>
      <c r="CS1" t="s">
        <v>1133</v>
      </c>
    </row>
    <row r="2" spans="1:97" x14ac:dyDescent="0.3">
      <c r="A2" s="155" t="s">
        <v>895</v>
      </c>
      <c r="B2" t="s">
        <v>41</v>
      </c>
      <c r="C2" t="s">
        <v>13</v>
      </c>
      <c r="D2" s="801">
        <v>50526</v>
      </c>
      <c r="E2" s="801">
        <v>50554</v>
      </c>
      <c r="F2" s="801">
        <v>50343</v>
      </c>
      <c r="G2" s="801">
        <v>50372</v>
      </c>
      <c r="H2" s="801">
        <v>50457</v>
      </c>
      <c r="I2" s="801">
        <v>50373</v>
      </c>
      <c r="J2" s="801">
        <v>50374</v>
      </c>
      <c r="K2" s="801">
        <v>50375</v>
      </c>
      <c r="L2" s="801">
        <v>50376</v>
      </c>
      <c r="M2" s="801">
        <v>50377</v>
      </c>
      <c r="N2" s="801">
        <v>50378</v>
      </c>
      <c r="O2" s="801">
        <v>50379</v>
      </c>
      <c r="P2" s="801">
        <v>50530</v>
      </c>
      <c r="Q2" s="801">
        <v>50380</v>
      </c>
      <c r="R2" s="801">
        <v>50483</v>
      </c>
      <c r="S2" s="801">
        <v>50381</v>
      </c>
      <c r="T2" s="801">
        <v>50501</v>
      </c>
      <c r="U2" s="801">
        <v>50494</v>
      </c>
      <c r="V2" s="801">
        <v>50382</v>
      </c>
      <c r="W2" s="801">
        <v>50383</v>
      </c>
      <c r="X2" s="801">
        <v>50384</v>
      </c>
      <c r="Y2" s="801">
        <v>50557</v>
      </c>
      <c r="Z2" s="801">
        <v>50385</v>
      </c>
      <c r="AA2" s="801">
        <v>50386</v>
      </c>
      <c r="AB2" s="801">
        <v>50388</v>
      </c>
      <c r="AC2" s="801">
        <v>50387</v>
      </c>
      <c r="AD2" s="801">
        <v>50389</v>
      </c>
      <c r="AE2" s="801">
        <v>50500</v>
      </c>
      <c r="AF2" s="801">
        <v>50390</v>
      </c>
      <c r="AG2" s="801">
        <v>50391</v>
      </c>
      <c r="AH2" s="801">
        <v>50531</v>
      </c>
      <c r="AI2" s="801">
        <v>50392</v>
      </c>
      <c r="AJ2" s="801">
        <v>50458</v>
      </c>
      <c r="AK2" s="801">
        <v>50393</v>
      </c>
      <c r="AL2" s="801">
        <v>50544</v>
      </c>
      <c r="AM2" s="801">
        <v>50394</v>
      </c>
      <c r="AN2" s="801">
        <v>50395</v>
      </c>
      <c r="AO2" s="801">
        <v>50396</v>
      </c>
      <c r="AP2" s="801">
        <v>50397</v>
      </c>
      <c r="AQ2" s="801">
        <v>50550</v>
      </c>
      <c r="AR2" s="801">
        <v>50398</v>
      </c>
      <c r="AS2" s="801">
        <v>50399</v>
      </c>
      <c r="AT2" s="801">
        <v>50400</v>
      </c>
      <c r="AU2" s="801">
        <v>50532</v>
      </c>
      <c r="AV2" s="801">
        <v>50401</v>
      </c>
      <c r="AW2" s="801">
        <v>50402</v>
      </c>
      <c r="AX2" s="801">
        <v>50485</v>
      </c>
      <c r="AY2" s="801">
        <v>50403</v>
      </c>
      <c r="AZ2" s="801">
        <v>50404</v>
      </c>
      <c r="BA2" s="801">
        <v>50405</v>
      </c>
      <c r="BB2" s="801">
        <v>50533</v>
      </c>
      <c r="BC2" s="801">
        <v>50406</v>
      </c>
      <c r="BD2" s="801">
        <v>50565</v>
      </c>
      <c r="BE2" s="801">
        <v>50407</v>
      </c>
      <c r="BF2" s="801">
        <v>50486</v>
      </c>
      <c r="BG2" s="801">
        <v>50408</v>
      </c>
      <c r="BH2" s="801">
        <v>50409</v>
      </c>
      <c r="BI2" s="801">
        <v>50410</v>
      </c>
      <c r="BJ2" s="801">
        <v>50411</v>
      </c>
      <c r="BK2" s="801">
        <v>50412</v>
      </c>
      <c r="BL2" s="801">
        <v>50488</v>
      </c>
      <c r="BM2" s="801">
        <v>50413</v>
      </c>
      <c r="BN2" s="801">
        <v>50414</v>
      </c>
      <c r="BO2" s="801">
        <v>50415</v>
      </c>
      <c r="BP2" s="801">
        <v>50416</v>
      </c>
      <c r="BQ2" s="801">
        <v>50534</v>
      </c>
      <c r="BR2" s="801">
        <v>50417</v>
      </c>
      <c r="BS2">
        <v>50418</v>
      </c>
      <c r="BT2">
        <v>50546</v>
      </c>
      <c r="BU2">
        <v>50552</v>
      </c>
      <c r="BV2">
        <v>50419</v>
      </c>
      <c r="BW2">
        <v>50441</v>
      </c>
      <c r="BX2">
        <v>50420</v>
      </c>
      <c r="BY2">
        <v>50421</v>
      </c>
      <c r="BZ2">
        <v>50422</v>
      </c>
      <c r="CA2">
        <v>50535</v>
      </c>
      <c r="CB2">
        <v>50423</v>
      </c>
      <c r="CC2">
        <v>50424</v>
      </c>
      <c r="CD2">
        <v>50425</v>
      </c>
      <c r="CE2">
        <v>50426</v>
      </c>
      <c r="CF2">
        <v>50537</v>
      </c>
      <c r="CG2">
        <v>50427</v>
      </c>
      <c r="CH2">
        <v>50428</v>
      </c>
      <c r="CI2">
        <v>50429</v>
      </c>
      <c r="CJ2">
        <v>50431</v>
      </c>
      <c r="CK2">
        <v>50430</v>
      </c>
      <c r="CL2">
        <v>50432</v>
      </c>
      <c r="CM2">
        <v>50453</v>
      </c>
      <c r="CN2">
        <v>50433</v>
      </c>
      <c r="CO2">
        <v>50435</v>
      </c>
      <c r="CP2">
        <v>50436</v>
      </c>
      <c r="CQ2">
        <v>50499</v>
      </c>
      <c r="CR2">
        <v>50438</v>
      </c>
      <c r="CS2">
        <v>50439</v>
      </c>
    </row>
    <row r="3" spans="1:97" x14ac:dyDescent="0.3">
      <c r="A3" s="155">
        <v>4</v>
      </c>
      <c r="B3" t="s">
        <v>111</v>
      </c>
      <c r="D3">
        <v>0</v>
      </c>
      <c r="E3">
        <v>76265</v>
      </c>
      <c r="F3">
        <v>129631</v>
      </c>
      <c r="G3">
        <v>4492</v>
      </c>
      <c r="H3">
        <v>1291243</v>
      </c>
      <c r="I3">
        <v>32528</v>
      </c>
      <c r="J3">
        <v>145347</v>
      </c>
      <c r="K3">
        <v>20424</v>
      </c>
      <c r="L3">
        <v>12390</v>
      </c>
      <c r="M3">
        <v>1717268</v>
      </c>
      <c r="N3">
        <v>16153</v>
      </c>
      <c r="O3">
        <v>11278</v>
      </c>
      <c r="P3">
        <v>32411</v>
      </c>
      <c r="Q3">
        <v>29129</v>
      </c>
      <c r="R3">
        <v>0</v>
      </c>
      <c r="S3">
        <v>8103</v>
      </c>
      <c r="T3">
        <v>63453</v>
      </c>
      <c r="U3">
        <v>188187</v>
      </c>
      <c r="V3">
        <v>143277</v>
      </c>
      <c r="W3">
        <v>1154331</v>
      </c>
      <c r="X3">
        <v>749357</v>
      </c>
      <c r="Y3">
        <v>16404</v>
      </c>
      <c r="Z3">
        <v>239124</v>
      </c>
      <c r="AA3">
        <v>62874</v>
      </c>
      <c r="AB3">
        <v>2538</v>
      </c>
      <c r="AC3">
        <v>430277</v>
      </c>
      <c r="AD3">
        <v>57283</v>
      </c>
      <c r="AE3">
        <v>21029</v>
      </c>
      <c r="AF3">
        <v>5935</v>
      </c>
      <c r="AG3">
        <v>915935</v>
      </c>
      <c r="AH3">
        <v>21714</v>
      </c>
      <c r="AI3">
        <v>91539</v>
      </c>
      <c r="AJ3">
        <v>18074</v>
      </c>
      <c r="AK3">
        <v>2941</v>
      </c>
      <c r="AL3">
        <v>571474</v>
      </c>
      <c r="AM3">
        <v>60605</v>
      </c>
      <c r="AN3">
        <v>52722</v>
      </c>
      <c r="AO3">
        <v>158147</v>
      </c>
      <c r="AP3">
        <v>4556</v>
      </c>
      <c r="AQ3">
        <v>18846</v>
      </c>
      <c r="AR3">
        <v>69984</v>
      </c>
      <c r="AS3">
        <v>38200</v>
      </c>
      <c r="AT3">
        <v>11031</v>
      </c>
      <c r="AU3">
        <v>956</v>
      </c>
      <c r="AV3">
        <v>27255</v>
      </c>
      <c r="AW3">
        <v>3312</v>
      </c>
      <c r="AX3">
        <v>5568</v>
      </c>
      <c r="AY3">
        <v>143117</v>
      </c>
      <c r="AZ3">
        <v>600</v>
      </c>
      <c r="BA3">
        <v>3579746</v>
      </c>
      <c r="BB3">
        <v>99552</v>
      </c>
      <c r="BC3">
        <v>114102</v>
      </c>
      <c r="BD3">
        <v>0</v>
      </c>
      <c r="BE3">
        <v>14535</v>
      </c>
      <c r="BF3">
        <v>96787</v>
      </c>
      <c r="BG3">
        <v>14961</v>
      </c>
      <c r="BH3">
        <v>18987</v>
      </c>
      <c r="BI3">
        <v>198404</v>
      </c>
      <c r="BJ3">
        <v>769897</v>
      </c>
      <c r="BK3">
        <v>6644</v>
      </c>
      <c r="BL3">
        <v>0</v>
      </c>
      <c r="BM3">
        <v>354314</v>
      </c>
      <c r="BN3">
        <v>429444</v>
      </c>
      <c r="BO3">
        <v>546081</v>
      </c>
      <c r="BP3">
        <v>2695</v>
      </c>
      <c r="BQ3">
        <v>121427</v>
      </c>
      <c r="BR3">
        <v>33033</v>
      </c>
      <c r="BS3">
        <v>4127538</v>
      </c>
      <c r="BT3">
        <v>38533</v>
      </c>
      <c r="BU3">
        <v>59524</v>
      </c>
      <c r="BV3">
        <v>46644</v>
      </c>
      <c r="BW3">
        <v>98609</v>
      </c>
      <c r="BX3">
        <v>46605</v>
      </c>
      <c r="BY3">
        <v>88528</v>
      </c>
      <c r="BZ3">
        <v>304136</v>
      </c>
      <c r="CA3">
        <v>2772</v>
      </c>
      <c r="CB3">
        <v>291411</v>
      </c>
      <c r="CC3">
        <v>427370</v>
      </c>
      <c r="CD3">
        <v>8668333</v>
      </c>
      <c r="CE3">
        <v>4694718</v>
      </c>
      <c r="CF3">
        <v>9672</v>
      </c>
      <c r="CG3">
        <v>162885</v>
      </c>
      <c r="CH3">
        <v>3848</v>
      </c>
      <c r="CI3">
        <v>58186</v>
      </c>
      <c r="CJ3">
        <v>7948802</v>
      </c>
      <c r="CK3">
        <v>932198</v>
      </c>
      <c r="CL3">
        <v>19420</v>
      </c>
      <c r="CM3">
        <v>1765769</v>
      </c>
      <c r="CN3">
        <v>12311</v>
      </c>
      <c r="CO3">
        <v>777769</v>
      </c>
      <c r="CP3">
        <v>89743</v>
      </c>
      <c r="CQ3">
        <v>23652</v>
      </c>
      <c r="CR3">
        <v>712070</v>
      </c>
      <c r="CS3">
        <v>488849</v>
      </c>
    </row>
    <row r="4" spans="1:97" x14ac:dyDescent="0.3">
      <c r="A4" s="155">
        <v>5</v>
      </c>
      <c r="B4" t="s">
        <v>112</v>
      </c>
      <c r="D4">
        <v>0</v>
      </c>
      <c r="E4">
        <v>0</v>
      </c>
      <c r="F4">
        <v>0</v>
      </c>
      <c r="G4">
        <v>0</v>
      </c>
      <c r="H4">
        <v>3518</v>
      </c>
      <c r="I4">
        <v>0</v>
      </c>
      <c r="J4">
        <v>0</v>
      </c>
      <c r="K4">
        <v>28</v>
      </c>
      <c r="L4">
        <v>0</v>
      </c>
      <c r="M4">
        <v>66212</v>
      </c>
      <c r="N4">
        <v>0</v>
      </c>
      <c r="O4">
        <v>0</v>
      </c>
      <c r="P4">
        <v>0</v>
      </c>
      <c r="Q4">
        <v>0</v>
      </c>
      <c r="R4">
        <v>0</v>
      </c>
      <c r="S4">
        <v>0</v>
      </c>
      <c r="T4">
        <v>3187</v>
      </c>
      <c r="U4">
        <v>0</v>
      </c>
      <c r="V4">
        <v>0</v>
      </c>
      <c r="W4">
        <v>0</v>
      </c>
      <c r="X4">
        <v>26507</v>
      </c>
      <c r="Y4">
        <v>0</v>
      </c>
      <c r="Z4">
        <v>7631</v>
      </c>
      <c r="AA4">
        <v>0</v>
      </c>
      <c r="AB4">
        <v>0</v>
      </c>
      <c r="AC4">
        <v>13281</v>
      </c>
      <c r="AD4">
        <v>0</v>
      </c>
      <c r="AE4">
        <v>0</v>
      </c>
      <c r="AF4">
        <v>0</v>
      </c>
      <c r="AG4">
        <v>0</v>
      </c>
      <c r="AH4">
        <v>0</v>
      </c>
      <c r="AI4">
        <v>0</v>
      </c>
      <c r="AJ4">
        <v>1308</v>
      </c>
      <c r="AK4">
        <v>228413</v>
      </c>
      <c r="AL4">
        <v>0</v>
      </c>
      <c r="AM4">
        <v>0</v>
      </c>
      <c r="AN4">
        <v>12997</v>
      </c>
      <c r="AO4">
        <v>0</v>
      </c>
      <c r="AP4">
        <v>0</v>
      </c>
      <c r="AQ4">
        <v>0</v>
      </c>
      <c r="AR4">
        <v>0</v>
      </c>
      <c r="AS4">
        <v>537</v>
      </c>
      <c r="AT4">
        <v>0</v>
      </c>
      <c r="AU4">
        <v>0</v>
      </c>
      <c r="AV4">
        <v>0</v>
      </c>
      <c r="AW4">
        <v>5439</v>
      </c>
      <c r="AX4">
        <v>0</v>
      </c>
      <c r="AY4">
        <v>529</v>
      </c>
      <c r="AZ4">
        <v>2049</v>
      </c>
      <c r="BA4">
        <v>62177</v>
      </c>
      <c r="BB4">
        <v>0</v>
      </c>
      <c r="BC4">
        <v>0</v>
      </c>
      <c r="BD4">
        <v>0</v>
      </c>
      <c r="BE4">
        <v>0</v>
      </c>
      <c r="BF4">
        <v>0</v>
      </c>
      <c r="BG4">
        <v>0</v>
      </c>
      <c r="BH4">
        <v>0</v>
      </c>
      <c r="BI4">
        <v>0</v>
      </c>
      <c r="BJ4">
        <v>1774</v>
      </c>
      <c r="BK4">
        <v>0</v>
      </c>
      <c r="BL4">
        <v>0</v>
      </c>
      <c r="BM4">
        <v>227405</v>
      </c>
      <c r="BN4">
        <v>263939</v>
      </c>
      <c r="BO4">
        <v>4698</v>
      </c>
      <c r="BP4">
        <v>0</v>
      </c>
      <c r="BQ4">
        <v>0</v>
      </c>
      <c r="BR4">
        <v>8217</v>
      </c>
      <c r="BS4">
        <v>49410</v>
      </c>
      <c r="BT4">
        <v>0</v>
      </c>
      <c r="BU4">
        <v>279</v>
      </c>
      <c r="BV4">
        <v>6154</v>
      </c>
      <c r="BW4">
        <v>2687</v>
      </c>
      <c r="BX4">
        <v>0</v>
      </c>
      <c r="BY4">
        <v>1145</v>
      </c>
      <c r="BZ4">
        <v>360</v>
      </c>
      <c r="CA4">
        <v>0</v>
      </c>
      <c r="CB4">
        <v>23018</v>
      </c>
      <c r="CC4">
        <v>12438</v>
      </c>
      <c r="CD4">
        <v>0</v>
      </c>
      <c r="CE4">
        <v>0</v>
      </c>
      <c r="CF4">
        <v>10</v>
      </c>
      <c r="CG4">
        <v>0</v>
      </c>
      <c r="CH4">
        <v>0</v>
      </c>
      <c r="CI4">
        <v>0</v>
      </c>
      <c r="CJ4">
        <v>0</v>
      </c>
      <c r="CK4">
        <v>0</v>
      </c>
      <c r="CL4">
        <v>0</v>
      </c>
      <c r="CM4">
        <v>0</v>
      </c>
      <c r="CN4">
        <v>0</v>
      </c>
      <c r="CO4">
        <v>0</v>
      </c>
      <c r="CP4">
        <v>0</v>
      </c>
      <c r="CQ4">
        <v>0</v>
      </c>
      <c r="CR4">
        <v>0</v>
      </c>
      <c r="CS4">
        <v>6050</v>
      </c>
    </row>
    <row r="5" spans="1:97" x14ac:dyDescent="0.3">
      <c r="A5" s="155">
        <v>6</v>
      </c>
      <c r="B5" t="s">
        <v>251</v>
      </c>
      <c r="D5">
        <v>0</v>
      </c>
      <c r="E5">
        <v>0</v>
      </c>
      <c r="F5">
        <v>0</v>
      </c>
      <c r="G5">
        <v>0</v>
      </c>
      <c r="H5">
        <v>13930</v>
      </c>
      <c r="I5">
        <v>0</v>
      </c>
      <c r="J5">
        <v>0</v>
      </c>
      <c r="K5">
        <v>0</v>
      </c>
      <c r="L5">
        <v>0</v>
      </c>
      <c r="M5">
        <v>2396227</v>
      </c>
      <c r="N5">
        <v>0</v>
      </c>
      <c r="O5">
        <v>0</v>
      </c>
      <c r="P5">
        <v>0</v>
      </c>
      <c r="Q5">
        <v>0</v>
      </c>
      <c r="R5">
        <v>0</v>
      </c>
      <c r="S5">
        <v>0</v>
      </c>
      <c r="T5">
        <v>0</v>
      </c>
      <c r="U5">
        <v>0</v>
      </c>
      <c r="V5">
        <v>0</v>
      </c>
      <c r="W5">
        <v>0</v>
      </c>
      <c r="X5">
        <v>0</v>
      </c>
      <c r="Y5">
        <v>0</v>
      </c>
      <c r="Z5">
        <v>0</v>
      </c>
      <c r="AA5">
        <v>0</v>
      </c>
      <c r="AB5">
        <v>0</v>
      </c>
      <c r="AC5">
        <v>0</v>
      </c>
      <c r="AD5">
        <v>0</v>
      </c>
      <c r="AE5">
        <v>0</v>
      </c>
      <c r="AF5">
        <v>0</v>
      </c>
      <c r="AG5">
        <v>731319</v>
      </c>
      <c r="AH5">
        <v>0</v>
      </c>
      <c r="AI5">
        <v>0</v>
      </c>
      <c r="AJ5">
        <v>0</v>
      </c>
      <c r="AK5">
        <v>0</v>
      </c>
      <c r="AL5">
        <v>0</v>
      </c>
      <c r="AM5">
        <v>0</v>
      </c>
      <c r="AN5">
        <v>0</v>
      </c>
      <c r="AO5">
        <v>0</v>
      </c>
      <c r="AP5">
        <v>0</v>
      </c>
      <c r="AQ5">
        <v>0</v>
      </c>
      <c r="AR5">
        <v>47298</v>
      </c>
      <c r="AS5">
        <v>0</v>
      </c>
      <c r="AT5">
        <v>0</v>
      </c>
      <c r="AU5">
        <v>0</v>
      </c>
      <c r="AV5">
        <v>0</v>
      </c>
      <c r="AW5">
        <v>0</v>
      </c>
      <c r="AX5">
        <v>0</v>
      </c>
      <c r="AY5">
        <v>0</v>
      </c>
      <c r="AZ5">
        <v>0</v>
      </c>
      <c r="BA5">
        <v>804800</v>
      </c>
      <c r="BB5">
        <v>0</v>
      </c>
      <c r="BC5">
        <v>6884</v>
      </c>
      <c r="BD5">
        <v>0</v>
      </c>
      <c r="BE5">
        <v>0</v>
      </c>
      <c r="BF5">
        <v>0</v>
      </c>
      <c r="BG5">
        <v>0</v>
      </c>
      <c r="BH5">
        <v>0</v>
      </c>
      <c r="BI5">
        <v>0</v>
      </c>
      <c r="BJ5">
        <v>336985</v>
      </c>
      <c r="BK5">
        <v>0</v>
      </c>
      <c r="BL5">
        <v>0</v>
      </c>
      <c r="BM5">
        <v>0</v>
      </c>
      <c r="BN5">
        <v>202190</v>
      </c>
      <c r="BO5">
        <v>0</v>
      </c>
      <c r="BP5">
        <v>0</v>
      </c>
      <c r="BQ5">
        <v>97034</v>
      </c>
      <c r="BR5">
        <v>0</v>
      </c>
      <c r="BS5">
        <v>0</v>
      </c>
      <c r="BT5">
        <v>0</v>
      </c>
      <c r="BU5">
        <v>0</v>
      </c>
      <c r="BV5">
        <v>0</v>
      </c>
      <c r="BW5">
        <v>0</v>
      </c>
      <c r="BX5">
        <v>0</v>
      </c>
      <c r="BY5">
        <v>0</v>
      </c>
      <c r="BZ5">
        <v>0</v>
      </c>
      <c r="CA5">
        <v>0</v>
      </c>
      <c r="CB5">
        <v>0</v>
      </c>
      <c r="CC5">
        <v>0</v>
      </c>
      <c r="CD5">
        <v>933377</v>
      </c>
      <c r="CE5">
        <v>618197</v>
      </c>
      <c r="CF5">
        <v>0</v>
      </c>
      <c r="CG5">
        <v>0</v>
      </c>
      <c r="CH5">
        <v>0</v>
      </c>
      <c r="CI5">
        <v>0</v>
      </c>
      <c r="CJ5">
        <v>3879804</v>
      </c>
      <c r="CK5">
        <v>0</v>
      </c>
      <c r="CL5">
        <v>0</v>
      </c>
      <c r="CM5">
        <v>0</v>
      </c>
      <c r="CN5">
        <v>0</v>
      </c>
      <c r="CO5">
        <v>0</v>
      </c>
      <c r="CP5">
        <v>0</v>
      </c>
      <c r="CQ5">
        <v>0</v>
      </c>
      <c r="CR5">
        <v>0</v>
      </c>
      <c r="CS5">
        <v>0</v>
      </c>
    </row>
    <row r="6" spans="1:97" x14ac:dyDescent="0.3">
      <c r="A6" s="155">
        <v>7</v>
      </c>
      <c r="B6" t="s">
        <v>193</v>
      </c>
      <c r="D6">
        <v>0</v>
      </c>
      <c r="E6">
        <v>0</v>
      </c>
      <c r="F6">
        <v>0</v>
      </c>
      <c r="G6">
        <v>4586</v>
      </c>
      <c r="H6">
        <v>0</v>
      </c>
      <c r="I6">
        <v>0</v>
      </c>
      <c r="J6">
        <v>0</v>
      </c>
      <c r="K6">
        <v>0</v>
      </c>
      <c r="L6">
        <v>0</v>
      </c>
      <c r="M6">
        <v>26545</v>
      </c>
      <c r="N6">
        <v>0</v>
      </c>
      <c r="O6">
        <v>0</v>
      </c>
      <c r="P6">
        <v>0</v>
      </c>
      <c r="Q6">
        <v>11681</v>
      </c>
      <c r="R6">
        <v>0</v>
      </c>
      <c r="S6">
        <v>8853</v>
      </c>
      <c r="T6">
        <v>0</v>
      </c>
      <c r="U6">
        <v>3244</v>
      </c>
      <c r="V6">
        <v>0</v>
      </c>
      <c r="W6">
        <v>596006</v>
      </c>
      <c r="X6">
        <v>0</v>
      </c>
      <c r="Y6">
        <v>6919</v>
      </c>
      <c r="Z6">
        <v>0</v>
      </c>
      <c r="AA6">
        <v>0</v>
      </c>
      <c r="AB6">
        <v>0</v>
      </c>
      <c r="AC6">
        <v>77130</v>
      </c>
      <c r="AD6">
        <v>0</v>
      </c>
      <c r="AE6">
        <v>4589</v>
      </c>
      <c r="AF6">
        <v>0</v>
      </c>
      <c r="AG6">
        <v>90325</v>
      </c>
      <c r="AH6">
        <v>0</v>
      </c>
      <c r="AI6">
        <v>0</v>
      </c>
      <c r="AJ6">
        <v>0</v>
      </c>
      <c r="AK6">
        <v>0</v>
      </c>
      <c r="AL6">
        <v>0</v>
      </c>
      <c r="AM6">
        <v>979</v>
      </c>
      <c r="AN6">
        <v>41361</v>
      </c>
      <c r="AO6">
        <v>138952</v>
      </c>
      <c r="AP6">
        <v>0</v>
      </c>
      <c r="AQ6">
        <v>2898</v>
      </c>
      <c r="AR6">
        <v>139689</v>
      </c>
      <c r="AS6">
        <v>0</v>
      </c>
      <c r="AT6">
        <v>0</v>
      </c>
      <c r="AU6">
        <v>0</v>
      </c>
      <c r="AV6">
        <v>0</v>
      </c>
      <c r="AW6">
        <v>0</v>
      </c>
      <c r="AX6">
        <v>0</v>
      </c>
      <c r="AY6">
        <v>10959</v>
      </c>
      <c r="AZ6">
        <v>0</v>
      </c>
      <c r="BA6">
        <v>126545</v>
      </c>
      <c r="BB6">
        <v>0</v>
      </c>
      <c r="BC6">
        <v>0</v>
      </c>
      <c r="BD6">
        <v>0</v>
      </c>
      <c r="BE6">
        <v>0</v>
      </c>
      <c r="BF6">
        <v>0</v>
      </c>
      <c r="BG6">
        <v>25950</v>
      </c>
      <c r="BH6">
        <v>0</v>
      </c>
      <c r="BI6">
        <v>0</v>
      </c>
      <c r="BJ6">
        <v>74764</v>
      </c>
      <c r="BK6">
        <v>6633</v>
      </c>
      <c r="BL6">
        <v>270835</v>
      </c>
      <c r="BM6">
        <v>35305</v>
      </c>
      <c r="BN6">
        <v>5930</v>
      </c>
      <c r="BO6">
        <v>88492</v>
      </c>
      <c r="BP6">
        <v>0</v>
      </c>
      <c r="BQ6">
        <v>10018</v>
      </c>
      <c r="BR6">
        <v>234798</v>
      </c>
      <c r="BS6">
        <v>0</v>
      </c>
      <c r="BT6">
        <v>18462</v>
      </c>
      <c r="BU6">
        <v>2081</v>
      </c>
      <c r="BV6">
        <v>0</v>
      </c>
      <c r="BW6">
        <v>0</v>
      </c>
      <c r="BX6">
        <v>0</v>
      </c>
      <c r="BY6">
        <v>0</v>
      </c>
      <c r="BZ6">
        <v>0</v>
      </c>
      <c r="CA6">
        <v>0</v>
      </c>
      <c r="CB6">
        <v>0</v>
      </c>
      <c r="CC6">
        <v>7331</v>
      </c>
      <c r="CD6">
        <v>1179009</v>
      </c>
      <c r="CE6">
        <v>470760</v>
      </c>
      <c r="CF6">
        <v>0</v>
      </c>
      <c r="CG6">
        <v>22368</v>
      </c>
      <c r="CH6">
        <v>0</v>
      </c>
      <c r="CI6">
        <v>13585</v>
      </c>
      <c r="CJ6">
        <v>437400</v>
      </c>
      <c r="CK6">
        <v>40831</v>
      </c>
      <c r="CL6">
        <v>0</v>
      </c>
      <c r="CM6">
        <v>0</v>
      </c>
      <c r="CN6">
        <v>0</v>
      </c>
      <c r="CO6">
        <v>316536</v>
      </c>
      <c r="CP6">
        <v>0</v>
      </c>
      <c r="CQ6">
        <v>0</v>
      </c>
      <c r="CR6">
        <v>0</v>
      </c>
      <c r="CS6">
        <v>531</v>
      </c>
    </row>
    <row r="7" spans="1:97" x14ac:dyDescent="0.3">
      <c r="A7" s="155">
        <v>9</v>
      </c>
      <c r="B7" t="s">
        <v>195</v>
      </c>
      <c r="D7">
        <v>798944</v>
      </c>
      <c r="E7">
        <v>4039264</v>
      </c>
      <c r="F7">
        <v>1547601</v>
      </c>
      <c r="G7">
        <v>703441</v>
      </c>
      <c r="H7">
        <v>10459856</v>
      </c>
      <c r="I7">
        <v>1132230</v>
      </c>
      <c r="J7">
        <v>2121740</v>
      </c>
      <c r="K7">
        <v>762792</v>
      </c>
      <c r="L7">
        <v>1139846</v>
      </c>
      <c r="M7">
        <v>32288395</v>
      </c>
      <c r="N7">
        <v>672156</v>
      </c>
      <c r="O7">
        <v>533320</v>
      </c>
      <c r="P7">
        <v>3112502</v>
      </c>
      <c r="Q7">
        <v>1085671</v>
      </c>
      <c r="R7">
        <v>352298</v>
      </c>
      <c r="S7">
        <v>415299</v>
      </c>
      <c r="T7">
        <v>1432319</v>
      </c>
      <c r="U7">
        <v>7148716</v>
      </c>
      <c r="V7">
        <v>10883971</v>
      </c>
      <c r="W7">
        <v>8741670</v>
      </c>
      <c r="X7">
        <v>3232600</v>
      </c>
      <c r="Y7">
        <v>3182022</v>
      </c>
      <c r="Z7">
        <v>6165506</v>
      </c>
      <c r="AA7">
        <v>2184047</v>
      </c>
      <c r="AB7">
        <v>90134</v>
      </c>
      <c r="AC7">
        <v>5714465</v>
      </c>
      <c r="AD7">
        <v>1749860</v>
      </c>
      <c r="AE7">
        <v>1008282</v>
      </c>
      <c r="AF7">
        <v>810686</v>
      </c>
      <c r="AG7">
        <v>14851702</v>
      </c>
      <c r="AH7">
        <v>1990075</v>
      </c>
      <c r="AI7">
        <v>3452168</v>
      </c>
      <c r="AJ7">
        <v>2307720</v>
      </c>
      <c r="AK7">
        <v>709152</v>
      </c>
      <c r="AL7">
        <v>10011177</v>
      </c>
      <c r="AM7">
        <v>4427122</v>
      </c>
      <c r="AN7">
        <v>2013135</v>
      </c>
      <c r="AO7">
        <v>1782487</v>
      </c>
      <c r="AP7">
        <v>132041</v>
      </c>
      <c r="AQ7">
        <v>3221042</v>
      </c>
      <c r="AR7">
        <v>5286477</v>
      </c>
      <c r="AS7">
        <v>941032</v>
      </c>
      <c r="AT7">
        <v>452998</v>
      </c>
      <c r="AU7">
        <v>1783387</v>
      </c>
      <c r="AV7">
        <v>651464</v>
      </c>
      <c r="AW7">
        <v>186633</v>
      </c>
      <c r="AX7">
        <v>335859</v>
      </c>
      <c r="AY7">
        <v>3658352</v>
      </c>
      <c r="AZ7">
        <v>1246019</v>
      </c>
      <c r="BA7">
        <v>21851861</v>
      </c>
      <c r="BB7">
        <v>5357171</v>
      </c>
      <c r="BC7">
        <v>2478125</v>
      </c>
      <c r="BD7">
        <v>3339362</v>
      </c>
      <c r="BE7">
        <v>1637178</v>
      </c>
      <c r="BF7">
        <v>1755163</v>
      </c>
      <c r="BG7">
        <v>271735</v>
      </c>
      <c r="BH7">
        <v>1075211</v>
      </c>
      <c r="BI7">
        <v>2677903</v>
      </c>
      <c r="BJ7">
        <v>7171013</v>
      </c>
      <c r="BK7">
        <v>553777</v>
      </c>
      <c r="BL7">
        <v>310800</v>
      </c>
      <c r="BM7">
        <v>11490197</v>
      </c>
      <c r="BN7">
        <v>11356049</v>
      </c>
      <c r="BO7">
        <v>6234730</v>
      </c>
      <c r="BP7">
        <v>194565</v>
      </c>
      <c r="BQ7">
        <v>3951558</v>
      </c>
      <c r="BR7">
        <v>1788367</v>
      </c>
      <c r="BS7">
        <v>7577757</v>
      </c>
      <c r="BT7">
        <v>1796797</v>
      </c>
      <c r="BU7">
        <v>1719504</v>
      </c>
      <c r="BV7">
        <v>3086330</v>
      </c>
      <c r="BW7">
        <v>3010247</v>
      </c>
      <c r="BX7">
        <v>293438</v>
      </c>
      <c r="BY7">
        <v>1516314</v>
      </c>
      <c r="BZ7">
        <v>3359641</v>
      </c>
      <c r="CA7">
        <v>635554</v>
      </c>
      <c r="CB7">
        <v>2212792</v>
      </c>
      <c r="CC7">
        <v>4181772</v>
      </c>
      <c r="CD7">
        <v>81220092</v>
      </c>
      <c r="CE7">
        <v>26775387</v>
      </c>
      <c r="CF7">
        <v>1587001</v>
      </c>
      <c r="CG7">
        <v>3542393</v>
      </c>
      <c r="CH7">
        <v>297548</v>
      </c>
      <c r="CI7">
        <v>1743579</v>
      </c>
      <c r="CJ7">
        <v>60510099</v>
      </c>
      <c r="CK7">
        <v>11480689</v>
      </c>
      <c r="CL7">
        <v>1191205</v>
      </c>
      <c r="CM7">
        <v>3981514</v>
      </c>
      <c r="CN7">
        <v>1176739</v>
      </c>
      <c r="CO7">
        <v>16684688</v>
      </c>
      <c r="CP7">
        <v>3582050</v>
      </c>
      <c r="CQ7">
        <v>2093923</v>
      </c>
      <c r="CR7">
        <v>2840598</v>
      </c>
      <c r="CS7">
        <v>14253280</v>
      </c>
    </row>
    <row r="8" spans="1:97" x14ac:dyDescent="0.3">
      <c r="A8" s="155">
        <v>11</v>
      </c>
      <c r="B8" t="s">
        <v>194</v>
      </c>
      <c r="D8">
        <v>63521</v>
      </c>
      <c r="E8">
        <v>0</v>
      </c>
      <c r="F8">
        <v>145269</v>
      </c>
      <c r="G8">
        <v>12870</v>
      </c>
      <c r="H8">
        <v>568898</v>
      </c>
      <c r="I8">
        <v>35856</v>
      </c>
      <c r="J8">
        <v>411908</v>
      </c>
      <c r="K8">
        <v>189858</v>
      </c>
      <c r="L8">
        <v>69938</v>
      </c>
      <c r="M8">
        <v>733308</v>
      </c>
      <c r="N8">
        <v>15571</v>
      </c>
      <c r="O8">
        <v>70457</v>
      </c>
      <c r="P8">
        <v>0</v>
      </c>
      <c r="Q8">
        <v>104887</v>
      </c>
      <c r="R8">
        <v>83364</v>
      </c>
      <c r="S8">
        <v>30578</v>
      </c>
      <c r="T8">
        <v>0</v>
      </c>
      <c r="U8">
        <v>0</v>
      </c>
      <c r="V8">
        <v>137782</v>
      </c>
      <c r="W8">
        <v>279622</v>
      </c>
      <c r="X8">
        <v>24325</v>
      </c>
      <c r="Y8">
        <v>0</v>
      </c>
      <c r="Z8">
        <v>118645</v>
      </c>
      <c r="AA8">
        <v>0</v>
      </c>
      <c r="AB8">
        <v>12689</v>
      </c>
      <c r="AC8">
        <v>855668</v>
      </c>
      <c r="AD8">
        <v>21409</v>
      </c>
      <c r="AE8">
        <v>204357</v>
      </c>
      <c r="AF8">
        <v>79779</v>
      </c>
      <c r="AG8">
        <v>582111</v>
      </c>
      <c r="AH8">
        <v>410857</v>
      </c>
      <c r="AI8">
        <v>60504</v>
      </c>
      <c r="AJ8">
        <v>398626</v>
      </c>
      <c r="AK8">
        <v>2711</v>
      </c>
      <c r="AL8">
        <v>647417</v>
      </c>
      <c r="AM8">
        <v>1101244</v>
      </c>
      <c r="AN8">
        <v>8517</v>
      </c>
      <c r="AO8">
        <v>22710</v>
      </c>
      <c r="AP8">
        <v>15779</v>
      </c>
      <c r="AQ8">
        <v>0</v>
      </c>
      <c r="AR8">
        <v>38562</v>
      </c>
      <c r="AS8">
        <v>0</v>
      </c>
      <c r="AT8">
        <v>84998</v>
      </c>
      <c r="AU8">
        <v>0</v>
      </c>
      <c r="AV8">
        <v>39428</v>
      </c>
      <c r="AW8">
        <v>110966</v>
      </c>
      <c r="AX8">
        <v>135468</v>
      </c>
      <c r="AY8">
        <v>62193</v>
      </c>
      <c r="AZ8">
        <v>85842</v>
      </c>
      <c r="BA8">
        <v>0</v>
      </c>
      <c r="BB8">
        <v>490350</v>
      </c>
      <c r="BC8">
        <v>760</v>
      </c>
      <c r="BD8">
        <v>0</v>
      </c>
      <c r="BE8">
        <v>116235</v>
      </c>
      <c r="BF8">
        <v>29043</v>
      </c>
      <c r="BG8">
        <v>21280</v>
      </c>
      <c r="BH8">
        <v>1779</v>
      </c>
      <c r="BI8">
        <v>42196</v>
      </c>
      <c r="BJ8">
        <v>0</v>
      </c>
      <c r="BK8">
        <v>73013</v>
      </c>
      <c r="BL8">
        <v>16893</v>
      </c>
      <c r="BM8">
        <v>0</v>
      </c>
      <c r="BN8">
        <v>192483</v>
      </c>
      <c r="BO8">
        <v>105825</v>
      </c>
      <c r="BP8">
        <v>0</v>
      </c>
      <c r="BQ8">
        <v>0</v>
      </c>
      <c r="BR8">
        <v>79550</v>
      </c>
      <c r="BS8">
        <v>131407</v>
      </c>
      <c r="BT8">
        <v>0</v>
      </c>
      <c r="BU8">
        <v>0</v>
      </c>
      <c r="BV8">
        <v>44320</v>
      </c>
      <c r="BW8">
        <v>0</v>
      </c>
      <c r="BX8">
        <v>118552</v>
      </c>
      <c r="BY8">
        <v>139689</v>
      </c>
      <c r="BZ8">
        <v>214930</v>
      </c>
      <c r="CA8">
        <v>0</v>
      </c>
      <c r="CB8">
        <v>303883</v>
      </c>
      <c r="CC8">
        <v>404325</v>
      </c>
      <c r="CD8">
        <v>0</v>
      </c>
      <c r="CE8">
        <v>0</v>
      </c>
      <c r="CF8">
        <v>183716</v>
      </c>
      <c r="CG8">
        <v>0</v>
      </c>
      <c r="CH8">
        <v>930</v>
      </c>
      <c r="CI8">
        <v>159631</v>
      </c>
      <c r="CJ8">
        <v>0</v>
      </c>
      <c r="CK8">
        <v>203036</v>
      </c>
      <c r="CL8">
        <v>90384</v>
      </c>
      <c r="CM8">
        <v>251844</v>
      </c>
      <c r="CN8">
        <v>133626</v>
      </c>
      <c r="CO8">
        <v>173877</v>
      </c>
      <c r="CP8">
        <v>52359</v>
      </c>
      <c r="CQ8">
        <v>289454</v>
      </c>
      <c r="CR8">
        <v>63271</v>
      </c>
      <c r="CS8">
        <v>260518</v>
      </c>
    </row>
    <row r="9" spans="1:97" x14ac:dyDescent="0.3">
      <c r="A9" s="155">
        <v>13</v>
      </c>
      <c r="B9" t="s">
        <v>896</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row>
    <row r="10" spans="1:97" x14ac:dyDescent="0.3">
      <c r="A10" s="155">
        <v>14</v>
      </c>
      <c r="B10" t="s">
        <v>897</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row>
    <row r="11" spans="1:97" x14ac:dyDescent="0.3">
      <c r="A11" s="155">
        <v>16</v>
      </c>
      <c r="B11" t="s">
        <v>197</v>
      </c>
      <c r="D11">
        <v>267741</v>
      </c>
      <c r="E11">
        <v>3926110</v>
      </c>
      <c r="F11">
        <v>3852148</v>
      </c>
      <c r="G11">
        <v>177242</v>
      </c>
      <c r="H11">
        <v>9243305</v>
      </c>
      <c r="I11">
        <v>1196378</v>
      </c>
      <c r="J11">
        <v>3397315</v>
      </c>
      <c r="K11">
        <v>576808</v>
      </c>
      <c r="L11">
        <v>791315</v>
      </c>
      <c r="M11">
        <v>36538175</v>
      </c>
      <c r="N11">
        <v>741023</v>
      </c>
      <c r="O11">
        <v>652800</v>
      </c>
      <c r="P11">
        <v>459068</v>
      </c>
      <c r="Q11">
        <v>1500901</v>
      </c>
      <c r="R11">
        <v>69764</v>
      </c>
      <c r="S11">
        <v>282326</v>
      </c>
      <c r="T11">
        <v>1964304</v>
      </c>
      <c r="U11">
        <v>1483410</v>
      </c>
      <c r="V11">
        <v>8310328</v>
      </c>
      <c r="W11">
        <v>13661860</v>
      </c>
      <c r="X11">
        <v>4490108</v>
      </c>
      <c r="Y11">
        <v>627122</v>
      </c>
      <c r="Z11">
        <v>4249527</v>
      </c>
      <c r="AA11">
        <v>3248202</v>
      </c>
      <c r="AB11">
        <v>55337</v>
      </c>
      <c r="AC11">
        <v>9294766</v>
      </c>
      <c r="AD11">
        <v>2503979</v>
      </c>
      <c r="AE11">
        <v>1109783</v>
      </c>
      <c r="AF11">
        <v>330522</v>
      </c>
      <c r="AG11">
        <v>24936610</v>
      </c>
      <c r="AH11">
        <v>636101</v>
      </c>
      <c r="AI11">
        <v>3830328</v>
      </c>
      <c r="AJ11">
        <v>1862513</v>
      </c>
      <c r="AK11">
        <v>190562</v>
      </c>
      <c r="AL11">
        <v>3726067</v>
      </c>
      <c r="AM11">
        <v>5249193</v>
      </c>
      <c r="AN11">
        <v>3644084</v>
      </c>
      <c r="AO11">
        <v>2063568</v>
      </c>
      <c r="AP11">
        <v>376243</v>
      </c>
      <c r="AQ11">
        <v>451589</v>
      </c>
      <c r="AR11">
        <v>5226030</v>
      </c>
      <c r="AS11">
        <v>820424</v>
      </c>
      <c r="AT11">
        <v>177081</v>
      </c>
      <c r="AU11">
        <v>293304</v>
      </c>
      <c r="AV11">
        <v>974472</v>
      </c>
      <c r="AW11">
        <v>80705</v>
      </c>
      <c r="AX11">
        <v>335929</v>
      </c>
      <c r="AY11">
        <v>4904699</v>
      </c>
      <c r="AZ11">
        <v>451568</v>
      </c>
      <c r="BA11">
        <v>56158184</v>
      </c>
      <c r="BB11">
        <v>2041343</v>
      </c>
      <c r="BC11">
        <v>4577143</v>
      </c>
      <c r="BD11">
        <v>1255424</v>
      </c>
      <c r="BE11">
        <v>1206153</v>
      </c>
      <c r="BF11">
        <v>1438549</v>
      </c>
      <c r="BG11">
        <v>257135</v>
      </c>
      <c r="BH11">
        <v>1097477</v>
      </c>
      <c r="BI11">
        <v>3201770</v>
      </c>
      <c r="BJ11">
        <v>12548162</v>
      </c>
      <c r="BK11">
        <v>379118</v>
      </c>
      <c r="BL11">
        <v>114704</v>
      </c>
      <c r="BM11">
        <v>13532178</v>
      </c>
      <c r="BN11">
        <v>13431917</v>
      </c>
      <c r="BO11">
        <v>8026572</v>
      </c>
      <c r="BP11">
        <v>152376</v>
      </c>
      <c r="BQ11">
        <v>2395779</v>
      </c>
      <c r="BR11">
        <v>1423874</v>
      </c>
      <c r="BS11">
        <v>10178277</v>
      </c>
      <c r="BT11">
        <v>920148</v>
      </c>
      <c r="BU11">
        <v>682205</v>
      </c>
      <c r="BV11">
        <v>3024002</v>
      </c>
      <c r="BW11">
        <v>4477462</v>
      </c>
      <c r="BX11">
        <v>658753</v>
      </c>
      <c r="BY11">
        <v>2189417</v>
      </c>
      <c r="BZ11">
        <v>4946309</v>
      </c>
      <c r="CA11">
        <v>172881</v>
      </c>
      <c r="CB11">
        <v>7012223</v>
      </c>
      <c r="CC11">
        <v>6889535</v>
      </c>
      <c r="CD11">
        <v>124338177</v>
      </c>
      <c r="CE11">
        <v>53937487</v>
      </c>
      <c r="CF11">
        <v>1535518</v>
      </c>
      <c r="CG11">
        <v>2295188</v>
      </c>
      <c r="CH11">
        <v>669232</v>
      </c>
      <c r="CI11">
        <v>1770227</v>
      </c>
      <c r="CJ11">
        <v>210440557</v>
      </c>
      <c r="CK11">
        <v>9849130</v>
      </c>
      <c r="CL11">
        <v>499720</v>
      </c>
      <c r="CM11">
        <v>5297204</v>
      </c>
      <c r="CN11">
        <v>525444</v>
      </c>
      <c r="CO11">
        <v>15936930</v>
      </c>
      <c r="CP11">
        <v>3261617</v>
      </c>
      <c r="CQ11">
        <v>1273998</v>
      </c>
      <c r="CR11">
        <v>3778549</v>
      </c>
      <c r="CS11">
        <v>13053083</v>
      </c>
    </row>
    <row r="12" spans="1:97" x14ac:dyDescent="0.3">
      <c r="A12" s="155">
        <v>17</v>
      </c>
      <c r="B12" t="s">
        <v>200</v>
      </c>
      <c r="D12">
        <v>0</v>
      </c>
      <c r="E12">
        <v>0</v>
      </c>
      <c r="F12">
        <v>0</v>
      </c>
      <c r="G12">
        <v>700</v>
      </c>
      <c r="H12">
        <v>0</v>
      </c>
      <c r="I12">
        <v>0</v>
      </c>
      <c r="J12">
        <v>20000</v>
      </c>
      <c r="K12">
        <v>389573</v>
      </c>
      <c r="L12">
        <v>0</v>
      </c>
      <c r="M12">
        <v>6539421</v>
      </c>
      <c r="N12">
        <v>0</v>
      </c>
      <c r="O12">
        <v>0</v>
      </c>
      <c r="P12">
        <v>0</v>
      </c>
      <c r="Q12">
        <v>0</v>
      </c>
      <c r="R12">
        <v>0</v>
      </c>
      <c r="S12">
        <v>0</v>
      </c>
      <c r="T12">
        <v>0</v>
      </c>
      <c r="U12">
        <v>0</v>
      </c>
      <c r="V12">
        <v>426567</v>
      </c>
      <c r="W12">
        <v>654872</v>
      </c>
      <c r="X12">
        <v>123634</v>
      </c>
      <c r="Y12">
        <v>0</v>
      </c>
      <c r="Z12">
        <v>15700</v>
      </c>
      <c r="AA12">
        <v>0</v>
      </c>
      <c r="AB12">
        <v>0</v>
      </c>
      <c r="AC12">
        <v>1715000</v>
      </c>
      <c r="AD12">
        <v>0</v>
      </c>
      <c r="AE12">
        <v>0</v>
      </c>
      <c r="AF12">
        <v>0</v>
      </c>
      <c r="AG12">
        <v>0</v>
      </c>
      <c r="AH12">
        <v>0</v>
      </c>
      <c r="AI12">
        <v>0</v>
      </c>
      <c r="AJ12">
        <v>535000</v>
      </c>
      <c r="AK12">
        <v>0</v>
      </c>
      <c r="AL12">
        <v>0</v>
      </c>
      <c r="AM12">
        <v>0</v>
      </c>
      <c r="AN12">
        <v>0</v>
      </c>
      <c r="AO12">
        <v>0</v>
      </c>
      <c r="AP12">
        <v>0</v>
      </c>
      <c r="AQ12">
        <v>0</v>
      </c>
      <c r="AR12">
        <v>221000</v>
      </c>
      <c r="AS12">
        <v>0</v>
      </c>
      <c r="AT12">
        <v>0</v>
      </c>
      <c r="AU12">
        <v>0</v>
      </c>
      <c r="AV12">
        <v>0</v>
      </c>
      <c r="AW12">
        <v>0</v>
      </c>
      <c r="AX12">
        <v>0</v>
      </c>
      <c r="AY12">
        <v>0</v>
      </c>
      <c r="AZ12">
        <v>20000</v>
      </c>
      <c r="BA12">
        <v>688089</v>
      </c>
      <c r="BB12">
        <v>0</v>
      </c>
      <c r="BC12">
        <v>201349</v>
      </c>
      <c r="BD12">
        <v>0</v>
      </c>
      <c r="BE12">
        <v>0</v>
      </c>
      <c r="BF12">
        <v>0</v>
      </c>
      <c r="BG12">
        <v>0</v>
      </c>
      <c r="BH12">
        <v>0</v>
      </c>
      <c r="BI12">
        <v>0</v>
      </c>
      <c r="BJ12">
        <v>2210770</v>
      </c>
      <c r="BK12">
        <v>0</v>
      </c>
      <c r="BL12">
        <v>0</v>
      </c>
      <c r="BM12">
        <v>0</v>
      </c>
      <c r="BN12">
        <v>1275600</v>
      </c>
      <c r="BO12">
        <v>0</v>
      </c>
      <c r="BP12">
        <v>0</v>
      </c>
      <c r="BQ12">
        <v>0</v>
      </c>
      <c r="BR12">
        <v>20766</v>
      </c>
      <c r="BS12">
        <v>0</v>
      </c>
      <c r="BT12">
        <v>0</v>
      </c>
      <c r="BU12">
        <v>0</v>
      </c>
      <c r="BV12">
        <v>0</v>
      </c>
      <c r="BW12">
        <v>16892</v>
      </c>
      <c r="BX12">
        <v>0</v>
      </c>
      <c r="BY12">
        <v>0</v>
      </c>
      <c r="BZ12">
        <v>186721</v>
      </c>
      <c r="CA12">
        <v>0</v>
      </c>
      <c r="CB12">
        <v>0</v>
      </c>
      <c r="CC12">
        <v>0</v>
      </c>
      <c r="CD12">
        <v>0</v>
      </c>
      <c r="CE12">
        <v>3683256</v>
      </c>
      <c r="CF12">
        <v>0</v>
      </c>
      <c r="CG12">
        <v>950000</v>
      </c>
      <c r="CH12">
        <v>0</v>
      </c>
      <c r="CI12">
        <v>0</v>
      </c>
      <c r="CJ12">
        <v>11101578</v>
      </c>
      <c r="CK12">
        <v>650000</v>
      </c>
      <c r="CL12">
        <v>0</v>
      </c>
      <c r="CM12">
        <v>0</v>
      </c>
      <c r="CN12">
        <v>2350</v>
      </c>
      <c r="CO12">
        <v>542853</v>
      </c>
      <c r="CP12">
        <v>5391</v>
      </c>
      <c r="CQ12">
        <v>0</v>
      </c>
      <c r="CR12">
        <v>0</v>
      </c>
      <c r="CS12">
        <v>0</v>
      </c>
    </row>
    <row r="13" spans="1:97" x14ac:dyDescent="0.3">
      <c r="A13" s="155">
        <v>20</v>
      </c>
      <c r="B13" t="s">
        <v>201</v>
      </c>
      <c r="D13">
        <v>0</v>
      </c>
      <c r="E13">
        <v>0</v>
      </c>
      <c r="F13">
        <v>0</v>
      </c>
      <c r="G13">
        <v>0</v>
      </c>
      <c r="H13">
        <v>5720</v>
      </c>
      <c r="I13">
        <v>0</v>
      </c>
      <c r="J13">
        <v>0</v>
      </c>
      <c r="K13">
        <v>0</v>
      </c>
      <c r="L13">
        <v>0</v>
      </c>
      <c r="M13">
        <v>262414</v>
      </c>
      <c r="N13">
        <v>0</v>
      </c>
      <c r="O13">
        <v>0</v>
      </c>
      <c r="P13">
        <v>0</v>
      </c>
      <c r="Q13">
        <v>0</v>
      </c>
      <c r="R13">
        <v>0</v>
      </c>
      <c r="S13">
        <v>10007</v>
      </c>
      <c r="T13">
        <v>0</v>
      </c>
      <c r="U13">
        <v>0</v>
      </c>
      <c r="V13">
        <v>0</v>
      </c>
      <c r="W13">
        <v>1539403</v>
      </c>
      <c r="X13">
        <v>399936</v>
      </c>
      <c r="Y13">
        <v>1063000</v>
      </c>
      <c r="Z13">
        <v>750000</v>
      </c>
      <c r="AA13">
        <v>1050000</v>
      </c>
      <c r="AB13">
        <v>0</v>
      </c>
      <c r="AC13">
        <v>0</v>
      </c>
      <c r="AD13">
        <v>0</v>
      </c>
      <c r="AE13">
        <v>544933</v>
      </c>
      <c r="AF13">
        <v>0</v>
      </c>
      <c r="AG13">
        <v>327185</v>
      </c>
      <c r="AH13">
        <v>0</v>
      </c>
      <c r="AI13">
        <v>0</v>
      </c>
      <c r="AJ13">
        <v>0</v>
      </c>
      <c r="AK13">
        <v>0</v>
      </c>
      <c r="AL13">
        <v>1097775</v>
      </c>
      <c r="AM13">
        <v>534625</v>
      </c>
      <c r="AN13">
        <v>10000</v>
      </c>
      <c r="AO13">
        <v>0</v>
      </c>
      <c r="AP13">
        <v>0</v>
      </c>
      <c r="AQ13">
        <v>0</v>
      </c>
      <c r="AR13">
        <v>100000</v>
      </c>
      <c r="AS13">
        <v>0</v>
      </c>
      <c r="AT13">
        <v>0</v>
      </c>
      <c r="AU13">
        <v>0</v>
      </c>
      <c r="AV13">
        <v>0</v>
      </c>
      <c r="AW13">
        <v>0</v>
      </c>
      <c r="AX13">
        <v>0</v>
      </c>
      <c r="AY13">
        <v>112301</v>
      </c>
      <c r="AZ13">
        <v>0</v>
      </c>
      <c r="BA13">
        <v>6875409</v>
      </c>
      <c r="BB13">
        <v>0</v>
      </c>
      <c r="BC13">
        <v>74972</v>
      </c>
      <c r="BD13">
        <v>0</v>
      </c>
      <c r="BE13">
        <v>0</v>
      </c>
      <c r="BF13">
        <v>0</v>
      </c>
      <c r="BG13">
        <v>0</v>
      </c>
      <c r="BH13">
        <v>14756</v>
      </c>
      <c r="BI13">
        <v>0</v>
      </c>
      <c r="BJ13">
        <v>972781</v>
      </c>
      <c r="BK13">
        <v>0</v>
      </c>
      <c r="BL13">
        <v>0</v>
      </c>
      <c r="BM13">
        <v>1524425</v>
      </c>
      <c r="BN13">
        <v>110000</v>
      </c>
      <c r="BO13">
        <v>2323511</v>
      </c>
      <c r="BP13">
        <v>0</v>
      </c>
      <c r="BQ13">
        <v>0</v>
      </c>
      <c r="BR13">
        <v>197566</v>
      </c>
      <c r="BS13">
        <v>0</v>
      </c>
      <c r="BT13">
        <v>595111</v>
      </c>
      <c r="BU13">
        <v>0</v>
      </c>
      <c r="BV13">
        <v>0</v>
      </c>
      <c r="BW13">
        <v>591200</v>
      </c>
      <c r="BX13">
        <v>0</v>
      </c>
      <c r="BY13">
        <v>0</v>
      </c>
      <c r="BZ13">
        <v>281370</v>
      </c>
      <c r="CA13">
        <v>0</v>
      </c>
      <c r="CB13">
        <v>0</v>
      </c>
      <c r="CC13">
        <v>948866</v>
      </c>
      <c r="CD13">
        <v>13430879</v>
      </c>
      <c r="CE13">
        <v>2681080</v>
      </c>
      <c r="CF13">
        <v>0</v>
      </c>
      <c r="CG13">
        <v>0</v>
      </c>
      <c r="CH13">
        <v>0</v>
      </c>
      <c r="CI13">
        <v>0</v>
      </c>
      <c r="CJ13">
        <v>8864911</v>
      </c>
      <c r="CK13">
        <v>0</v>
      </c>
      <c r="CL13">
        <v>133753</v>
      </c>
      <c r="CM13">
        <v>0</v>
      </c>
      <c r="CN13">
        <v>0</v>
      </c>
      <c r="CO13">
        <v>1281853</v>
      </c>
      <c r="CP13">
        <v>30000</v>
      </c>
      <c r="CQ13">
        <v>0</v>
      </c>
      <c r="CR13">
        <v>0</v>
      </c>
      <c r="CS13">
        <v>130000</v>
      </c>
    </row>
    <row r="14" spans="1:97" x14ac:dyDescent="0.3">
      <c r="A14" s="155">
        <v>22</v>
      </c>
      <c r="B14" t="s">
        <v>203</v>
      </c>
      <c r="D14">
        <v>0</v>
      </c>
      <c r="E14">
        <v>0</v>
      </c>
      <c r="F14">
        <v>0</v>
      </c>
      <c r="G14">
        <v>0</v>
      </c>
      <c r="H14">
        <v>0</v>
      </c>
      <c r="I14">
        <v>0</v>
      </c>
      <c r="J14">
        <v>0</v>
      </c>
      <c r="K14">
        <v>2095</v>
      </c>
      <c r="L14">
        <v>0</v>
      </c>
      <c r="M14">
        <v>0</v>
      </c>
      <c r="N14">
        <v>350211</v>
      </c>
      <c r="O14">
        <v>0</v>
      </c>
      <c r="P14">
        <v>0</v>
      </c>
      <c r="Q14">
        <v>0</v>
      </c>
      <c r="R14">
        <v>0</v>
      </c>
      <c r="S14">
        <v>0</v>
      </c>
      <c r="T14">
        <v>0</v>
      </c>
      <c r="U14">
        <v>0</v>
      </c>
      <c r="V14">
        <v>152305</v>
      </c>
      <c r="W14">
        <v>0</v>
      </c>
      <c r="X14">
        <v>0</v>
      </c>
      <c r="Y14">
        <v>0</v>
      </c>
      <c r="Z14">
        <v>0</v>
      </c>
      <c r="AA14">
        <v>0</v>
      </c>
      <c r="AB14">
        <v>0</v>
      </c>
      <c r="AC14">
        <v>0</v>
      </c>
      <c r="AD14">
        <v>0</v>
      </c>
      <c r="AE14">
        <v>0</v>
      </c>
      <c r="AF14">
        <v>0</v>
      </c>
      <c r="AG14">
        <v>0</v>
      </c>
      <c r="AH14">
        <v>0</v>
      </c>
      <c r="AI14">
        <v>0</v>
      </c>
      <c r="AJ14">
        <v>0</v>
      </c>
      <c r="AK14">
        <v>0</v>
      </c>
      <c r="AL14">
        <v>0</v>
      </c>
      <c r="AM14">
        <v>0</v>
      </c>
      <c r="AN14">
        <v>23363</v>
      </c>
      <c r="AO14">
        <v>1575</v>
      </c>
      <c r="AP14">
        <v>0</v>
      </c>
      <c r="AQ14">
        <v>0</v>
      </c>
      <c r="AR14">
        <v>0</v>
      </c>
      <c r="AS14">
        <v>3950</v>
      </c>
      <c r="AT14">
        <v>0</v>
      </c>
      <c r="AU14">
        <v>0</v>
      </c>
      <c r="AV14">
        <v>22861</v>
      </c>
      <c r="AW14">
        <v>0</v>
      </c>
      <c r="AX14">
        <v>36516</v>
      </c>
      <c r="AY14">
        <v>14854</v>
      </c>
      <c r="AZ14">
        <v>0</v>
      </c>
      <c r="BA14">
        <v>64481</v>
      </c>
      <c r="BB14">
        <v>0</v>
      </c>
      <c r="BC14">
        <v>24225</v>
      </c>
      <c r="BD14">
        <v>0</v>
      </c>
      <c r="BE14">
        <v>0</v>
      </c>
      <c r="BF14">
        <v>0</v>
      </c>
      <c r="BG14">
        <v>0</v>
      </c>
      <c r="BH14">
        <v>1766</v>
      </c>
      <c r="BI14">
        <v>121000</v>
      </c>
      <c r="BJ14">
        <v>0</v>
      </c>
      <c r="BK14">
        <v>0</v>
      </c>
      <c r="BL14">
        <v>0</v>
      </c>
      <c r="BM14">
        <v>1287520</v>
      </c>
      <c r="BN14">
        <v>60189</v>
      </c>
      <c r="BO14">
        <v>25372</v>
      </c>
      <c r="BP14">
        <v>0</v>
      </c>
      <c r="BQ14">
        <v>0</v>
      </c>
      <c r="BR14">
        <v>0</v>
      </c>
      <c r="BS14">
        <v>0</v>
      </c>
      <c r="BT14">
        <v>0</v>
      </c>
      <c r="BU14">
        <v>0</v>
      </c>
      <c r="BV14">
        <v>0</v>
      </c>
      <c r="BW14">
        <v>0</v>
      </c>
      <c r="BX14">
        <v>49149</v>
      </c>
      <c r="BY14">
        <v>0</v>
      </c>
      <c r="BZ14">
        <v>0</v>
      </c>
      <c r="CA14">
        <v>0</v>
      </c>
      <c r="CB14">
        <v>0</v>
      </c>
      <c r="CC14">
        <v>34491</v>
      </c>
      <c r="CD14">
        <v>0</v>
      </c>
      <c r="CE14">
        <v>128142</v>
      </c>
      <c r="CF14">
        <v>1778</v>
      </c>
      <c r="CG14">
        <v>15746</v>
      </c>
      <c r="CH14">
        <v>0</v>
      </c>
      <c r="CI14">
        <v>0</v>
      </c>
      <c r="CJ14">
        <v>0</v>
      </c>
      <c r="CK14">
        <v>77075</v>
      </c>
      <c r="CL14">
        <v>0</v>
      </c>
      <c r="CM14">
        <v>11006</v>
      </c>
      <c r="CN14">
        <v>0</v>
      </c>
      <c r="CO14">
        <v>0</v>
      </c>
      <c r="CP14">
        <v>0</v>
      </c>
      <c r="CQ14">
        <v>0</v>
      </c>
      <c r="CR14">
        <v>0</v>
      </c>
      <c r="CS14">
        <v>208592</v>
      </c>
    </row>
    <row r="15" spans="1:97" x14ac:dyDescent="0.3">
      <c r="A15" s="155">
        <v>23</v>
      </c>
      <c r="B15" t="s">
        <v>206</v>
      </c>
      <c r="D15">
        <v>48492</v>
      </c>
      <c r="E15">
        <v>807651</v>
      </c>
      <c r="F15">
        <v>73576</v>
      </c>
      <c r="G15">
        <v>54947</v>
      </c>
      <c r="H15">
        <v>920190</v>
      </c>
      <c r="I15">
        <v>209565</v>
      </c>
      <c r="J15">
        <v>213155</v>
      </c>
      <c r="K15">
        <v>117067</v>
      </c>
      <c r="L15">
        <v>142658</v>
      </c>
      <c r="M15">
        <v>7486255</v>
      </c>
      <c r="N15">
        <v>135465</v>
      </c>
      <c r="O15">
        <v>199307</v>
      </c>
      <c r="P15">
        <v>87052</v>
      </c>
      <c r="Q15">
        <v>119717</v>
      </c>
      <c r="R15">
        <v>18823</v>
      </c>
      <c r="S15">
        <v>17225</v>
      </c>
      <c r="T15">
        <v>165334</v>
      </c>
      <c r="U15">
        <v>103464</v>
      </c>
      <c r="V15">
        <v>1455895</v>
      </c>
      <c r="W15">
        <v>1900788</v>
      </c>
      <c r="X15">
        <v>266595</v>
      </c>
      <c r="Y15">
        <v>-706372</v>
      </c>
      <c r="Z15">
        <v>-27172</v>
      </c>
      <c r="AA15">
        <v>-783393</v>
      </c>
      <c r="AB15">
        <v>18047</v>
      </c>
      <c r="AC15">
        <v>853542</v>
      </c>
      <c r="AD15">
        <v>496292</v>
      </c>
      <c r="AE15">
        <v>-186802</v>
      </c>
      <c r="AF15">
        <v>108297</v>
      </c>
      <c r="AG15">
        <v>909958</v>
      </c>
      <c r="AH15">
        <v>-106427</v>
      </c>
      <c r="AI15">
        <v>373903</v>
      </c>
      <c r="AJ15">
        <v>-133080</v>
      </c>
      <c r="AK15">
        <v>8345</v>
      </c>
      <c r="AL15">
        <v>1145500</v>
      </c>
      <c r="AM15">
        <v>1464372</v>
      </c>
      <c r="AN15">
        <v>208495</v>
      </c>
      <c r="AO15">
        <v>41124</v>
      </c>
      <c r="AP15">
        <v>5874</v>
      </c>
      <c r="AQ15">
        <v>99547</v>
      </c>
      <c r="AR15">
        <v>758028</v>
      </c>
      <c r="AS15">
        <v>34448</v>
      </c>
      <c r="AT15">
        <v>-8143</v>
      </c>
      <c r="AU15">
        <v>160074</v>
      </c>
      <c r="AV15">
        <v>2755</v>
      </c>
      <c r="AW15">
        <v>-10685</v>
      </c>
      <c r="AX15">
        <v>34006</v>
      </c>
      <c r="AY15">
        <v>23324</v>
      </c>
      <c r="AZ15">
        <v>168201</v>
      </c>
      <c r="BA15">
        <v>5954653</v>
      </c>
      <c r="BB15">
        <v>437399</v>
      </c>
      <c r="BC15">
        <v>232677</v>
      </c>
      <c r="BD15">
        <v>325820</v>
      </c>
      <c r="BE15">
        <v>205987</v>
      </c>
      <c r="BF15">
        <v>283521</v>
      </c>
      <c r="BG15">
        <v>-1397</v>
      </c>
      <c r="BH15">
        <v>-29340</v>
      </c>
      <c r="BI15">
        <v>152115</v>
      </c>
      <c r="BJ15">
        <v>322721</v>
      </c>
      <c r="BK15">
        <v>99365</v>
      </c>
      <c r="BL15">
        <v>35232</v>
      </c>
      <c r="BM15">
        <v>3350873</v>
      </c>
      <c r="BN15">
        <v>627028</v>
      </c>
      <c r="BO15">
        <v>-1260017</v>
      </c>
      <c r="BP15">
        <v>55569</v>
      </c>
      <c r="BQ15">
        <v>456922</v>
      </c>
      <c r="BR15">
        <v>-297532</v>
      </c>
      <c r="BS15">
        <v>-149380</v>
      </c>
      <c r="BT15">
        <v>146921</v>
      </c>
      <c r="BU15">
        <v>38088</v>
      </c>
      <c r="BV15">
        <v>565470</v>
      </c>
      <c r="BW15">
        <v>138402</v>
      </c>
      <c r="BX15">
        <v>-93394</v>
      </c>
      <c r="BY15">
        <v>394488</v>
      </c>
      <c r="BZ15">
        <v>-96901</v>
      </c>
      <c r="CA15">
        <v>21954</v>
      </c>
      <c r="CB15">
        <v>-47385</v>
      </c>
      <c r="CC15">
        <v>-326483</v>
      </c>
      <c r="CD15">
        <v>10128757</v>
      </c>
      <c r="CE15">
        <v>3325248</v>
      </c>
      <c r="CF15">
        <v>129546</v>
      </c>
      <c r="CG15">
        <v>407181</v>
      </c>
      <c r="CH15">
        <v>45043</v>
      </c>
      <c r="CI15">
        <v>341988</v>
      </c>
      <c r="CJ15">
        <v>11451945</v>
      </c>
      <c r="CK15">
        <v>2648753</v>
      </c>
      <c r="CL15">
        <v>-183048</v>
      </c>
      <c r="CM15">
        <v>1005352</v>
      </c>
      <c r="CN15">
        <v>74250</v>
      </c>
      <c r="CO15">
        <v>3020833</v>
      </c>
      <c r="CP15">
        <v>356263</v>
      </c>
      <c r="CQ15">
        <v>13131</v>
      </c>
      <c r="CR15">
        <v>290463</v>
      </c>
      <c r="CS15">
        <v>2240783</v>
      </c>
    </row>
    <row r="16" spans="1:97" x14ac:dyDescent="0.3">
      <c r="A16" s="155">
        <v>31</v>
      </c>
      <c r="B16" t="s">
        <v>898</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row>
    <row r="17" spans="1:97" x14ac:dyDescent="0.3">
      <c r="A17" s="155">
        <v>32</v>
      </c>
      <c r="B17" t="s">
        <v>899</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row>
    <row r="18" spans="1:97" x14ac:dyDescent="0.3">
      <c r="A18" s="155">
        <v>33</v>
      </c>
      <c r="B18" t="s">
        <v>282</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row>
    <row r="19" spans="1:97" x14ac:dyDescent="0.3">
      <c r="A19" s="155">
        <v>34</v>
      </c>
      <c r="B19" t="s">
        <v>900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row>
    <row r="20" spans="1:97" x14ac:dyDescent="0.3">
      <c r="A20" s="155">
        <v>35</v>
      </c>
      <c r="B20" t="s">
        <v>901</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row>
    <row r="21" spans="1:97" x14ac:dyDescent="0.3">
      <c r="A21" s="155">
        <v>36</v>
      </c>
      <c r="B21" t="s">
        <v>902</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row>
    <row r="22" spans="1:97" x14ac:dyDescent="0.3">
      <c r="A22" s="155">
        <v>37</v>
      </c>
      <c r="B22" t="s">
        <v>903</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row>
    <row r="23" spans="1:97" x14ac:dyDescent="0.3">
      <c r="A23" s="155">
        <v>38</v>
      </c>
      <c r="B23" t="s">
        <v>904</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row>
    <row r="24" spans="1:97" x14ac:dyDescent="0.3">
      <c r="A24" s="155">
        <v>39</v>
      </c>
      <c r="B24" t="s">
        <v>905</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row>
    <row r="25" spans="1:97" x14ac:dyDescent="0.3">
      <c r="A25" s="155">
        <v>40</v>
      </c>
      <c r="B25" t="s">
        <v>906</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row>
    <row r="26" spans="1:97" x14ac:dyDescent="0.3">
      <c r="A26" s="155">
        <v>41</v>
      </c>
      <c r="B26" t="s">
        <v>907</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row>
    <row r="27" spans="1:97" x14ac:dyDescent="0.3">
      <c r="A27" s="155">
        <v>44</v>
      </c>
      <c r="B27" t="s">
        <v>908</v>
      </c>
      <c r="D27">
        <v>0</v>
      </c>
      <c r="E27">
        <v>0</v>
      </c>
      <c r="F27">
        <v>735941</v>
      </c>
      <c r="G27">
        <v>0</v>
      </c>
      <c r="H27">
        <v>0</v>
      </c>
      <c r="I27">
        <v>772274</v>
      </c>
      <c r="J27">
        <v>1601119</v>
      </c>
      <c r="K27">
        <v>2337387</v>
      </c>
      <c r="L27">
        <v>193747</v>
      </c>
      <c r="M27">
        <v>20281211</v>
      </c>
      <c r="N27">
        <v>570583</v>
      </c>
      <c r="O27">
        <v>0</v>
      </c>
      <c r="P27">
        <v>1587091</v>
      </c>
      <c r="Q27">
        <v>251278</v>
      </c>
      <c r="R27">
        <v>0</v>
      </c>
      <c r="S27">
        <v>117103</v>
      </c>
      <c r="T27">
        <v>0</v>
      </c>
      <c r="U27">
        <v>0</v>
      </c>
      <c r="V27">
        <v>0</v>
      </c>
      <c r="W27">
        <v>12489450</v>
      </c>
      <c r="X27">
        <v>0</v>
      </c>
      <c r="Y27">
        <v>2562215</v>
      </c>
      <c r="Z27">
        <v>0</v>
      </c>
      <c r="AA27">
        <v>2305452</v>
      </c>
      <c r="AB27">
        <v>0</v>
      </c>
      <c r="AC27">
        <v>2739892</v>
      </c>
      <c r="AD27">
        <v>2485417</v>
      </c>
      <c r="AE27">
        <v>711887</v>
      </c>
      <c r="AF27">
        <v>325585</v>
      </c>
      <c r="AG27">
        <v>13636093</v>
      </c>
      <c r="AH27">
        <v>0</v>
      </c>
      <c r="AI27">
        <v>2239630</v>
      </c>
      <c r="AJ27">
        <v>0</v>
      </c>
      <c r="AK27">
        <v>430393</v>
      </c>
      <c r="AL27">
        <v>2090386</v>
      </c>
      <c r="AM27">
        <v>2157324</v>
      </c>
      <c r="AN27">
        <v>931387</v>
      </c>
      <c r="AO27">
        <v>469310</v>
      </c>
      <c r="AP27">
        <v>71458</v>
      </c>
      <c r="AQ27">
        <v>0</v>
      </c>
      <c r="AR27">
        <v>2158562</v>
      </c>
      <c r="AS27">
        <v>110268</v>
      </c>
      <c r="AT27">
        <v>0</v>
      </c>
      <c r="AU27">
        <v>0</v>
      </c>
      <c r="AV27">
        <v>0</v>
      </c>
      <c r="AW27">
        <v>0</v>
      </c>
      <c r="AX27">
        <v>217478</v>
      </c>
      <c r="AY27">
        <v>3212051</v>
      </c>
      <c r="AZ27">
        <v>471390</v>
      </c>
      <c r="BA27">
        <v>0</v>
      </c>
      <c r="BB27">
        <v>456225</v>
      </c>
      <c r="BC27">
        <v>4639724</v>
      </c>
      <c r="BD27">
        <v>0</v>
      </c>
      <c r="BE27">
        <v>1850264</v>
      </c>
      <c r="BF27">
        <v>1085003</v>
      </c>
      <c r="BG27">
        <v>204526</v>
      </c>
      <c r="BH27">
        <v>757156</v>
      </c>
      <c r="BI27">
        <v>2809294</v>
      </c>
      <c r="BJ27">
        <v>7664566</v>
      </c>
      <c r="BK27">
        <v>0</v>
      </c>
      <c r="BL27">
        <v>0</v>
      </c>
      <c r="BM27">
        <v>0</v>
      </c>
      <c r="BN27">
        <v>5819498</v>
      </c>
      <c r="BO27">
        <v>5169827</v>
      </c>
      <c r="BP27">
        <v>0</v>
      </c>
      <c r="BQ27">
        <v>0</v>
      </c>
      <c r="BR27">
        <v>2953419</v>
      </c>
      <c r="BS27">
        <v>0</v>
      </c>
      <c r="BT27">
        <v>0</v>
      </c>
      <c r="BU27">
        <v>0</v>
      </c>
      <c r="BV27">
        <v>1001573</v>
      </c>
      <c r="BW27">
        <v>0</v>
      </c>
      <c r="BX27">
        <v>169524</v>
      </c>
      <c r="BY27">
        <v>8719855</v>
      </c>
      <c r="BZ27">
        <v>2974425</v>
      </c>
      <c r="CA27">
        <v>86265</v>
      </c>
      <c r="CB27">
        <v>1973237</v>
      </c>
      <c r="CC27">
        <v>7852033</v>
      </c>
      <c r="CD27">
        <v>0</v>
      </c>
      <c r="CE27">
        <v>23804884</v>
      </c>
      <c r="CF27">
        <v>51848</v>
      </c>
      <c r="CG27">
        <v>2560841</v>
      </c>
      <c r="CH27">
        <v>81208</v>
      </c>
      <c r="CI27">
        <v>1298626</v>
      </c>
      <c r="CJ27">
        <v>107966838</v>
      </c>
      <c r="CK27">
        <v>3509361</v>
      </c>
      <c r="CL27">
        <v>1224037</v>
      </c>
      <c r="CM27">
        <v>0</v>
      </c>
      <c r="CN27">
        <v>680118</v>
      </c>
      <c r="CO27">
        <v>9649445</v>
      </c>
      <c r="CP27">
        <v>4014167</v>
      </c>
      <c r="CQ27">
        <v>2334827</v>
      </c>
      <c r="CR27">
        <v>0</v>
      </c>
      <c r="CS27">
        <v>0</v>
      </c>
    </row>
    <row r="28" spans="1:97" x14ac:dyDescent="0.3">
      <c r="A28" s="155">
        <v>45</v>
      </c>
      <c r="B28" t="s">
        <v>909</v>
      </c>
      <c r="D28">
        <v>0</v>
      </c>
      <c r="E28">
        <v>0</v>
      </c>
      <c r="F28">
        <v>494040</v>
      </c>
      <c r="G28">
        <v>0</v>
      </c>
      <c r="H28">
        <v>0</v>
      </c>
      <c r="I28">
        <v>39995</v>
      </c>
      <c r="J28">
        <v>563989</v>
      </c>
      <c r="K28">
        <v>95840</v>
      </c>
      <c r="L28">
        <v>115019</v>
      </c>
      <c r="M28">
        <v>3731679</v>
      </c>
      <c r="N28">
        <v>77209</v>
      </c>
      <c r="O28">
        <v>0</v>
      </c>
      <c r="P28">
        <v>58662</v>
      </c>
      <c r="Q28">
        <v>124562</v>
      </c>
      <c r="R28">
        <v>0</v>
      </c>
      <c r="S28">
        <v>45649</v>
      </c>
      <c r="T28">
        <v>0</v>
      </c>
      <c r="U28">
        <v>0</v>
      </c>
      <c r="V28">
        <v>0</v>
      </c>
      <c r="W28">
        <v>2709852</v>
      </c>
      <c r="X28">
        <v>0</v>
      </c>
      <c r="Y28">
        <v>447288</v>
      </c>
      <c r="Z28">
        <v>0</v>
      </c>
      <c r="AA28">
        <v>230953</v>
      </c>
      <c r="AB28">
        <v>0</v>
      </c>
      <c r="AC28">
        <v>132542</v>
      </c>
      <c r="AD28">
        <v>432490</v>
      </c>
      <c r="AE28">
        <v>340789</v>
      </c>
      <c r="AF28">
        <v>75603</v>
      </c>
      <c r="AG28">
        <v>3836931</v>
      </c>
      <c r="AH28">
        <v>0</v>
      </c>
      <c r="AI28">
        <v>394373</v>
      </c>
      <c r="AJ28">
        <v>0</v>
      </c>
      <c r="AK28">
        <v>17882</v>
      </c>
      <c r="AL28">
        <v>2020774</v>
      </c>
      <c r="AM28">
        <v>234172</v>
      </c>
      <c r="AN28">
        <v>336288</v>
      </c>
      <c r="AO28">
        <v>307322</v>
      </c>
      <c r="AP28">
        <v>4710</v>
      </c>
      <c r="AQ28">
        <v>0</v>
      </c>
      <c r="AR28">
        <v>277755</v>
      </c>
      <c r="AS28">
        <v>153589</v>
      </c>
      <c r="AT28">
        <v>0</v>
      </c>
      <c r="AU28">
        <v>0</v>
      </c>
      <c r="AV28">
        <v>0</v>
      </c>
      <c r="AW28">
        <v>0</v>
      </c>
      <c r="AX28">
        <v>29901</v>
      </c>
      <c r="AY28">
        <v>242648</v>
      </c>
      <c r="AZ28">
        <v>26072</v>
      </c>
      <c r="BA28">
        <v>0</v>
      </c>
      <c r="BB28">
        <v>223039</v>
      </c>
      <c r="BC28">
        <v>60032</v>
      </c>
      <c r="BD28">
        <v>0</v>
      </c>
      <c r="BE28">
        <v>170039</v>
      </c>
      <c r="BF28">
        <v>96218</v>
      </c>
      <c r="BG28">
        <v>-144673</v>
      </c>
      <c r="BH28">
        <v>264627</v>
      </c>
      <c r="BI28">
        <v>637843</v>
      </c>
      <c r="BJ28">
        <v>418140</v>
      </c>
      <c r="BK28">
        <v>0</v>
      </c>
      <c r="BL28">
        <v>0</v>
      </c>
      <c r="BM28">
        <v>0</v>
      </c>
      <c r="BN28">
        <v>281103</v>
      </c>
      <c r="BO28">
        <v>387972</v>
      </c>
      <c r="BP28">
        <v>0</v>
      </c>
      <c r="BQ28">
        <v>0</v>
      </c>
      <c r="BR28">
        <v>25881</v>
      </c>
      <c r="BS28">
        <v>0</v>
      </c>
      <c r="BT28">
        <v>0</v>
      </c>
      <c r="BU28">
        <v>0</v>
      </c>
      <c r="BV28">
        <v>150277</v>
      </c>
      <c r="BW28">
        <v>0</v>
      </c>
      <c r="BX28">
        <v>87714</v>
      </c>
      <c r="BY28">
        <v>429286</v>
      </c>
      <c r="BZ28">
        <v>486842</v>
      </c>
      <c r="CA28">
        <v>2781</v>
      </c>
      <c r="CB28">
        <v>1202013</v>
      </c>
      <c r="CC28">
        <v>433373</v>
      </c>
      <c r="CD28">
        <v>0</v>
      </c>
      <c r="CE28">
        <v>2081272</v>
      </c>
      <c r="CF28">
        <v>661</v>
      </c>
      <c r="CG28">
        <v>437684</v>
      </c>
      <c r="CH28">
        <v>64545</v>
      </c>
      <c r="CI28">
        <v>344313</v>
      </c>
      <c r="CJ28">
        <v>33602168</v>
      </c>
      <c r="CK28">
        <v>1320741</v>
      </c>
      <c r="CL28">
        <v>139152</v>
      </c>
      <c r="CM28">
        <v>0</v>
      </c>
      <c r="CN28">
        <v>54042</v>
      </c>
      <c r="CO28">
        <v>40075</v>
      </c>
      <c r="CP28">
        <v>42326</v>
      </c>
      <c r="CQ28">
        <v>252107</v>
      </c>
      <c r="CR28">
        <v>0</v>
      </c>
      <c r="CS28">
        <v>0</v>
      </c>
    </row>
    <row r="29" spans="1:97" x14ac:dyDescent="0.3">
      <c r="A29" s="155">
        <v>47</v>
      </c>
      <c r="B29" t="s">
        <v>910</v>
      </c>
      <c r="D29">
        <v>0</v>
      </c>
      <c r="E29">
        <v>0</v>
      </c>
      <c r="F29">
        <v>0</v>
      </c>
      <c r="G29">
        <v>0</v>
      </c>
      <c r="H29">
        <v>0</v>
      </c>
      <c r="I29">
        <v>0</v>
      </c>
      <c r="J29">
        <v>0</v>
      </c>
      <c r="K29">
        <v>3846327</v>
      </c>
      <c r="L29">
        <v>0</v>
      </c>
      <c r="M29">
        <v>37693004</v>
      </c>
      <c r="N29">
        <v>0</v>
      </c>
      <c r="O29">
        <v>0</v>
      </c>
      <c r="P29">
        <v>0</v>
      </c>
      <c r="Q29">
        <v>0</v>
      </c>
      <c r="R29">
        <v>0</v>
      </c>
      <c r="S29">
        <v>0</v>
      </c>
      <c r="T29">
        <v>0</v>
      </c>
      <c r="U29">
        <v>0</v>
      </c>
      <c r="V29">
        <v>0</v>
      </c>
      <c r="W29">
        <v>0</v>
      </c>
      <c r="X29">
        <v>0</v>
      </c>
      <c r="Y29">
        <v>0</v>
      </c>
      <c r="Z29">
        <v>0</v>
      </c>
      <c r="AA29">
        <v>0</v>
      </c>
      <c r="AB29">
        <v>0</v>
      </c>
      <c r="AC29">
        <v>16343847</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8666987</v>
      </c>
      <c r="BB29">
        <v>0</v>
      </c>
      <c r="BC29">
        <v>0</v>
      </c>
      <c r="BD29">
        <v>0</v>
      </c>
      <c r="BE29">
        <v>0</v>
      </c>
      <c r="BF29">
        <v>0</v>
      </c>
      <c r="BG29">
        <v>305419</v>
      </c>
      <c r="BH29">
        <v>0</v>
      </c>
      <c r="BI29">
        <v>0</v>
      </c>
      <c r="BJ29">
        <v>21616609</v>
      </c>
      <c r="BK29">
        <v>0</v>
      </c>
      <c r="BL29">
        <v>0</v>
      </c>
      <c r="BM29">
        <v>0</v>
      </c>
      <c r="BN29">
        <v>3602593</v>
      </c>
      <c r="BO29">
        <v>0</v>
      </c>
      <c r="BP29">
        <v>0</v>
      </c>
      <c r="BQ29">
        <v>0</v>
      </c>
      <c r="BR29">
        <v>0</v>
      </c>
      <c r="BS29">
        <v>0</v>
      </c>
      <c r="BT29">
        <v>0</v>
      </c>
      <c r="BU29">
        <v>0</v>
      </c>
      <c r="BV29">
        <v>0</v>
      </c>
      <c r="BW29">
        <v>0</v>
      </c>
      <c r="BX29">
        <v>0</v>
      </c>
      <c r="BY29">
        <v>0</v>
      </c>
      <c r="BZ29">
        <v>0</v>
      </c>
      <c r="CA29">
        <v>0</v>
      </c>
      <c r="CB29">
        <v>0</v>
      </c>
      <c r="CC29">
        <v>0</v>
      </c>
      <c r="CD29">
        <v>0</v>
      </c>
      <c r="CE29">
        <v>61826508</v>
      </c>
      <c r="CF29">
        <v>0</v>
      </c>
      <c r="CG29">
        <v>4519174</v>
      </c>
      <c r="CH29">
        <v>0</v>
      </c>
      <c r="CI29">
        <v>0</v>
      </c>
      <c r="CJ29">
        <v>0</v>
      </c>
      <c r="CK29">
        <v>8719224</v>
      </c>
      <c r="CL29">
        <v>0</v>
      </c>
      <c r="CM29">
        <v>0</v>
      </c>
      <c r="CN29">
        <v>0</v>
      </c>
      <c r="CO29">
        <v>0</v>
      </c>
      <c r="CP29">
        <v>0</v>
      </c>
      <c r="CQ29">
        <v>0</v>
      </c>
      <c r="CR29">
        <v>0</v>
      </c>
      <c r="CS29">
        <v>0</v>
      </c>
    </row>
    <row r="30" spans="1:97" x14ac:dyDescent="0.3">
      <c r="A30" s="155">
        <v>48</v>
      </c>
      <c r="B30" t="s">
        <v>115</v>
      </c>
      <c r="D30">
        <v>0</v>
      </c>
      <c r="E30">
        <v>0</v>
      </c>
      <c r="F30">
        <v>0</v>
      </c>
      <c r="G30">
        <v>0</v>
      </c>
      <c r="H30">
        <v>0</v>
      </c>
      <c r="I30">
        <v>0</v>
      </c>
      <c r="J30">
        <v>0</v>
      </c>
      <c r="K30">
        <v>145625</v>
      </c>
      <c r="L30">
        <v>0</v>
      </c>
      <c r="M30">
        <v>4143899</v>
      </c>
      <c r="N30">
        <v>0</v>
      </c>
      <c r="O30">
        <v>0</v>
      </c>
      <c r="P30">
        <v>0</v>
      </c>
      <c r="Q30">
        <v>0</v>
      </c>
      <c r="R30">
        <v>0</v>
      </c>
      <c r="S30">
        <v>0</v>
      </c>
      <c r="T30">
        <v>0</v>
      </c>
      <c r="U30">
        <v>0</v>
      </c>
      <c r="V30">
        <v>0</v>
      </c>
      <c r="W30">
        <v>0</v>
      </c>
      <c r="X30">
        <v>0</v>
      </c>
      <c r="Y30">
        <v>0</v>
      </c>
      <c r="Z30">
        <v>0</v>
      </c>
      <c r="AA30">
        <v>0</v>
      </c>
      <c r="AB30">
        <v>0</v>
      </c>
      <c r="AC30">
        <v>1588399</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2947145</v>
      </c>
      <c r="BB30">
        <v>0</v>
      </c>
      <c r="BC30">
        <v>0</v>
      </c>
      <c r="BD30">
        <v>0</v>
      </c>
      <c r="BE30">
        <v>0</v>
      </c>
      <c r="BF30">
        <v>0</v>
      </c>
      <c r="BG30">
        <v>10331</v>
      </c>
      <c r="BH30">
        <v>0</v>
      </c>
      <c r="BI30">
        <v>0</v>
      </c>
      <c r="BJ30">
        <v>2305640</v>
      </c>
      <c r="BK30">
        <v>0</v>
      </c>
      <c r="BL30">
        <v>0</v>
      </c>
      <c r="BM30">
        <v>0</v>
      </c>
      <c r="BN30">
        <v>575144</v>
      </c>
      <c r="BO30">
        <v>0</v>
      </c>
      <c r="BP30">
        <v>0</v>
      </c>
      <c r="BQ30">
        <v>0</v>
      </c>
      <c r="BR30">
        <v>0</v>
      </c>
      <c r="BS30">
        <v>0</v>
      </c>
      <c r="BT30">
        <v>0</v>
      </c>
      <c r="BU30">
        <v>0</v>
      </c>
      <c r="BV30">
        <v>0</v>
      </c>
      <c r="BW30">
        <v>0</v>
      </c>
      <c r="BX30">
        <v>0</v>
      </c>
      <c r="BY30">
        <v>0</v>
      </c>
      <c r="BZ30">
        <v>0</v>
      </c>
      <c r="CA30">
        <v>0</v>
      </c>
      <c r="CB30">
        <v>0</v>
      </c>
      <c r="CC30">
        <v>0</v>
      </c>
      <c r="CD30">
        <v>0</v>
      </c>
      <c r="CE30">
        <v>9354089</v>
      </c>
      <c r="CF30">
        <v>0</v>
      </c>
      <c r="CG30">
        <v>721311</v>
      </c>
      <c r="CH30">
        <v>0</v>
      </c>
      <c r="CI30">
        <v>0</v>
      </c>
      <c r="CJ30">
        <v>0</v>
      </c>
      <c r="CK30">
        <v>422631</v>
      </c>
      <c r="CL30">
        <v>0</v>
      </c>
      <c r="CM30">
        <v>0</v>
      </c>
      <c r="CN30">
        <v>0</v>
      </c>
      <c r="CO30">
        <v>0</v>
      </c>
      <c r="CP30">
        <v>0</v>
      </c>
      <c r="CQ30">
        <v>0</v>
      </c>
      <c r="CR30">
        <v>0</v>
      </c>
      <c r="CS30">
        <v>0</v>
      </c>
    </row>
    <row r="31" spans="1:97" x14ac:dyDescent="0.3">
      <c r="A31" s="155">
        <v>49</v>
      </c>
      <c r="B31" t="s">
        <v>219</v>
      </c>
      <c r="D31">
        <v>0</v>
      </c>
      <c r="E31">
        <v>0</v>
      </c>
      <c r="F31">
        <v>170621</v>
      </c>
      <c r="G31">
        <v>0</v>
      </c>
      <c r="H31">
        <v>0</v>
      </c>
      <c r="I31">
        <v>128244</v>
      </c>
      <c r="J31">
        <v>504163</v>
      </c>
      <c r="K31">
        <v>330670</v>
      </c>
      <c r="L31">
        <v>42095</v>
      </c>
      <c r="M31">
        <v>3799955</v>
      </c>
      <c r="N31">
        <v>178267</v>
      </c>
      <c r="O31">
        <v>0</v>
      </c>
      <c r="P31">
        <v>116712</v>
      </c>
      <c r="Q31">
        <v>283681</v>
      </c>
      <c r="R31">
        <v>0</v>
      </c>
      <c r="S31">
        <v>87335</v>
      </c>
      <c r="T31">
        <v>0</v>
      </c>
      <c r="U31">
        <v>0</v>
      </c>
      <c r="V31">
        <v>0</v>
      </c>
      <c r="W31">
        <v>1131611</v>
      </c>
      <c r="X31">
        <v>0</v>
      </c>
      <c r="Y31">
        <v>109358</v>
      </c>
      <c r="Z31">
        <v>0</v>
      </c>
      <c r="AA31">
        <v>342306</v>
      </c>
      <c r="AB31">
        <v>0</v>
      </c>
      <c r="AC31">
        <v>1101070</v>
      </c>
      <c r="AD31">
        <v>614550</v>
      </c>
      <c r="AE31">
        <v>39474</v>
      </c>
      <c r="AF31">
        <v>108994</v>
      </c>
      <c r="AG31">
        <v>3699575</v>
      </c>
      <c r="AH31">
        <v>0</v>
      </c>
      <c r="AI31">
        <v>144444</v>
      </c>
      <c r="AJ31">
        <v>0</v>
      </c>
      <c r="AK31">
        <v>133962</v>
      </c>
      <c r="AL31">
        <v>786985</v>
      </c>
      <c r="AM31">
        <v>502603</v>
      </c>
      <c r="AN31">
        <v>264309</v>
      </c>
      <c r="AO31">
        <v>268265</v>
      </c>
      <c r="AP31">
        <v>10761</v>
      </c>
      <c r="AQ31">
        <v>0</v>
      </c>
      <c r="AR31">
        <v>1120935</v>
      </c>
      <c r="AS31">
        <v>167778</v>
      </c>
      <c r="AT31">
        <v>0</v>
      </c>
      <c r="AU31">
        <v>0</v>
      </c>
      <c r="AV31">
        <v>0</v>
      </c>
      <c r="AW31">
        <v>0</v>
      </c>
      <c r="AX31">
        <v>27208</v>
      </c>
      <c r="AY31">
        <v>350882</v>
      </c>
      <c r="AZ31">
        <v>98909</v>
      </c>
      <c r="BA31">
        <v>0</v>
      </c>
      <c r="BB31">
        <v>0</v>
      </c>
      <c r="BC31">
        <v>864597</v>
      </c>
      <c r="BD31">
        <v>0</v>
      </c>
      <c r="BE31">
        <v>126618</v>
      </c>
      <c r="BF31">
        <v>123448</v>
      </c>
      <c r="BG31">
        <v>64662</v>
      </c>
      <c r="BH31">
        <v>379261</v>
      </c>
      <c r="BI31">
        <v>635649</v>
      </c>
      <c r="BJ31">
        <v>1725983</v>
      </c>
      <c r="BK31">
        <v>0</v>
      </c>
      <c r="BL31">
        <v>0</v>
      </c>
      <c r="BM31">
        <v>0</v>
      </c>
      <c r="BN31">
        <v>1114537</v>
      </c>
      <c r="BO31">
        <v>428562</v>
      </c>
      <c r="BP31">
        <v>0</v>
      </c>
      <c r="BQ31">
        <v>0</v>
      </c>
      <c r="BR31">
        <v>277977</v>
      </c>
      <c r="BS31">
        <v>0</v>
      </c>
      <c r="BT31">
        <v>0</v>
      </c>
      <c r="BU31">
        <v>0</v>
      </c>
      <c r="BV31">
        <v>339932</v>
      </c>
      <c r="BW31">
        <v>0</v>
      </c>
      <c r="BX31">
        <v>71275</v>
      </c>
      <c r="BY31">
        <v>164946</v>
      </c>
      <c r="BZ31">
        <v>488643</v>
      </c>
      <c r="CA31">
        <v>17217</v>
      </c>
      <c r="CB31">
        <v>1029221</v>
      </c>
      <c r="CC31">
        <v>899593</v>
      </c>
      <c r="CD31">
        <v>0</v>
      </c>
      <c r="CE31">
        <v>4569943</v>
      </c>
      <c r="CF31">
        <v>165196</v>
      </c>
      <c r="CG31">
        <v>247414</v>
      </c>
      <c r="CH31">
        <v>154072</v>
      </c>
      <c r="CI31">
        <v>264128</v>
      </c>
      <c r="CJ31">
        <v>31020380</v>
      </c>
      <c r="CK31">
        <v>507636</v>
      </c>
      <c r="CL31">
        <v>132459</v>
      </c>
      <c r="CM31">
        <v>0</v>
      </c>
      <c r="CN31">
        <v>118344</v>
      </c>
      <c r="CO31">
        <v>246177</v>
      </c>
      <c r="CP31">
        <v>641405</v>
      </c>
      <c r="CQ31">
        <v>343824</v>
      </c>
      <c r="CR31">
        <v>0</v>
      </c>
      <c r="CS31">
        <v>0</v>
      </c>
    </row>
    <row r="32" spans="1:97" x14ac:dyDescent="0.3">
      <c r="A32" s="155">
        <v>50</v>
      </c>
      <c r="B32" t="s">
        <v>92</v>
      </c>
      <c r="D32">
        <v>0</v>
      </c>
      <c r="E32">
        <v>0</v>
      </c>
      <c r="F32">
        <v>364534</v>
      </c>
      <c r="G32">
        <v>0</v>
      </c>
      <c r="H32">
        <v>0</v>
      </c>
      <c r="I32">
        <v>-9226</v>
      </c>
      <c r="J32">
        <v>210082</v>
      </c>
      <c r="K32">
        <v>-5913</v>
      </c>
      <c r="L32">
        <v>17761</v>
      </c>
      <c r="M32">
        <v>-388906</v>
      </c>
      <c r="N32">
        <v>-311189</v>
      </c>
      <c r="O32">
        <v>0</v>
      </c>
      <c r="P32">
        <v>7704</v>
      </c>
      <c r="Q32">
        <v>499235</v>
      </c>
      <c r="R32">
        <v>0</v>
      </c>
      <c r="S32">
        <v>-26642</v>
      </c>
      <c r="T32">
        <v>0</v>
      </c>
      <c r="U32">
        <v>0</v>
      </c>
      <c r="V32">
        <v>0</v>
      </c>
      <c r="W32">
        <v>7337038</v>
      </c>
      <c r="X32">
        <v>0</v>
      </c>
      <c r="Y32">
        <v>1024029</v>
      </c>
      <c r="Z32">
        <v>0</v>
      </c>
      <c r="AA32">
        <v>341312</v>
      </c>
      <c r="AB32">
        <v>0</v>
      </c>
      <c r="AC32">
        <v>-1142686</v>
      </c>
      <c r="AD32">
        <v>-490702</v>
      </c>
      <c r="AE32">
        <v>986273</v>
      </c>
      <c r="AF32">
        <v>-10386</v>
      </c>
      <c r="AG32">
        <v>3825288</v>
      </c>
      <c r="AH32">
        <v>0</v>
      </c>
      <c r="AI32">
        <v>377979</v>
      </c>
      <c r="AJ32">
        <v>0</v>
      </c>
      <c r="AK32">
        <v>-206554</v>
      </c>
      <c r="AL32">
        <v>-527219</v>
      </c>
      <c r="AM32">
        <v>246059</v>
      </c>
      <c r="AN32">
        <v>258509</v>
      </c>
      <c r="AO32">
        <v>-538453</v>
      </c>
      <c r="AP32">
        <v>6294</v>
      </c>
      <c r="AQ32">
        <v>0</v>
      </c>
      <c r="AR32">
        <v>1847699</v>
      </c>
      <c r="AS32">
        <v>-83356</v>
      </c>
      <c r="AT32">
        <v>0</v>
      </c>
      <c r="AU32">
        <v>0</v>
      </c>
      <c r="AV32">
        <v>0</v>
      </c>
      <c r="AW32">
        <v>0</v>
      </c>
      <c r="AX32">
        <v>3095</v>
      </c>
      <c r="AY32">
        <v>-245397</v>
      </c>
      <c r="AZ32">
        <v>-65039</v>
      </c>
      <c r="BA32">
        <v>0</v>
      </c>
      <c r="BB32">
        <v>0</v>
      </c>
      <c r="BC32">
        <v>898235</v>
      </c>
      <c r="BD32">
        <v>0</v>
      </c>
      <c r="BE32">
        <v>95883</v>
      </c>
      <c r="BF32">
        <v>713719</v>
      </c>
      <c r="BG32">
        <v>-60755</v>
      </c>
      <c r="BH32">
        <v>630332</v>
      </c>
      <c r="BI32">
        <v>-193978</v>
      </c>
      <c r="BJ32">
        <v>-527425</v>
      </c>
      <c r="BK32">
        <v>0</v>
      </c>
      <c r="BL32">
        <v>0</v>
      </c>
      <c r="BM32">
        <v>0</v>
      </c>
      <c r="BN32">
        <v>677203</v>
      </c>
      <c r="BO32">
        <v>573042</v>
      </c>
      <c r="BP32">
        <v>0</v>
      </c>
      <c r="BQ32">
        <v>0</v>
      </c>
      <c r="BR32">
        <v>242353</v>
      </c>
      <c r="BS32">
        <v>0</v>
      </c>
      <c r="BT32">
        <v>0</v>
      </c>
      <c r="BU32">
        <v>0</v>
      </c>
      <c r="BV32">
        <v>-62308</v>
      </c>
      <c r="BW32">
        <v>0</v>
      </c>
      <c r="BX32">
        <v>43507</v>
      </c>
      <c r="BY32">
        <v>635302</v>
      </c>
      <c r="BZ32">
        <v>118670</v>
      </c>
      <c r="CA32">
        <v>-12373</v>
      </c>
      <c r="CB32">
        <v>551082</v>
      </c>
      <c r="CC32">
        <v>-129468</v>
      </c>
      <c r="CD32">
        <v>0</v>
      </c>
      <c r="CE32">
        <v>3783816</v>
      </c>
      <c r="CF32">
        <v>-113484</v>
      </c>
      <c r="CG32">
        <v>182309</v>
      </c>
      <c r="CH32">
        <v>-110712</v>
      </c>
      <c r="CI32">
        <v>579246</v>
      </c>
      <c r="CJ32">
        <v>48324179</v>
      </c>
      <c r="CK32">
        <v>550208</v>
      </c>
      <c r="CL32">
        <v>92466</v>
      </c>
      <c r="CM32">
        <v>0</v>
      </c>
      <c r="CN32">
        <v>102092</v>
      </c>
      <c r="CO32">
        <v>1157350</v>
      </c>
      <c r="CP32">
        <v>-222067</v>
      </c>
      <c r="CQ32">
        <v>-60461</v>
      </c>
      <c r="CR32">
        <v>0</v>
      </c>
      <c r="CS32">
        <v>0</v>
      </c>
    </row>
    <row r="33" spans="1:97" x14ac:dyDescent="0.3">
      <c r="A33" s="155">
        <v>51</v>
      </c>
      <c r="B33" t="s">
        <v>237</v>
      </c>
      <c r="D33">
        <v>0</v>
      </c>
      <c r="E33">
        <v>0</v>
      </c>
      <c r="F33">
        <v>289741</v>
      </c>
      <c r="G33">
        <v>0</v>
      </c>
      <c r="H33">
        <v>0</v>
      </c>
      <c r="I33">
        <v>110944</v>
      </c>
      <c r="J33">
        <v>837630</v>
      </c>
      <c r="K33">
        <v>386366</v>
      </c>
      <c r="L33">
        <v>24332</v>
      </c>
      <c r="M33">
        <v>4100987</v>
      </c>
      <c r="N33">
        <v>-86243</v>
      </c>
      <c r="O33">
        <v>0</v>
      </c>
      <c r="P33">
        <v>120551</v>
      </c>
      <c r="Q33">
        <v>151188</v>
      </c>
      <c r="R33">
        <v>0</v>
      </c>
      <c r="S33">
        <v>52622</v>
      </c>
      <c r="T33">
        <v>0</v>
      </c>
      <c r="U33">
        <v>0</v>
      </c>
      <c r="V33">
        <v>0</v>
      </c>
      <c r="W33">
        <v>10101066</v>
      </c>
      <c r="X33">
        <v>0</v>
      </c>
      <c r="Y33">
        <v>181448</v>
      </c>
      <c r="Z33">
        <v>0</v>
      </c>
      <c r="AA33">
        <v>663818</v>
      </c>
      <c r="AB33">
        <v>0</v>
      </c>
      <c r="AC33">
        <v>204007</v>
      </c>
      <c r="AD33">
        <v>433496</v>
      </c>
      <c r="AE33">
        <v>-7944</v>
      </c>
      <c r="AF33">
        <v>116664</v>
      </c>
      <c r="AG33">
        <v>4927918</v>
      </c>
      <c r="AH33">
        <v>0</v>
      </c>
      <c r="AI33">
        <v>415968</v>
      </c>
      <c r="AJ33">
        <v>0</v>
      </c>
      <c r="AK33">
        <v>15887</v>
      </c>
      <c r="AL33">
        <v>-480581</v>
      </c>
      <c r="AM33">
        <v>838888</v>
      </c>
      <c r="AN33">
        <v>266577</v>
      </c>
      <c r="AO33">
        <v>-136690</v>
      </c>
      <c r="AP33">
        <v>12747</v>
      </c>
      <c r="AQ33">
        <v>0</v>
      </c>
      <c r="AR33">
        <v>1155487</v>
      </c>
      <c r="AS33">
        <v>65116</v>
      </c>
      <c r="AT33">
        <v>0</v>
      </c>
      <c r="AU33">
        <v>0</v>
      </c>
      <c r="AV33">
        <v>0</v>
      </c>
      <c r="AW33">
        <v>0</v>
      </c>
      <c r="AX33">
        <v>36224</v>
      </c>
      <c r="AY33">
        <v>512010</v>
      </c>
      <c r="AZ33">
        <v>58367</v>
      </c>
      <c r="BA33">
        <v>0</v>
      </c>
      <c r="BB33">
        <v>0</v>
      </c>
      <c r="BC33">
        <v>1670690</v>
      </c>
      <c r="BD33">
        <v>0</v>
      </c>
      <c r="BE33">
        <v>219149</v>
      </c>
      <c r="BF33">
        <v>120350</v>
      </c>
      <c r="BG33">
        <v>10445</v>
      </c>
      <c r="BH33">
        <v>275505</v>
      </c>
      <c r="BI33">
        <v>583627</v>
      </c>
      <c r="BJ33">
        <v>1500862</v>
      </c>
      <c r="BK33">
        <v>0</v>
      </c>
      <c r="BL33">
        <v>0</v>
      </c>
      <c r="BM33">
        <v>0</v>
      </c>
      <c r="BN33">
        <v>1408805</v>
      </c>
      <c r="BO33">
        <v>446818</v>
      </c>
      <c r="BP33">
        <v>0</v>
      </c>
      <c r="BQ33">
        <v>0</v>
      </c>
      <c r="BR33">
        <v>520968</v>
      </c>
      <c r="BS33">
        <v>0</v>
      </c>
      <c r="BT33">
        <v>0</v>
      </c>
      <c r="BU33">
        <v>0</v>
      </c>
      <c r="BV33">
        <v>223239</v>
      </c>
      <c r="BW33">
        <v>0</v>
      </c>
      <c r="BX33">
        <v>-21056</v>
      </c>
      <c r="BY33">
        <v>770078</v>
      </c>
      <c r="BZ33">
        <v>336030</v>
      </c>
      <c r="CA33">
        <v>2123</v>
      </c>
      <c r="CB33">
        <v>1856525</v>
      </c>
      <c r="CC33">
        <v>931524</v>
      </c>
      <c r="CD33">
        <v>0</v>
      </c>
      <c r="CE33">
        <v>9420850</v>
      </c>
      <c r="CF33">
        <v>144836</v>
      </c>
      <c r="CG33">
        <v>472230</v>
      </c>
      <c r="CH33">
        <v>122924</v>
      </c>
      <c r="CI33">
        <v>425909</v>
      </c>
      <c r="CJ33">
        <v>70523446</v>
      </c>
      <c r="CK33">
        <v>1278424</v>
      </c>
      <c r="CL33">
        <v>11802</v>
      </c>
      <c r="CM33">
        <v>0</v>
      </c>
      <c r="CN33">
        <v>74463</v>
      </c>
      <c r="CO33">
        <v>1466778</v>
      </c>
      <c r="CP33">
        <v>271022</v>
      </c>
      <c r="CQ33">
        <v>250207</v>
      </c>
      <c r="CR33">
        <v>0</v>
      </c>
      <c r="CS33">
        <v>0</v>
      </c>
    </row>
    <row r="34" spans="1:97" x14ac:dyDescent="0.3">
      <c r="A34" s="155">
        <v>52</v>
      </c>
      <c r="B34" t="s">
        <v>230</v>
      </c>
      <c r="D34">
        <v>0</v>
      </c>
      <c r="E34">
        <v>0</v>
      </c>
      <c r="F34">
        <v>0</v>
      </c>
      <c r="G34">
        <v>0</v>
      </c>
      <c r="H34">
        <v>0</v>
      </c>
      <c r="I34">
        <v>0</v>
      </c>
      <c r="J34">
        <v>0</v>
      </c>
      <c r="K34">
        <v>82494</v>
      </c>
      <c r="L34">
        <v>0</v>
      </c>
      <c r="M34">
        <v>1584159</v>
      </c>
      <c r="N34">
        <v>0</v>
      </c>
      <c r="O34">
        <v>0</v>
      </c>
      <c r="P34">
        <v>0</v>
      </c>
      <c r="Q34">
        <v>0</v>
      </c>
      <c r="R34">
        <v>0</v>
      </c>
      <c r="S34">
        <v>0</v>
      </c>
      <c r="T34">
        <v>0</v>
      </c>
      <c r="U34">
        <v>0</v>
      </c>
      <c r="V34">
        <v>0</v>
      </c>
      <c r="W34">
        <v>0</v>
      </c>
      <c r="X34">
        <v>0</v>
      </c>
      <c r="Y34">
        <v>0</v>
      </c>
      <c r="Z34">
        <v>0</v>
      </c>
      <c r="AA34">
        <v>0</v>
      </c>
      <c r="AB34">
        <v>0</v>
      </c>
      <c r="AC34">
        <v>1647175</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1472956</v>
      </c>
      <c r="BB34">
        <v>0</v>
      </c>
      <c r="BC34">
        <v>0</v>
      </c>
      <c r="BD34">
        <v>0</v>
      </c>
      <c r="BE34">
        <v>0</v>
      </c>
      <c r="BF34">
        <v>0</v>
      </c>
      <c r="BG34">
        <v>4848</v>
      </c>
      <c r="BH34">
        <v>0</v>
      </c>
      <c r="BI34">
        <v>0</v>
      </c>
      <c r="BJ34">
        <v>1142266</v>
      </c>
      <c r="BK34">
        <v>0</v>
      </c>
      <c r="BL34">
        <v>0</v>
      </c>
      <c r="BM34">
        <v>0</v>
      </c>
      <c r="BN34">
        <v>281386</v>
      </c>
      <c r="BO34">
        <v>0</v>
      </c>
      <c r="BP34">
        <v>0</v>
      </c>
      <c r="BQ34">
        <v>0</v>
      </c>
      <c r="BR34">
        <v>0</v>
      </c>
      <c r="BS34">
        <v>0</v>
      </c>
      <c r="BT34">
        <v>0</v>
      </c>
      <c r="BU34">
        <v>0</v>
      </c>
      <c r="BV34">
        <v>0</v>
      </c>
      <c r="BW34">
        <v>0</v>
      </c>
      <c r="BX34">
        <v>0</v>
      </c>
      <c r="BY34">
        <v>0</v>
      </c>
      <c r="BZ34">
        <v>0</v>
      </c>
      <c r="CA34">
        <v>0</v>
      </c>
      <c r="CB34">
        <v>0</v>
      </c>
      <c r="CC34">
        <v>0</v>
      </c>
      <c r="CD34">
        <v>0</v>
      </c>
      <c r="CE34">
        <v>7235118</v>
      </c>
      <c r="CF34">
        <v>0</v>
      </c>
      <c r="CG34">
        <v>192194</v>
      </c>
      <c r="CH34">
        <v>0</v>
      </c>
      <c r="CI34">
        <v>0</v>
      </c>
      <c r="CJ34">
        <v>0</v>
      </c>
      <c r="CK34">
        <v>418686</v>
      </c>
      <c r="CL34">
        <v>0</v>
      </c>
      <c r="CM34">
        <v>0</v>
      </c>
      <c r="CN34">
        <v>0</v>
      </c>
      <c r="CO34">
        <v>0</v>
      </c>
      <c r="CP34">
        <v>0</v>
      </c>
      <c r="CQ34">
        <v>0</v>
      </c>
      <c r="CR34">
        <v>0</v>
      </c>
      <c r="CS34">
        <v>0</v>
      </c>
    </row>
    <row r="35" spans="1:97" x14ac:dyDescent="0.3">
      <c r="A35" s="155">
        <v>53</v>
      </c>
      <c r="B35" t="s">
        <v>93</v>
      </c>
      <c r="D35">
        <v>0</v>
      </c>
      <c r="E35">
        <v>0</v>
      </c>
      <c r="F35">
        <v>0</v>
      </c>
      <c r="G35">
        <v>0</v>
      </c>
      <c r="H35">
        <v>0</v>
      </c>
      <c r="I35">
        <v>0</v>
      </c>
      <c r="J35">
        <v>0</v>
      </c>
      <c r="K35">
        <v>172119</v>
      </c>
      <c r="L35">
        <v>0</v>
      </c>
      <c r="M35">
        <v>14289428</v>
      </c>
      <c r="N35">
        <v>0</v>
      </c>
      <c r="O35">
        <v>0</v>
      </c>
      <c r="P35">
        <v>0</v>
      </c>
      <c r="Q35">
        <v>0</v>
      </c>
      <c r="R35">
        <v>0</v>
      </c>
      <c r="S35">
        <v>0</v>
      </c>
      <c r="T35">
        <v>0</v>
      </c>
      <c r="U35">
        <v>0</v>
      </c>
      <c r="V35">
        <v>0</v>
      </c>
      <c r="W35">
        <v>0</v>
      </c>
      <c r="X35">
        <v>0</v>
      </c>
      <c r="Y35">
        <v>0</v>
      </c>
      <c r="Z35">
        <v>0</v>
      </c>
      <c r="AA35">
        <v>0</v>
      </c>
      <c r="AB35">
        <v>0</v>
      </c>
      <c r="AC35">
        <v>-632474</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-54839</v>
      </c>
      <c r="BB35">
        <v>0</v>
      </c>
      <c r="BC35">
        <v>0</v>
      </c>
      <c r="BD35">
        <v>0</v>
      </c>
      <c r="BE35">
        <v>0</v>
      </c>
      <c r="BF35">
        <v>0</v>
      </c>
      <c r="BG35">
        <v>66899</v>
      </c>
      <c r="BH35">
        <v>0</v>
      </c>
      <c r="BI35">
        <v>0</v>
      </c>
      <c r="BJ35">
        <v>2681966</v>
      </c>
      <c r="BK35">
        <v>0</v>
      </c>
      <c r="BL35">
        <v>0</v>
      </c>
      <c r="BM35">
        <v>0</v>
      </c>
      <c r="BN35">
        <v>950944</v>
      </c>
      <c r="BO35">
        <v>0</v>
      </c>
      <c r="BP35">
        <v>0</v>
      </c>
      <c r="BQ35">
        <v>0</v>
      </c>
      <c r="BR35">
        <v>0</v>
      </c>
      <c r="BS35">
        <v>0</v>
      </c>
      <c r="BT35">
        <v>0</v>
      </c>
      <c r="BU35">
        <v>0</v>
      </c>
      <c r="BV35">
        <v>0</v>
      </c>
      <c r="BW35">
        <v>0</v>
      </c>
      <c r="BX35">
        <v>0</v>
      </c>
      <c r="BY35">
        <v>0</v>
      </c>
      <c r="BZ35">
        <v>0</v>
      </c>
      <c r="CA35">
        <v>0</v>
      </c>
      <c r="CB35">
        <v>0</v>
      </c>
      <c r="CC35">
        <v>0</v>
      </c>
      <c r="CD35">
        <v>0</v>
      </c>
      <c r="CE35">
        <v>6926189</v>
      </c>
      <c r="CF35">
        <v>0</v>
      </c>
      <c r="CG35">
        <v>130727</v>
      </c>
      <c r="CH35">
        <v>0</v>
      </c>
      <c r="CI35">
        <v>0</v>
      </c>
      <c r="CJ35">
        <v>0</v>
      </c>
      <c r="CK35">
        <v>938552</v>
      </c>
      <c r="CL35">
        <v>0</v>
      </c>
      <c r="CM35">
        <v>0</v>
      </c>
      <c r="CN35">
        <v>0</v>
      </c>
      <c r="CO35">
        <v>0</v>
      </c>
      <c r="CP35">
        <v>0</v>
      </c>
      <c r="CQ35">
        <v>0</v>
      </c>
      <c r="CR35">
        <v>0</v>
      </c>
      <c r="CS35">
        <v>0</v>
      </c>
    </row>
    <row r="36" spans="1:97" x14ac:dyDescent="0.3">
      <c r="A36" s="155">
        <v>55</v>
      </c>
      <c r="B36" t="s">
        <v>240</v>
      </c>
      <c r="D36">
        <v>0</v>
      </c>
      <c r="E36">
        <v>0</v>
      </c>
      <c r="F36">
        <v>0</v>
      </c>
      <c r="G36">
        <v>0</v>
      </c>
      <c r="H36">
        <v>0</v>
      </c>
      <c r="I36">
        <v>0</v>
      </c>
      <c r="J36">
        <v>0</v>
      </c>
      <c r="K36">
        <v>576913</v>
      </c>
      <c r="L36">
        <v>0</v>
      </c>
      <c r="M36">
        <v>2655490</v>
      </c>
      <c r="N36">
        <v>0</v>
      </c>
      <c r="O36">
        <v>0</v>
      </c>
      <c r="P36">
        <v>0</v>
      </c>
      <c r="Q36">
        <v>0</v>
      </c>
      <c r="R36">
        <v>0</v>
      </c>
      <c r="S36">
        <v>0</v>
      </c>
      <c r="T36">
        <v>0</v>
      </c>
      <c r="U36">
        <v>0</v>
      </c>
      <c r="V36">
        <v>0</v>
      </c>
      <c r="W36">
        <v>0</v>
      </c>
      <c r="X36">
        <v>0</v>
      </c>
      <c r="Y36">
        <v>0</v>
      </c>
      <c r="Z36">
        <v>0</v>
      </c>
      <c r="AA36">
        <v>0</v>
      </c>
      <c r="AB36">
        <v>0</v>
      </c>
      <c r="AC36">
        <v>2229488</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1235525</v>
      </c>
      <c r="BB36">
        <v>0</v>
      </c>
      <c r="BC36">
        <v>0</v>
      </c>
      <c r="BD36">
        <v>0</v>
      </c>
      <c r="BE36">
        <v>0</v>
      </c>
      <c r="BF36">
        <v>0</v>
      </c>
      <c r="BG36">
        <v>58459</v>
      </c>
      <c r="BH36">
        <v>0</v>
      </c>
      <c r="BI36">
        <v>0</v>
      </c>
      <c r="BJ36">
        <v>6169805</v>
      </c>
      <c r="BK36">
        <v>0</v>
      </c>
      <c r="BL36">
        <v>0</v>
      </c>
      <c r="BM36">
        <v>0</v>
      </c>
      <c r="BN36">
        <v>2416598</v>
      </c>
      <c r="BO36">
        <v>0</v>
      </c>
      <c r="BP36">
        <v>0</v>
      </c>
      <c r="BQ36">
        <v>0</v>
      </c>
      <c r="BR36">
        <v>0</v>
      </c>
      <c r="BS36">
        <v>0</v>
      </c>
      <c r="BT36">
        <v>0</v>
      </c>
      <c r="BU36">
        <v>0</v>
      </c>
      <c r="BV36">
        <v>0</v>
      </c>
      <c r="BW36">
        <v>0</v>
      </c>
      <c r="BX36">
        <v>0</v>
      </c>
      <c r="BY36">
        <v>0</v>
      </c>
      <c r="BZ36">
        <v>0</v>
      </c>
      <c r="CA36">
        <v>0</v>
      </c>
      <c r="CB36">
        <v>0</v>
      </c>
      <c r="CC36">
        <v>0</v>
      </c>
      <c r="CD36">
        <v>0</v>
      </c>
      <c r="CE36">
        <v>20887944</v>
      </c>
      <c r="CF36">
        <v>0</v>
      </c>
      <c r="CG36">
        <v>1244388</v>
      </c>
      <c r="CH36">
        <v>0</v>
      </c>
      <c r="CI36">
        <v>0</v>
      </c>
      <c r="CJ36">
        <v>0</v>
      </c>
      <c r="CK36">
        <v>2078673</v>
      </c>
      <c r="CL36">
        <v>0</v>
      </c>
      <c r="CM36">
        <v>0</v>
      </c>
      <c r="CN36">
        <v>0</v>
      </c>
      <c r="CO36">
        <v>0</v>
      </c>
      <c r="CP36">
        <v>0</v>
      </c>
      <c r="CQ36">
        <v>0</v>
      </c>
      <c r="CR36">
        <v>0</v>
      </c>
      <c r="CS36">
        <v>0</v>
      </c>
    </row>
    <row r="37" spans="1:97" x14ac:dyDescent="0.3">
      <c r="A37" s="155">
        <v>61</v>
      </c>
      <c r="B37" t="s">
        <v>254</v>
      </c>
      <c r="D37">
        <v>91.19</v>
      </c>
      <c r="E37">
        <v>99.81</v>
      </c>
      <c r="F37">
        <v>96.49</v>
      </c>
      <c r="G37">
        <v>98.65</v>
      </c>
      <c r="H37">
        <v>99.83</v>
      </c>
      <c r="I37">
        <v>98.32</v>
      </c>
      <c r="J37">
        <v>99.21</v>
      </c>
      <c r="K37">
        <v>98</v>
      </c>
      <c r="L37">
        <v>96.55</v>
      </c>
      <c r="M37">
        <v>99.13</v>
      </c>
      <c r="N37">
        <v>99.41</v>
      </c>
      <c r="O37">
        <v>99.46</v>
      </c>
      <c r="P37">
        <v>0</v>
      </c>
      <c r="Q37">
        <v>98.34</v>
      </c>
      <c r="R37">
        <v>97.37</v>
      </c>
      <c r="S37">
        <v>97.09</v>
      </c>
      <c r="T37">
        <v>99.41</v>
      </c>
      <c r="U37">
        <v>99.78</v>
      </c>
      <c r="V37">
        <v>99.47</v>
      </c>
      <c r="W37">
        <v>98.37</v>
      </c>
      <c r="X37">
        <v>99.34</v>
      </c>
      <c r="Y37">
        <v>0</v>
      </c>
      <c r="Z37">
        <v>97.89</v>
      </c>
      <c r="AA37">
        <v>97.21</v>
      </c>
      <c r="AB37">
        <v>96.98</v>
      </c>
      <c r="AC37">
        <v>97.21</v>
      </c>
      <c r="AD37">
        <v>97.86</v>
      </c>
      <c r="AE37">
        <v>99.68</v>
      </c>
      <c r="AF37">
        <v>92.23</v>
      </c>
      <c r="AG37">
        <v>98.29</v>
      </c>
      <c r="AH37">
        <v>98.96</v>
      </c>
      <c r="AI37">
        <v>99.86</v>
      </c>
      <c r="AJ37">
        <v>99.84</v>
      </c>
      <c r="AK37">
        <v>95.79</v>
      </c>
      <c r="AL37">
        <v>99.34</v>
      </c>
      <c r="AM37">
        <v>99.36</v>
      </c>
      <c r="AN37">
        <v>98.02</v>
      </c>
      <c r="AO37">
        <v>96.88</v>
      </c>
      <c r="AP37">
        <v>99.14</v>
      </c>
      <c r="AQ37">
        <v>98.25</v>
      </c>
      <c r="AR37">
        <v>97.82</v>
      </c>
      <c r="AS37">
        <v>97.01</v>
      </c>
      <c r="AT37">
        <v>95.7</v>
      </c>
      <c r="AU37">
        <v>97.51</v>
      </c>
      <c r="AV37">
        <v>99.38</v>
      </c>
      <c r="AW37">
        <v>97.36</v>
      </c>
      <c r="AX37">
        <v>98.31</v>
      </c>
      <c r="AY37">
        <v>93.8</v>
      </c>
      <c r="AZ37">
        <v>93.31</v>
      </c>
      <c r="BA37">
        <v>99.73</v>
      </c>
      <c r="BB37">
        <v>99.19</v>
      </c>
      <c r="BC37">
        <v>94.23</v>
      </c>
      <c r="BD37">
        <v>98.23</v>
      </c>
      <c r="BE37">
        <v>97.62</v>
      </c>
      <c r="BF37">
        <v>99.95</v>
      </c>
      <c r="BG37">
        <v>98.3</v>
      </c>
      <c r="BH37">
        <v>97.68</v>
      </c>
      <c r="BI37">
        <v>97.87</v>
      </c>
      <c r="BJ37">
        <v>98.77</v>
      </c>
      <c r="BK37">
        <v>98.01</v>
      </c>
      <c r="BL37">
        <v>90.6</v>
      </c>
      <c r="BM37">
        <v>99.99</v>
      </c>
      <c r="BN37">
        <v>97.4</v>
      </c>
      <c r="BO37">
        <v>98.58</v>
      </c>
      <c r="BP37">
        <v>98.75</v>
      </c>
      <c r="BQ37">
        <v>99.56</v>
      </c>
      <c r="BR37">
        <v>96</v>
      </c>
      <c r="BS37">
        <v>99.64</v>
      </c>
      <c r="BT37">
        <v>0</v>
      </c>
      <c r="BU37">
        <v>0</v>
      </c>
      <c r="BV37">
        <v>98.68</v>
      </c>
      <c r="BW37">
        <v>99.93</v>
      </c>
      <c r="BX37">
        <v>95.43</v>
      </c>
      <c r="BY37">
        <v>97.63</v>
      </c>
      <c r="BZ37">
        <v>98.28</v>
      </c>
      <c r="CA37">
        <v>99.06</v>
      </c>
      <c r="CB37">
        <v>99.67</v>
      </c>
      <c r="CC37">
        <v>95.14</v>
      </c>
      <c r="CD37">
        <v>99.04</v>
      </c>
      <c r="CE37">
        <v>98.69</v>
      </c>
      <c r="CF37">
        <v>99.77</v>
      </c>
      <c r="CG37">
        <v>98.45</v>
      </c>
      <c r="CH37">
        <v>96.03</v>
      </c>
      <c r="CI37">
        <v>99.26</v>
      </c>
      <c r="CJ37">
        <v>99.38</v>
      </c>
      <c r="CK37">
        <v>99.53</v>
      </c>
      <c r="CL37">
        <v>96.2</v>
      </c>
      <c r="CM37">
        <v>99.75</v>
      </c>
      <c r="CN37">
        <v>89.93</v>
      </c>
      <c r="CO37">
        <v>99.83</v>
      </c>
      <c r="CP37">
        <v>98.07</v>
      </c>
      <c r="CQ37">
        <v>98.01</v>
      </c>
      <c r="CR37">
        <v>98.91</v>
      </c>
      <c r="CS37">
        <v>99.55</v>
      </c>
    </row>
    <row r="38" spans="1:97" x14ac:dyDescent="0.3">
      <c r="A38" s="155">
        <v>80</v>
      </c>
      <c r="B38" t="s">
        <v>209</v>
      </c>
      <c r="D38">
        <v>0</v>
      </c>
      <c r="E38">
        <v>0</v>
      </c>
      <c r="F38">
        <v>488129</v>
      </c>
      <c r="G38">
        <v>0</v>
      </c>
      <c r="H38">
        <v>0</v>
      </c>
      <c r="I38">
        <v>723587</v>
      </c>
      <c r="J38">
        <v>1221958</v>
      </c>
      <c r="K38">
        <v>2212760</v>
      </c>
      <c r="L38">
        <v>81342</v>
      </c>
      <c r="M38">
        <v>18109687</v>
      </c>
      <c r="N38">
        <v>512741</v>
      </c>
      <c r="O38">
        <v>0</v>
      </c>
      <c r="P38">
        <v>1537148</v>
      </c>
      <c r="Q38">
        <v>169636</v>
      </c>
      <c r="R38">
        <v>0</v>
      </c>
      <c r="S38">
        <v>83714</v>
      </c>
      <c r="T38">
        <v>0</v>
      </c>
      <c r="U38">
        <v>0</v>
      </c>
      <c r="V38">
        <v>0</v>
      </c>
      <c r="W38">
        <v>11981147</v>
      </c>
      <c r="X38">
        <v>0</v>
      </c>
      <c r="Y38">
        <v>2600241</v>
      </c>
      <c r="Z38">
        <v>0</v>
      </c>
      <c r="AA38">
        <v>2251053</v>
      </c>
      <c r="AB38">
        <v>0</v>
      </c>
      <c r="AC38">
        <v>2003582</v>
      </c>
      <c r="AD38">
        <v>2318513</v>
      </c>
      <c r="AE38">
        <v>362668</v>
      </c>
      <c r="AF38">
        <v>302526</v>
      </c>
      <c r="AG38">
        <v>11053413</v>
      </c>
      <c r="AH38">
        <v>0</v>
      </c>
      <c r="AI38">
        <v>1993363</v>
      </c>
      <c r="AJ38">
        <v>0</v>
      </c>
      <c r="AK38">
        <v>391482</v>
      </c>
      <c r="AL38">
        <v>1348107</v>
      </c>
      <c r="AM38">
        <v>1593356</v>
      </c>
      <c r="AN38">
        <v>455348</v>
      </c>
      <c r="AO38">
        <v>0</v>
      </c>
      <c r="AP38">
        <v>62411</v>
      </c>
      <c r="AQ38">
        <v>0</v>
      </c>
      <c r="AR38">
        <v>1381860</v>
      </c>
      <c r="AS38">
        <v>72906</v>
      </c>
      <c r="AT38">
        <v>0</v>
      </c>
      <c r="AU38">
        <v>0</v>
      </c>
      <c r="AV38">
        <v>0</v>
      </c>
      <c r="AW38">
        <v>0</v>
      </c>
      <c r="AX38">
        <v>206599</v>
      </c>
      <c r="AY38">
        <v>2749097</v>
      </c>
      <c r="AZ38">
        <v>454718</v>
      </c>
      <c r="BA38">
        <v>0</v>
      </c>
      <c r="BB38">
        <v>0</v>
      </c>
      <c r="BC38">
        <v>2939985</v>
      </c>
      <c r="BD38">
        <v>0</v>
      </c>
      <c r="BE38">
        <v>1623940</v>
      </c>
      <c r="BF38">
        <v>473822</v>
      </c>
      <c r="BG38">
        <v>188522</v>
      </c>
      <c r="BH38">
        <v>469415</v>
      </c>
      <c r="BI38">
        <v>2619043</v>
      </c>
      <c r="BJ38">
        <v>6542454</v>
      </c>
      <c r="BK38">
        <v>0</v>
      </c>
      <c r="BL38">
        <v>0</v>
      </c>
      <c r="BM38">
        <v>0</v>
      </c>
      <c r="BN38">
        <v>4607533</v>
      </c>
      <c r="BO38">
        <v>4737086</v>
      </c>
      <c r="BP38">
        <v>0</v>
      </c>
      <c r="BQ38">
        <v>0</v>
      </c>
      <c r="BR38">
        <v>2689692</v>
      </c>
      <c r="BS38">
        <v>0</v>
      </c>
      <c r="BT38">
        <v>0</v>
      </c>
      <c r="BU38">
        <v>0</v>
      </c>
      <c r="BV38">
        <v>919874</v>
      </c>
      <c r="BW38">
        <v>0</v>
      </c>
      <c r="BX38">
        <v>111326</v>
      </c>
      <c r="BY38">
        <v>2932527</v>
      </c>
      <c r="BZ38">
        <v>2314701</v>
      </c>
      <c r="CA38">
        <v>83006</v>
      </c>
      <c r="CB38">
        <v>602994</v>
      </c>
      <c r="CC38">
        <v>7559689</v>
      </c>
      <c r="CD38">
        <v>0</v>
      </c>
      <c r="CE38">
        <v>20168564</v>
      </c>
      <c r="CF38">
        <v>46488</v>
      </c>
      <c r="CG38">
        <v>1495694</v>
      </c>
      <c r="CH38">
        <v>42702</v>
      </c>
      <c r="CI38">
        <v>1072629</v>
      </c>
      <c r="CJ38">
        <v>86145069</v>
      </c>
      <c r="CK38">
        <v>2342685</v>
      </c>
      <c r="CL38">
        <v>1126162</v>
      </c>
      <c r="CM38">
        <v>0</v>
      </c>
      <c r="CN38">
        <v>647779</v>
      </c>
      <c r="CO38">
        <v>8753013</v>
      </c>
      <c r="CP38">
        <v>3515215</v>
      </c>
      <c r="CQ38">
        <v>1910455</v>
      </c>
      <c r="CR38">
        <v>0</v>
      </c>
      <c r="CS38">
        <v>0</v>
      </c>
    </row>
    <row r="39" spans="1:97" x14ac:dyDescent="0.3">
      <c r="A39" s="155">
        <v>81</v>
      </c>
      <c r="B39" t="s">
        <v>210</v>
      </c>
      <c r="D39">
        <v>0</v>
      </c>
      <c r="E39">
        <v>0</v>
      </c>
      <c r="F39">
        <v>131592</v>
      </c>
      <c r="G39">
        <v>0</v>
      </c>
      <c r="H39">
        <v>0</v>
      </c>
      <c r="I39">
        <v>41158</v>
      </c>
      <c r="J39">
        <v>379161</v>
      </c>
      <c r="K39">
        <v>115567</v>
      </c>
      <c r="L39">
        <v>112405</v>
      </c>
      <c r="M39">
        <v>1884876</v>
      </c>
      <c r="N39">
        <v>57497</v>
      </c>
      <c r="O39">
        <v>0</v>
      </c>
      <c r="P39">
        <v>49943</v>
      </c>
      <c r="Q39">
        <v>69326</v>
      </c>
      <c r="R39">
        <v>0</v>
      </c>
      <c r="S39">
        <v>27729</v>
      </c>
      <c r="T39">
        <v>0</v>
      </c>
      <c r="U39">
        <v>0</v>
      </c>
      <c r="V39">
        <v>0</v>
      </c>
      <c r="W39">
        <v>508303</v>
      </c>
      <c r="X39">
        <v>0</v>
      </c>
      <c r="Y39">
        <v>143626</v>
      </c>
      <c r="Z39">
        <v>0</v>
      </c>
      <c r="AA39">
        <v>54399</v>
      </c>
      <c r="AB39">
        <v>0</v>
      </c>
      <c r="AC39">
        <v>579417</v>
      </c>
      <c r="AD39">
        <v>127523</v>
      </c>
      <c r="AE39">
        <v>22470</v>
      </c>
      <c r="AF39">
        <v>0</v>
      </c>
      <c r="AG39">
        <v>1925754</v>
      </c>
      <c r="AH39">
        <v>0</v>
      </c>
      <c r="AI39">
        <v>246267</v>
      </c>
      <c r="AJ39">
        <v>0</v>
      </c>
      <c r="AK39">
        <v>14675</v>
      </c>
      <c r="AL39">
        <v>106885</v>
      </c>
      <c r="AM39">
        <v>361998</v>
      </c>
      <c r="AN39">
        <v>402137</v>
      </c>
      <c r="AO39">
        <v>260408</v>
      </c>
      <c r="AP39">
        <v>7041</v>
      </c>
      <c r="AQ39">
        <v>0</v>
      </c>
      <c r="AR39">
        <v>582893</v>
      </c>
      <c r="AS39">
        <v>30173</v>
      </c>
      <c r="AT39">
        <v>0</v>
      </c>
      <c r="AU39">
        <v>0</v>
      </c>
      <c r="AV39">
        <v>0</v>
      </c>
      <c r="AW39">
        <v>0</v>
      </c>
      <c r="AX39">
        <v>10878</v>
      </c>
      <c r="AY39">
        <v>304681</v>
      </c>
      <c r="AZ39">
        <v>16672</v>
      </c>
      <c r="BA39">
        <v>0</v>
      </c>
      <c r="BB39">
        <v>0</v>
      </c>
      <c r="BC39">
        <v>749553</v>
      </c>
      <c r="BD39">
        <v>0</v>
      </c>
      <c r="BE39">
        <v>209011</v>
      </c>
      <c r="BF39">
        <v>40647</v>
      </c>
      <c r="BG39">
        <v>16004</v>
      </c>
      <c r="BH39">
        <v>192826</v>
      </c>
      <c r="BI39">
        <v>190251</v>
      </c>
      <c r="BJ39">
        <v>973546</v>
      </c>
      <c r="BK39">
        <v>0</v>
      </c>
      <c r="BL39">
        <v>0</v>
      </c>
      <c r="BM39">
        <v>0</v>
      </c>
      <c r="BN39">
        <v>1024864</v>
      </c>
      <c r="BO39">
        <v>432741</v>
      </c>
      <c r="BP39">
        <v>0</v>
      </c>
      <c r="BQ39">
        <v>0</v>
      </c>
      <c r="BR39">
        <v>187178</v>
      </c>
      <c r="BS39">
        <v>0</v>
      </c>
      <c r="BT39">
        <v>0</v>
      </c>
      <c r="BU39">
        <v>0</v>
      </c>
      <c r="BV39">
        <v>81699</v>
      </c>
      <c r="BW39">
        <v>0</v>
      </c>
      <c r="BX39">
        <v>54235</v>
      </c>
      <c r="BY39">
        <v>231753</v>
      </c>
      <c r="BZ39">
        <v>542262</v>
      </c>
      <c r="CA39">
        <v>3250</v>
      </c>
      <c r="CB39">
        <v>783224</v>
      </c>
      <c r="CC39">
        <v>360176</v>
      </c>
      <c r="CD39">
        <v>0</v>
      </c>
      <c r="CE39">
        <v>3386392</v>
      </c>
      <c r="CF39">
        <v>5360</v>
      </c>
      <c r="CG39">
        <v>144100</v>
      </c>
      <c r="CH39">
        <v>38506</v>
      </c>
      <c r="CI39">
        <v>225997</v>
      </c>
      <c r="CJ39">
        <v>16596363</v>
      </c>
      <c r="CK39">
        <v>482599</v>
      </c>
      <c r="CL39">
        <v>89685</v>
      </c>
      <c r="CM39">
        <v>0</v>
      </c>
      <c r="CN39">
        <v>32339</v>
      </c>
      <c r="CO39">
        <v>759085</v>
      </c>
      <c r="CP39">
        <v>374567</v>
      </c>
      <c r="CQ39">
        <v>412136</v>
      </c>
      <c r="CR39">
        <v>0</v>
      </c>
      <c r="CS39">
        <v>0</v>
      </c>
    </row>
    <row r="40" spans="1:97" x14ac:dyDescent="0.3">
      <c r="A40" s="155">
        <v>82</v>
      </c>
      <c r="B40" t="s">
        <v>309</v>
      </c>
      <c r="D40">
        <v>0</v>
      </c>
      <c r="E40">
        <v>0</v>
      </c>
      <c r="F40">
        <v>96192</v>
      </c>
      <c r="G40">
        <v>0</v>
      </c>
      <c r="H40">
        <v>0</v>
      </c>
      <c r="I40">
        <v>0</v>
      </c>
      <c r="J40">
        <v>4703723</v>
      </c>
      <c r="K40">
        <v>2422444</v>
      </c>
      <c r="L40">
        <v>0</v>
      </c>
      <c r="M40">
        <v>25933690</v>
      </c>
      <c r="N40">
        <v>636600</v>
      </c>
      <c r="O40">
        <v>0</v>
      </c>
      <c r="P40">
        <v>0</v>
      </c>
      <c r="Q40">
        <v>1046117</v>
      </c>
      <c r="R40">
        <v>0</v>
      </c>
      <c r="S40">
        <v>503556</v>
      </c>
      <c r="T40">
        <v>0</v>
      </c>
      <c r="U40">
        <v>0</v>
      </c>
      <c r="V40">
        <v>0</v>
      </c>
      <c r="W40">
        <v>14034421</v>
      </c>
      <c r="X40">
        <v>0</v>
      </c>
      <c r="Y40">
        <v>0</v>
      </c>
      <c r="Z40">
        <v>0</v>
      </c>
      <c r="AA40">
        <v>994887</v>
      </c>
      <c r="AB40">
        <v>0</v>
      </c>
      <c r="AC40">
        <v>376003</v>
      </c>
      <c r="AD40">
        <v>3947681</v>
      </c>
      <c r="AE40">
        <v>963000</v>
      </c>
      <c r="AF40">
        <v>0</v>
      </c>
      <c r="AG40">
        <v>32882382</v>
      </c>
      <c r="AH40">
        <v>0</v>
      </c>
      <c r="AI40">
        <v>2707071</v>
      </c>
      <c r="AJ40">
        <v>0</v>
      </c>
      <c r="AK40">
        <v>0</v>
      </c>
      <c r="AL40">
        <v>12281796</v>
      </c>
      <c r="AM40">
        <v>205711</v>
      </c>
      <c r="AN40">
        <v>622832</v>
      </c>
      <c r="AO40">
        <v>2424543</v>
      </c>
      <c r="AP40">
        <v>7641</v>
      </c>
      <c r="AQ40">
        <v>0</v>
      </c>
      <c r="AR40">
        <v>5061436</v>
      </c>
      <c r="AS40">
        <v>821517</v>
      </c>
      <c r="AT40">
        <v>0</v>
      </c>
      <c r="AU40">
        <v>0</v>
      </c>
      <c r="AV40">
        <v>0</v>
      </c>
      <c r="AW40">
        <v>0</v>
      </c>
      <c r="AX40">
        <v>44500</v>
      </c>
      <c r="AY40">
        <v>798461</v>
      </c>
      <c r="AZ40">
        <v>0</v>
      </c>
      <c r="BA40">
        <v>0</v>
      </c>
      <c r="BB40">
        <v>247824</v>
      </c>
      <c r="BC40">
        <v>5044991</v>
      </c>
      <c r="BD40">
        <v>0</v>
      </c>
      <c r="BE40">
        <v>441436</v>
      </c>
      <c r="BF40">
        <v>312979</v>
      </c>
      <c r="BG40">
        <v>29647</v>
      </c>
      <c r="BH40">
        <v>3618057</v>
      </c>
      <c r="BI40">
        <v>4587795</v>
      </c>
      <c r="BJ40">
        <v>1497405</v>
      </c>
      <c r="BK40">
        <v>0</v>
      </c>
      <c r="BL40">
        <v>0</v>
      </c>
      <c r="BM40">
        <v>0</v>
      </c>
      <c r="BN40">
        <v>746136</v>
      </c>
      <c r="BO40">
        <v>4120000</v>
      </c>
      <c r="BP40">
        <v>0</v>
      </c>
      <c r="BQ40">
        <v>0</v>
      </c>
      <c r="BR40">
        <v>0</v>
      </c>
      <c r="BS40">
        <v>798934</v>
      </c>
      <c r="BT40">
        <v>0</v>
      </c>
      <c r="BU40">
        <v>0</v>
      </c>
      <c r="BV40">
        <v>773840</v>
      </c>
      <c r="BW40">
        <v>0</v>
      </c>
      <c r="BX40">
        <v>694896</v>
      </c>
      <c r="BY40">
        <v>1742822</v>
      </c>
      <c r="BZ40">
        <v>1900783</v>
      </c>
      <c r="CA40">
        <v>0</v>
      </c>
      <c r="CB40">
        <v>6515369</v>
      </c>
      <c r="CC40">
        <v>7548517</v>
      </c>
      <c r="CD40">
        <v>0</v>
      </c>
      <c r="CE40">
        <v>12286165</v>
      </c>
      <c r="CF40">
        <v>0</v>
      </c>
      <c r="CG40">
        <v>523253</v>
      </c>
      <c r="CH40">
        <v>593682</v>
      </c>
      <c r="CI40">
        <v>3380266</v>
      </c>
      <c r="CJ40">
        <v>491674893</v>
      </c>
      <c r="CK40">
        <v>4523240</v>
      </c>
      <c r="CL40">
        <v>69618</v>
      </c>
      <c r="CM40">
        <v>0</v>
      </c>
      <c r="CN40">
        <v>407835</v>
      </c>
      <c r="CO40">
        <v>0</v>
      </c>
      <c r="CP40">
        <v>0</v>
      </c>
      <c r="CQ40">
        <v>2316224</v>
      </c>
      <c r="CR40">
        <v>0</v>
      </c>
      <c r="CS40">
        <v>0</v>
      </c>
    </row>
    <row r="41" spans="1:97" x14ac:dyDescent="0.3">
      <c r="A41" s="155">
        <v>83</v>
      </c>
      <c r="B41" t="s">
        <v>94</v>
      </c>
      <c r="D41">
        <v>0</v>
      </c>
      <c r="E41">
        <v>0</v>
      </c>
      <c r="F41">
        <v>5329014</v>
      </c>
      <c r="G41">
        <v>0</v>
      </c>
      <c r="H41">
        <v>0</v>
      </c>
      <c r="I41">
        <v>4334642</v>
      </c>
      <c r="J41">
        <v>10514774</v>
      </c>
      <c r="K41">
        <v>6739867</v>
      </c>
      <c r="L41">
        <v>1044030</v>
      </c>
      <c r="M41">
        <v>58805289</v>
      </c>
      <c r="N41">
        <v>3563613</v>
      </c>
      <c r="O41">
        <v>0</v>
      </c>
      <c r="P41">
        <v>4438191</v>
      </c>
      <c r="Q41">
        <v>6917074</v>
      </c>
      <c r="R41">
        <v>0</v>
      </c>
      <c r="S41">
        <v>3831214</v>
      </c>
      <c r="T41">
        <v>0</v>
      </c>
      <c r="U41">
        <v>0</v>
      </c>
      <c r="V41">
        <v>0</v>
      </c>
      <c r="W41">
        <v>41407698</v>
      </c>
      <c r="X41">
        <v>0</v>
      </c>
      <c r="Y41">
        <v>5619600</v>
      </c>
      <c r="Z41">
        <v>0</v>
      </c>
      <c r="AA41">
        <v>11789595</v>
      </c>
      <c r="AB41">
        <v>0</v>
      </c>
      <c r="AC41">
        <v>9391385</v>
      </c>
      <c r="AD41">
        <v>11502586</v>
      </c>
      <c r="AE41">
        <v>1350027</v>
      </c>
      <c r="AF41">
        <v>2531093</v>
      </c>
      <c r="AG41">
        <v>21279144</v>
      </c>
      <c r="AH41">
        <v>0</v>
      </c>
      <c r="AI41">
        <v>4683227</v>
      </c>
      <c r="AJ41">
        <v>0</v>
      </c>
      <c r="AK41">
        <v>5942042</v>
      </c>
      <c r="AL41">
        <v>11516959</v>
      </c>
      <c r="AM41">
        <v>15271806</v>
      </c>
      <c r="AN41">
        <v>7747486</v>
      </c>
      <c r="AO41">
        <v>3164116</v>
      </c>
      <c r="AP41">
        <v>177249</v>
      </c>
      <c r="AQ41">
        <v>0</v>
      </c>
      <c r="AR41">
        <v>22478620</v>
      </c>
      <c r="AS41">
        <v>2200260</v>
      </c>
      <c r="AT41">
        <v>0</v>
      </c>
      <c r="AU41">
        <v>0</v>
      </c>
      <c r="AV41">
        <v>0</v>
      </c>
      <c r="AW41">
        <v>0</v>
      </c>
      <c r="AX41">
        <v>452303</v>
      </c>
      <c r="AY41">
        <v>12417171</v>
      </c>
      <c r="AZ41">
        <v>3435174</v>
      </c>
      <c r="BA41">
        <v>0</v>
      </c>
      <c r="BB41">
        <v>208401</v>
      </c>
      <c r="BC41">
        <v>18180637</v>
      </c>
      <c r="BD41">
        <v>0</v>
      </c>
      <c r="BE41">
        <v>4544951</v>
      </c>
      <c r="BF41">
        <v>3305269</v>
      </c>
      <c r="BG41">
        <v>1387218</v>
      </c>
      <c r="BH41">
        <v>7665521</v>
      </c>
      <c r="BI41">
        <v>16125319</v>
      </c>
      <c r="BJ41">
        <v>35980873</v>
      </c>
      <c r="BK41">
        <v>0</v>
      </c>
      <c r="BL41">
        <v>0</v>
      </c>
      <c r="BM41">
        <v>0</v>
      </c>
      <c r="BN41">
        <v>23569277</v>
      </c>
      <c r="BO41">
        <v>10423656</v>
      </c>
      <c r="BP41">
        <v>0</v>
      </c>
      <c r="BQ41">
        <v>0</v>
      </c>
      <c r="BR41">
        <v>9238307</v>
      </c>
      <c r="BS41">
        <v>0</v>
      </c>
      <c r="BT41">
        <v>0</v>
      </c>
      <c r="BU41">
        <v>0</v>
      </c>
      <c r="BV41">
        <v>9861648</v>
      </c>
      <c r="BW41">
        <v>0</v>
      </c>
      <c r="BX41">
        <v>1854905</v>
      </c>
      <c r="BY41">
        <v>6606315</v>
      </c>
      <c r="BZ41">
        <v>16400901</v>
      </c>
      <c r="CA41">
        <v>682082</v>
      </c>
      <c r="CB41">
        <v>36105538</v>
      </c>
      <c r="CC41">
        <v>13590043</v>
      </c>
      <c r="CD41">
        <v>0</v>
      </c>
      <c r="CE41">
        <v>144999041</v>
      </c>
      <c r="CF41">
        <v>3722628</v>
      </c>
      <c r="CG41">
        <v>6393854</v>
      </c>
      <c r="CH41">
        <v>4169371</v>
      </c>
      <c r="CI41">
        <v>7188692</v>
      </c>
      <c r="CJ41">
        <v>622325786</v>
      </c>
      <c r="CK41">
        <v>5916051</v>
      </c>
      <c r="CL41">
        <v>4135994</v>
      </c>
      <c r="CM41">
        <v>0</v>
      </c>
      <c r="CN41">
        <v>2273294</v>
      </c>
      <c r="CO41">
        <v>13273280</v>
      </c>
      <c r="CP41">
        <v>14482871</v>
      </c>
      <c r="CQ41">
        <v>10224166</v>
      </c>
      <c r="CR41">
        <v>0</v>
      </c>
      <c r="CS41">
        <v>0</v>
      </c>
    </row>
    <row r="42" spans="1:97" x14ac:dyDescent="0.3">
      <c r="A42" s="155">
        <v>84</v>
      </c>
      <c r="B42" t="s">
        <v>218</v>
      </c>
      <c r="D42">
        <v>0</v>
      </c>
      <c r="E42">
        <v>0</v>
      </c>
      <c r="F42">
        <v>889506</v>
      </c>
      <c r="G42">
        <v>0</v>
      </c>
      <c r="H42">
        <v>0</v>
      </c>
      <c r="I42">
        <v>530894</v>
      </c>
      <c r="J42">
        <v>3054515</v>
      </c>
      <c r="K42">
        <v>903849</v>
      </c>
      <c r="L42">
        <v>277352</v>
      </c>
      <c r="M42">
        <v>13046826</v>
      </c>
      <c r="N42">
        <v>559702</v>
      </c>
      <c r="O42">
        <v>0</v>
      </c>
      <c r="P42">
        <v>577565</v>
      </c>
      <c r="Q42">
        <v>628885</v>
      </c>
      <c r="R42">
        <v>0</v>
      </c>
      <c r="S42">
        <v>249897</v>
      </c>
      <c r="T42">
        <v>0</v>
      </c>
      <c r="U42">
        <v>0</v>
      </c>
      <c r="V42">
        <v>0</v>
      </c>
      <c r="W42">
        <v>11751722</v>
      </c>
      <c r="X42">
        <v>0</v>
      </c>
      <c r="Y42">
        <v>1261994</v>
      </c>
      <c r="Z42">
        <v>0</v>
      </c>
      <c r="AA42">
        <v>1742396</v>
      </c>
      <c r="AB42">
        <v>0</v>
      </c>
      <c r="AC42">
        <v>3985792</v>
      </c>
      <c r="AD42">
        <v>2246602</v>
      </c>
      <c r="AE42">
        <v>232239</v>
      </c>
      <c r="AF42">
        <v>339715</v>
      </c>
      <c r="AG42">
        <v>12860263</v>
      </c>
      <c r="AH42">
        <v>0</v>
      </c>
      <c r="AI42">
        <v>1098848</v>
      </c>
      <c r="AJ42">
        <v>0</v>
      </c>
      <c r="AK42">
        <v>151109</v>
      </c>
      <c r="AL42">
        <v>950086</v>
      </c>
      <c r="AM42">
        <v>2663239</v>
      </c>
      <c r="AN42">
        <v>2026747</v>
      </c>
      <c r="AO42">
        <v>1580551</v>
      </c>
      <c r="AP42">
        <v>53651</v>
      </c>
      <c r="AQ42">
        <v>0</v>
      </c>
      <c r="AR42">
        <v>5130346</v>
      </c>
      <c r="AS42">
        <v>582617</v>
      </c>
      <c r="AT42">
        <v>0</v>
      </c>
      <c r="AU42">
        <v>0</v>
      </c>
      <c r="AV42">
        <v>0</v>
      </c>
      <c r="AW42">
        <v>0</v>
      </c>
      <c r="AX42">
        <v>146171</v>
      </c>
      <c r="AY42">
        <v>2853241</v>
      </c>
      <c r="AZ42">
        <v>250798</v>
      </c>
      <c r="BA42">
        <v>0</v>
      </c>
      <c r="BB42">
        <v>0</v>
      </c>
      <c r="BC42">
        <v>4639869</v>
      </c>
      <c r="BD42">
        <v>0</v>
      </c>
      <c r="BE42">
        <v>948394</v>
      </c>
      <c r="BF42">
        <v>502686</v>
      </c>
      <c r="BG42">
        <v>191196</v>
      </c>
      <c r="BH42">
        <v>1392734</v>
      </c>
      <c r="BI42">
        <v>1692845</v>
      </c>
      <c r="BJ42">
        <v>6836044</v>
      </c>
      <c r="BK42">
        <v>0</v>
      </c>
      <c r="BL42">
        <v>0</v>
      </c>
      <c r="BM42">
        <v>0</v>
      </c>
      <c r="BN42">
        <v>6252210</v>
      </c>
      <c r="BO42">
        <v>2522887</v>
      </c>
      <c r="BP42">
        <v>0</v>
      </c>
      <c r="BQ42">
        <v>0</v>
      </c>
      <c r="BR42">
        <v>2012223</v>
      </c>
      <c r="BS42">
        <v>0</v>
      </c>
      <c r="BT42">
        <v>0</v>
      </c>
      <c r="BU42">
        <v>0</v>
      </c>
      <c r="BV42">
        <v>1017983</v>
      </c>
      <c r="BW42">
        <v>0</v>
      </c>
      <c r="BX42">
        <v>446300</v>
      </c>
      <c r="BY42">
        <v>1667472</v>
      </c>
      <c r="BZ42">
        <v>2733688</v>
      </c>
      <c r="CA42">
        <v>22967</v>
      </c>
      <c r="CB42">
        <v>8633633</v>
      </c>
      <c r="CC42">
        <v>4127714</v>
      </c>
      <c r="CD42">
        <v>0</v>
      </c>
      <c r="CE42">
        <v>28215709</v>
      </c>
      <c r="CF42">
        <v>156940</v>
      </c>
      <c r="CG42">
        <v>1246590</v>
      </c>
      <c r="CH42">
        <v>216098</v>
      </c>
      <c r="CI42">
        <v>2002537</v>
      </c>
      <c r="CJ42">
        <v>118156556</v>
      </c>
      <c r="CK42">
        <v>4062622</v>
      </c>
      <c r="CL42">
        <v>577008</v>
      </c>
      <c r="CM42">
        <v>0</v>
      </c>
      <c r="CN42">
        <v>297427</v>
      </c>
      <c r="CO42">
        <v>3710585</v>
      </c>
      <c r="CP42">
        <v>2459446</v>
      </c>
      <c r="CQ42">
        <v>1826724</v>
      </c>
      <c r="CR42">
        <v>0</v>
      </c>
      <c r="CS42">
        <v>0</v>
      </c>
    </row>
    <row r="43" spans="1:97" x14ac:dyDescent="0.3">
      <c r="A43" s="155">
        <v>85</v>
      </c>
      <c r="B43" t="s">
        <v>220</v>
      </c>
      <c r="D43">
        <v>0</v>
      </c>
      <c r="E43">
        <v>0</v>
      </c>
      <c r="F43">
        <v>855076</v>
      </c>
      <c r="G43">
        <v>0</v>
      </c>
      <c r="H43">
        <v>0</v>
      </c>
      <c r="I43">
        <v>548199</v>
      </c>
      <c r="J43">
        <v>2784646</v>
      </c>
      <c r="K43">
        <v>847056</v>
      </c>
      <c r="L43">
        <v>299384</v>
      </c>
      <c r="M43">
        <v>12589850</v>
      </c>
      <c r="N43">
        <v>837946</v>
      </c>
      <c r="O43">
        <v>0</v>
      </c>
      <c r="P43">
        <v>573234</v>
      </c>
      <c r="Q43">
        <v>773276</v>
      </c>
      <c r="R43">
        <v>0</v>
      </c>
      <c r="S43">
        <v>276224</v>
      </c>
      <c r="T43">
        <v>0</v>
      </c>
      <c r="U43">
        <v>0</v>
      </c>
      <c r="V43">
        <v>0</v>
      </c>
      <c r="W43">
        <v>4020098</v>
      </c>
      <c r="X43">
        <v>0</v>
      </c>
      <c r="Y43">
        <v>1154748</v>
      </c>
      <c r="Z43">
        <v>0</v>
      </c>
      <c r="AA43">
        <v>1634770</v>
      </c>
      <c r="AB43">
        <v>0</v>
      </c>
      <c r="AC43">
        <v>5176190</v>
      </c>
      <c r="AD43">
        <v>2816505</v>
      </c>
      <c r="AE43">
        <v>280435</v>
      </c>
      <c r="AF43">
        <v>347216</v>
      </c>
      <c r="AG43">
        <v>11259482</v>
      </c>
      <c r="AH43">
        <v>0</v>
      </c>
      <c r="AI43">
        <v>712728</v>
      </c>
      <c r="AJ43">
        <v>0</v>
      </c>
      <c r="AK43">
        <v>265854</v>
      </c>
      <c r="AL43">
        <v>2202309</v>
      </c>
      <c r="AM43">
        <v>2374581</v>
      </c>
      <c r="AN43">
        <v>1986318</v>
      </c>
      <c r="AO43">
        <v>2054545</v>
      </c>
      <c r="AP43">
        <v>46797</v>
      </c>
      <c r="AQ43">
        <v>0</v>
      </c>
      <c r="AR43">
        <v>5237551</v>
      </c>
      <c r="AS43">
        <v>683896</v>
      </c>
      <c r="AT43">
        <v>0</v>
      </c>
      <c r="AU43">
        <v>0</v>
      </c>
      <c r="AV43">
        <v>0</v>
      </c>
      <c r="AW43">
        <v>0</v>
      </c>
      <c r="AX43">
        <v>139772</v>
      </c>
      <c r="AY43">
        <v>2887699</v>
      </c>
      <c r="AZ43">
        <v>296172</v>
      </c>
      <c r="BA43">
        <v>0</v>
      </c>
      <c r="BB43">
        <v>0</v>
      </c>
      <c r="BC43">
        <v>3474993</v>
      </c>
      <c r="BD43">
        <v>0</v>
      </c>
      <c r="BE43">
        <v>902747</v>
      </c>
      <c r="BF43">
        <v>538654</v>
      </c>
      <c r="BG43">
        <v>252064</v>
      </c>
      <c r="BH43">
        <v>1544641</v>
      </c>
      <c r="BI43">
        <v>1873016</v>
      </c>
      <c r="BJ43">
        <v>7306983</v>
      </c>
      <c r="BK43">
        <v>0</v>
      </c>
      <c r="BL43">
        <v>0</v>
      </c>
      <c r="BM43">
        <v>0</v>
      </c>
      <c r="BN43">
        <v>5694246</v>
      </c>
      <c r="BO43">
        <v>1924960</v>
      </c>
      <c r="BP43">
        <v>0</v>
      </c>
      <c r="BQ43">
        <v>0</v>
      </c>
      <c r="BR43">
        <v>1749153</v>
      </c>
      <c r="BS43">
        <v>0</v>
      </c>
      <c r="BT43">
        <v>0</v>
      </c>
      <c r="BU43">
        <v>0</v>
      </c>
      <c r="BV43">
        <v>1153772</v>
      </c>
      <c r="BW43">
        <v>0</v>
      </c>
      <c r="BX43">
        <v>581163</v>
      </c>
      <c r="BY43">
        <v>1172450</v>
      </c>
      <c r="BZ43">
        <v>2680197</v>
      </c>
      <c r="CA43">
        <v>36947</v>
      </c>
      <c r="CB43">
        <v>8094680</v>
      </c>
      <c r="CC43">
        <v>4105987</v>
      </c>
      <c r="CD43">
        <v>0</v>
      </c>
      <c r="CE43">
        <v>24278166</v>
      </c>
      <c r="CF43">
        <v>174691</v>
      </c>
      <c r="CG43">
        <v>1078512</v>
      </c>
      <c r="CH43">
        <v>309226</v>
      </c>
      <c r="CI43">
        <v>1816560</v>
      </c>
      <c r="CJ43">
        <v>78977796</v>
      </c>
      <c r="CK43">
        <v>3459298</v>
      </c>
      <c r="CL43">
        <v>615214</v>
      </c>
      <c r="CM43">
        <v>0</v>
      </c>
      <c r="CN43">
        <v>357160</v>
      </c>
      <c r="CO43">
        <v>2309935</v>
      </c>
      <c r="CP43">
        <v>2801471</v>
      </c>
      <c r="CQ43">
        <v>1784462</v>
      </c>
      <c r="CR43">
        <v>0</v>
      </c>
      <c r="CS43">
        <v>0</v>
      </c>
    </row>
    <row r="44" spans="1:97" x14ac:dyDescent="0.3">
      <c r="A44" s="155">
        <v>88</v>
      </c>
      <c r="B44" t="s">
        <v>217</v>
      </c>
      <c r="D44">
        <v>0</v>
      </c>
      <c r="E44">
        <v>0</v>
      </c>
      <c r="F44">
        <v>868435</v>
      </c>
      <c r="G44">
        <v>0</v>
      </c>
      <c r="H44">
        <v>0</v>
      </c>
      <c r="I44">
        <v>439550</v>
      </c>
      <c r="J44">
        <v>2305384</v>
      </c>
      <c r="K44">
        <v>903849</v>
      </c>
      <c r="L44">
        <v>270482</v>
      </c>
      <c r="M44">
        <v>11946351</v>
      </c>
      <c r="N44">
        <v>506613</v>
      </c>
      <c r="O44">
        <v>0</v>
      </c>
      <c r="P44">
        <v>445476</v>
      </c>
      <c r="Q44">
        <v>606208</v>
      </c>
      <c r="R44">
        <v>0</v>
      </c>
      <c r="S44">
        <v>247397</v>
      </c>
      <c r="T44">
        <v>0</v>
      </c>
      <c r="U44">
        <v>0</v>
      </c>
      <c r="V44">
        <v>0</v>
      </c>
      <c r="W44">
        <v>5003060</v>
      </c>
      <c r="X44">
        <v>0</v>
      </c>
      <c r="Y44">
        <v>1218494</v>
      </c>
      <c r="Z44">
        <v>0</v>
      </c>
      <c r="AA44">
        <v>1676876</v>
      </c>
      <c r="AB44">
        <v>0</v>
      </c>
      <c r="AC44">
        <v>3904991</v>
      </c>
      <c r="AD44">
        <v>2236660</v>
      </c>
      <c r="AE44">
        <v>225869</v>
      </c>
      <c r="AF44">
        <v>305215</v>
      </c>
      <c r="AG44">
        <v>12169758</v>
      </c>
      <c r="AH44">
        <v>0</v>
      </c>
      <c r="AI44">
        <v>1049427</v>
      </c>
      <c r="AJ44">
        <v>0</v>
      </c>
      <c r="AK44">
        <v>144720</v>
      </c>
      <c r="AL44">
        <v>883162</v>
      </c>
      <c r="AM44">
        <v>2546042</v>
      </c>
      <c r="AN44">
        <v>1746039</v>
      </c>
      <c r="AO44">
        <v>1564388</v>
      </c>
      <c r="AP44">
        <v>52492</v>
      </c>
      <c r="AQ44">
        <v>0</v>
      </c>
      <c r="AR44">
        <v>4589596</v>
      </c>
      <c r="AS44">
        <v>582617</v>
      </c>
      <c r="AT44">
        <v>0</v>
      </c>
      <c r="AU44">
        <v>0</v>
      </c>
      <c r="AV44">
        <v>0</v>
      </c>
      <c r="AW44">
        <v>0</v>
      </c>
      <c r="AX44">
        <v>123798</v>
      </c>
      <c r="AY44">
        <v>2770031</v>
      </c>
      <c r="AZ44">
        <v>239379</v>
      </c>
      <c r="BA44">
        <v>0</v>
      </c>
      <c r="BB44">
        <v>0</v>
      </c>
      <c r="BC44">
        <v>3745804</v>
      </c>
      <c r="BD44">
        <v>0</v>
      </c>
      <c r="BE44">
        <v>931232</v>
      </c>
      <c r="BF44">
        <v>494451</v>
      </c>
      <c r="BG44">
        <v>183997</v>
      </c>
      <c r="BH44">
        <v>1391730</v>
      </c>
      <c r="BI44">
        <v>1478661</v>
      </c>
      <c r="BJ44">
        <v>6652778</v>
      </c>
      <c r="BK44">
        <v>0</v>
      </c>
      <c r="BL44">
        <v>0</v>
      </c>
      <c r="BM44">
        <v>0</v>
      </c>
      <c r="BN44">
        <v>6252210</v>
      </c>
      <c r="BO44">
        <v>2118474</v>
      </c>
      <c r="BP44">
        <v>0</v>
      </c>
      <c r="BQ44">
        <v>0</v>
      </c>
      <c r="BR44">
        <v>2006635</v>
      </c>
      <c r="BS44">
        <v>0</v>
      </c>
      <c r="BT44">
        <v>0</v>
      </c>
      <c r="BU44">
        <v>0</v>
      </c>
      <c r="BV44">
        <v>989814</v>
      </c>
      <c r="BW44">
        <v>0</v>
      </c>
      <c r="BX44">
        <v>445208</v>
      </c>
      <c r="BY44">
        <v>1667472</v>
      </c>
      <c r="BZ44">
        <v>2655675</v>
      </c>
      <c r="CA44">
        <v>22967</v>
      </c>
      <c r="CB44">
        <v>8603613</v>
      </c>
      <c r="CC44">
        <v>4080034</v>
      </c>
      <c r="CD44">
        <v>0</v>
      </c>
      <c r="CE44">
        <v>27324804</v>
      </c>
      <c r="CF44">
        <v>156940</v>
      </c>
      <c r="CG44">
        <v>1241090</v>
      </c>
      <c r="CH44">
        <v>213404</v>
      </c>
      <c r="CI44">
        <v>1944882</v>
      </c>
      <c r="CJ44">
        <v>112809497</v>
      </c>
      <c r="CK44">
        <v>4051623</v>
      </c>
      <c r="CL44">
        <v>510881</v>
      </c>
      <c r="CM44">
        <v>0</v>
      </c>
      <c r="CN44">
        <v>257016</v>
      </c>
      <c r="CO44">
        <v>3557481</v>
      </c>
      <c r="CP44">
        <v>2355437</v>
      </c>
      <c r="CQ44">
        <v>1666570</v>
      </c>
      <c r="CR44">
        <v>0</v>
      </c>
      <c r="CS44">
        <v>0</v>
      </c>
    </row>
    <row r="45" spans="1:97" x14ac:dyDescent="0.3">
      <c r="A45" s="155">
        <v>89</v>
      </c>
      <c r="B45" t="s">
        <v>221</v>
      </c>
      <c r="D45">
        <v>0</v>
      </c>
      <c r="E45">
        <v>0</v>
      </c>
      <c r="F45">
        <v>4605</v>
      </c>
      <c r="G45">
        <v>0</v>
      </c>
      <c r="H45">
        <v>0</v>
      </c>
      <c r="I45">
        <v>0</v>
      </c>
      <c r="J45">
        <v>60636</v>
      </c>
      <c r="K45">
        <v>71243</v>
      </c>
      <c r="L45">
        <v>0</v>
      </c>
      <c r="M45">
        <v>473731</v>
      </c>
      <c r="N45">
        <v>33045</v>
      </c>
      <c r="O45">
        <v>0</v>
      </c>
      <c r="P45">
        <v>0</v>
      </c>
      <c r="Q45">
        <v>23745</v>
      </c>
      <c r="R45">
        <v>0</v>
      </c>
      <c r="S45">
        <v>15188</v>
      </c>
      <c r="T45">
        <v>0</v>
      </c>
      <c r="U45">
        <v>0</v>
      </c>
      <c r="V45">
        <v>0</v>
      </c>
      <c r="W45">
        <v>667700</v>
      </c>
      <c r="X45">
        <v>0</v>
      </c>
      <c r="Y45">
        <v>0</v>
      </c>
      <c r="Z45">
        <v>0</v>
      </c>
      <c r="AA45">
        <v>32642</v>
      </c>
      <c r="AB45">
        <v>0</v>
      </c>
      <c r="AC45">
        <v>0</v>
      </c>
      <c r="AD45">
        <v>14349</v>
      </c>
      <c r="AE45">
        <v>10404</v>
      </c>
      <c r="AF45">
        <v>2961</v>
      </c>
      <c r="AG45">
        <v>682219</v>
      </c>
      <c r="AH45">
        <v>0</v>
      </c>
      <c r="AI45">
        <v>16130</v>
      </c>
      <c r="AJ45">
        <v>0</v>
      </c>
      <c r="AK45">
        <v>0</v>
      </c>
      <c r="AL45">
        <v>435378</v>
      </c>
      <c r="AM45">
        <v>42619</v>
      </c>
      <c r="AN45">
        <v>18317</v>
      </c>
      <c r="AO45">
        <v>60501</v>
      </c>
      <c r="AP45">
        <v>0</v>
      </c>
      <c r="AQ45">
        <v>0</v>
      </c>
      <c r="AR45">
        <v>64808</v>
      </c>
      <c r="AS45">
        <v>10077</v>
      </c>
      <c r="AT45">
        <v>0</v>
      </c>
      <c r="AU45">
        <v>0</v>
      </c>
      <c r="AV45">
        <v>0</v>
      </c>
      <c r="AW45">
        <v>0</v>
      </c>
      <c r="AX45">
        <v>3401</v>
      </c>
      <c r="AY45">
        <v>2970</v>
      </c>
      <c r="AZ45">
        <v>0</v>
      </c>
      <c r="BA45">
        <v>0</v>
      </c>
      <c r="BB45">
        <v>0</v>
      </c>
      <c r="BC45">
        <v>126848</v>
      </c>
      <c r="BD45">
        <v>0</v>
      </c>
      <c r="BE45">
        <v>12240</v>
      </c>
      <c r="BF45">
        <v>9157</v>
      </c>
      <c r="BG45">
        <v>0</v>
      </c>
      <c r="BH45">
        <v>27807</v>
      </c>
      <c r="BI45">
        <v>32804</v>
      </c>
      <c r="BJ45">
        <v>15948</v>
      </c>
      <c r="BK45">
        <v>0</v>
      </c>
      <c r="BL45">
        <v>0</v>
      </c>
      <c r="BM45">
        <v>0</v>
      </c>
      <c r="BN45">
        <v>12933</v>
      </c>
      <c r="BO45">
        <v>51878</v>
      </c>
      <c r="BP45">
        <v>0</v>
      </c>
      <c r="BQ45">
        <v>0</v>
      </c>
      <c r="BR45">
        <v>0</v>
      </c>
      <c r="BS45">
        <v>0</v>
      </c>
      <c r="BT45">
        <v>0</v>
      </c>
      <c r="BU45">
        <v>0</v>
      </c>
      <c r="BV45">
        <v>18798</v>
      </c>
      <c r="BW45">
        <v>0</v>
      </c>
      <c r="BX45">
        <v>27713</v>
      </c>
      <c r="BY45">
        <v>9887</v>
      </c>
      <c r="BZ45">
        <v>23296</v>
      </c>
      <c r="CA45">
        <v>0</v>
      </c>
      <c r="CB45">
        <v>175117</v>
      </c>
      <c r="CC45">
        <v>156247</v>
      </c>
      <c r="CD45">
        <v>0</v>
      </c>
      <c r="CE45">
        <v>354844</v>
      </c>
      <c r="CF45">
        <v>95733</v>
      </c>
      <c r="CG45">
        <v>0</v>
      </c>
      <c r="CH45">
        <v>17584</v>
      </c>
      <c r="CI45">
        <v>93755</v>
      </c>
      <c r="CJ45">
        <v>16701517</v>
      </c>
      <c r="CK45">
        <v>103688</v>
      </c>
      <c r="CL45">
        <v>3185</v>
      </c>
      <c r="CM45">
        <v>0</v>
      </c>
      <c r="CN45">
        <v>0</v>
      </c>
      <c r="CO45">
        <v>0</v>
      </c>
      <c r="CP45">
        <v>0</v>
      </c>
      <c r="CQ45">
        <v>78710</v>
      </c>
      <c r="CR45">
        <v>0</v>
      </c>
      <c r="CS45">
        <v>0</v>
      </c>
    </row>
    <row r="46" spans="1:97" x14ac:dyDescent="0.3">
      <c r="A46" s="155">
        <v>90</v>
      </c>
      <c r="B46" t="s">
        <v>214</v>
      </c>
      <c r="D46">
        <v>0</v>
      </c>
      <c r="E46">
        <v>0</v>
      </c>
      <c r="F46">
        <v>0</v>
      </c>
      <c r="G46">
        <v>0</v>
      </c>
      <c r="H46">
        <v>0</v>
      </c>
      <c r="I46">
        <v>0</v>
      </c>
      <c r="J46">
        <v>0</v>
      </c>
      <c r="K46">
        <v>3539717</v>
      </c>
      <c r="L46">
        <v>0</v>
      </c>
      <c r="M46">
        <v>35302500</v>
      </c>
      <c r="N46">
        <v>0</v>
      </c>
      <c r="O46">
        <v>0</v>
      </c>
      <c r="P46">
        <v>0</v>
      </c>
      <c r="Q46">
        <v>0</v>
      </c>
      <c r="R46">
        <v>0</v>
      </c>
      <c r="S46">
        <v>0</v>
      </c>
      <c r="T46">
        <v>0</v>
      </c>
      <c r="U46">
        <v>0</v>
      </c>
      <c r="V46">
        <v>0</v>
      </c>
      <c r="W46">
        <v>0</v>
      </c>
      <c r="X46">
        <v>0</v>
      </c>
      <c r="Y46">
        <v>0</v>
      </c>
      <c r="Z46">
        <v>0</v>
      </c>
      <c r="AA46">
        <v>0</v>
      </c>
      <c r="AB46">
        <v>0</v>
      </c>
      <c r="AC46">
        <v>11601252</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4212913</v>
      </c>
      <c r="BB46">
        <v>0</v>
      </c>
      <c r="BC46">
        <v>0</v>
      </c>
      <c r="BD46">
        <v>0</v>
      </c>
      <c r="BE46">
        <v>0</v>
      </c>
      <c r="BF46">
        <v>0</v>
      </c>
      <c r="BG46">
        <v>316958</v>
      </c>
      <c r="BH46">
        <v>0</v>
      </c>
      <c r="BI46">
        <v>0</v>
      </c>
      <c r="BJ46">
        <v>17034100</v>
      </c>
      <c r="BK46">
        <v>0</v>
      </c>
      <c r="BL46">
        <v>0</v>
      </c>
      <c r="BM46">
        <v>0</v>
      </c>
      <c r="BN46">
        <v>2740924</v>
      </c>
      <c r="BO46">
        <v>0</v>
      </c>
      <c r="BP46">
        <v>0</v>
      </c>
      <c r="BQ46">
        <v>0</v>
      </c>
      <c r="BR46">
        <v>0</v>
      </c>
      <c r="BS46">
        <v>0</v>
      </c>
      <c r="BT46">
        <v>0</v>
      </c>
      <c r="BU46">
        <v>0</v>
      </c>
      <c r="BV46">
        <v>0</v>
      </c>
      <c r="BW46">
        <v>0</v>
      </c>
      <c r="BX46">
        <v>0</v>
      </c>
      <c r="BY46">
        <v>0</v>
      </c>
      <c r="BZ46">
        <v>0</v>
      </c>
      <c r="CA46">
        <v>0</v>
      </c>
      <c r="CB46">
        <v>0</v>
      </c>
      <c r="CC46">
        <v>0</v>
      </c>
      <c r="CD46">
        <v>0</v>
      </c>
      <c r="CE46">
        <v>44850355</v>
      </c>
      <c r="CF46">
        <v>0</v>
      </c>
      <c r="CG46">
        <v>3008713</v>
      </c>
      <c r="CH46">
        <v>0</v>
      </c>
      <c r="CI46">
        <v>0</v>
      </c>
      <c r="CJ46">
        <v>0</v>
      </c>
      <c r="CK46">
        <v>7210394</v>
      </c>
      <c r="CL46">
        <v>0</v>
      </c>
      <c r="CM46">
        <v>0</v>
      </c>
      <c r="CN46">
        <v>0</v>
      </c>
      <c r="CO46">
        <v>0</v>
      </c>
      <c r="CP46">
        <v>0</v>
      </c>
      <c r="CQ46">
        <v>0</v>
      </c>
      <c r="CR46">
        <v>0</v>
      </c>
      <c r="CS46">
        <v>0</v>
      </c>
    </row>
    <row r="47" spans="1:97" x14ac:dyDescent="0.3">
      <c r="A47" s="155">
        <v>91</v>
      </c>
      <c r="B47" t="s">
        <v>215</v>
      </c>
      <c r="D47">
        <v>0</v>
      </c>
      <c r="E47">
        <v>0</v>
      </c>
      <c r="F47">
        <v>0</v>
      </c>
      <c r="G47">
        <v>0</v>
      </c>
      <c r="H47">
        <v>0</v>
      </c>
      <c r="I47">
        <v>0</v>
      </c>
      <c r="J47">
        <v>0</v>
      </c>
      <c r="K47">
        <v>118668</v>
      </c>
      <c r="L47">
        <v>0</v>
      </c>
      <c r="M47">
        <v>7964436</v>
      </c>
      <c r="N47">
        <v>0</v>
      </c>
      <c r="O47">
        <v>0</v>
      </c>
      <c r="P47">
        <v>0</v>
      </c>
      <c r="Q47">
        <v>0</v>
      </c>
      <c r="R47">
        <v>0</v>
      </c>
      <c r="S47">
        <v>0</v>
      </c>
      <c r="T47">
        <v>0</v>
      </c>
      <c r="U47">
        <v>0</v>
      </c>
      <c r="V47">
        <v>0</v>
      </c>
      <c r="W47">
        <v>0</v>
      </c>
      <c r="X47">
        <v>0</v>
      </c>
      <c r="Y47">
        <v>0</v>
      </c>
      <c r="Z47">
        <v>0</v>
      </c>
      <c r="AA47">
        <v>0</v>
      </c>
      <c r="AB47">
        <v>0</v>
      </c>
      <c r="AC47">
        <v>3281367</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2517478</v>
      </c>
      <c r="BB47">
        <v>0</v>
      </c>
      <c r="BC47">
        <v>0</v>
      </c>
      <c r="BD47">
        <v>0</v>
      </c>
      <c r="BE47">
        <v>0</v>
      </c>
      <c r="BF47">
        <v>0</v>
      </c>
      <c r="BG47">
        <v>37861</v>
      </c>
      <c r="BH47">
        <v>0</v>
      </c>
      <c r="BI47">
        <v>0</v>
      </c>
      <c r="BJ47">
        <v>3612519</v>
      </c>
      <c r="BK47">
        <v>0</v>
      </c>
      <c r="BL47">
        <v>0</v>
      </c>
      <c r="BM47">
        <v>0</v>
      </c>
      <c r="BN47">
        <v>1357244</v>
      </c>
      <c r="BO47">
        <v>0</v>
      </c>
      <c r="BP47">
        <v>0</v>
      </c>
      <c r="BQ47">
        <v>0</v>
      </c>
      <c r="BR47">
        <v>0</v>
      </c>
      <c r="BS47">
        <v>0</v>
      </c>
      <c r="BT47">
        <v>0</v>
      </c>
      <c r="BU47">
        <v>0</v>
      </c>
      <c r="BV47">
        <v>0</v>
      </c>
      <c r="BW47">
        <v>0</v>
      </c>
      <c r="BX47">
        <v>0</v>
      </c>
      <c r="BY47">
        <v>0</v>
      </c>
      <c r="BZ47">
        <v>0</v>
      </c>
      <c r="CA47">
        <v>0</v>
      </c>
      <c r="CB47">
        <v>0</v>
      </c>
      <c r="CC47">
        <v>0</v>
      </c>
      <c r="CD47">
        <v>0</v>
      </c>
      <c r="CE47">
        <v>13186536</v>
      </c>
      <c r="CF47">
        <v>0</v>
      </c>
      <c r="CG47">
        <v>635835</v>
      </c>
      <c r="CH47">
        <v>0</v>
      </c>
      <c r="CI47">
        <v>0</v>
      </c>
      <c r="CJ47">
        <v>0</v>
      </c>
      <c r="CK47">
        <v>818390</v>
      </c>
      <c r="CL47">
        <v>0</v>
      </c>
      <c r="CM47">
        <v>0</v>
      </c>
      <c r="CN47">
        <v>0</v>
      </c>
      <c r="CO47">
        <v>0</v>
      </c>
      <c r="CP47">
        <v>0</v>
      </c>
      <c r="CQ47">
        <v>0</v>
      </c>
      <c r="CR47">
        <v>0</v>
      </c>
      <c r="CS47">
        <v>0</v>
      </c>
    </row>
    <row r="48" spans="1:97" x14ac:dyDescent="0.3">
      <c r="A48" s="155">
        <v>93</v>
      </c>
      <c r="B48" t="s">
        <v>228</v>
      </c>
      <c r="D48">
        <v>0</v>
      </c>
      <c r="E48">
        <v>0</v>
      </c>
      <c r="F48">
        <v>0</v>
      </c>
      <c r="G48">
        <v>0</v>
      </c>
      <c r="H48">
        <v>0</v>
      </c>
      <c r="I48">
        <v>0</v>
      </c>
      <c r="J48">
        <v>0</v>
      </c>
      <c r="K48">
        <v>2358769</v>
      </c>
      <c r="L48">
        <v>0</v>
      </c>
      <c r="M48">
        <v>46654519</v>
      </c>
      <c r="N48">
        <v>0</v>
      </c>
      <c r="O48">
        <v>0</v>
      </c>
      <c r="P48">
        <v>0</v>
      </c>
      <c r="Q48">
        <v>0</v>
      </c>
      <c r="R48">
        <v>0</v>
      </c>
      <c r="S48">
        <v>0</v>
      </c>
      <c r="T48">
        <v>0</v>
      </c>
      <c r="U48">
        <v>0</v>
      </c>
      <c r="V48">
        <v>0</v>
      </c>
      <c r="W48">
        <v>0</v>
      </c>
      <c r="X48">
        <v>0</v>
      </c>
      <c r="Y48">
        <v>0</v>
      </c>
      <c r="Z48">
        <v>0</v>
      </c>
      <c r="AA48">
        <v>0</v>
      </c>
      <c r="AB48">
        <v>0</v>
      </c>
      <c r="AC48">
        <v>21867116</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21250227</v>
      </c>
      <c r="BB48">
        <v>0</v>
      </c>
      <c r="BC48">
        <v>0</v>
      </c>
      <c r="BD48">
        <v>0</v>
      </c>
      <c r="BE48">
        <v>0</v>
      </c>
      <c r="BF48">
        <v>0</v>
      </c>
      <c r="BG48">
        <v>272379</v>
      </c>
      <c r="BH48">
        <v>0</v>
      </c>
      <c r="BI48">
        <v>0</v>
      </c>
      <c r="BJ48">
        <v>33347654</v>
      </c>
      <c r="BK48">
        <v>0</v>
      </c>
      <c r="BL48">
        <v>0</v>
      </c>
      <c r="BM48">
        <v>0</v>
      </c>
      <c r="BN48">
        <v>9361369</v>
      </c>
      <c r="BO48">
        <v>0</v>
      </c>
      <c r="BP48">
        <v>0</v>
      </c>
      <c r="BQ48">
        <v>0</v>
      </c>
      <c r="BR48">
        <v>0</v>
      </c>
      <c r="BS48">
        <v>0</v>
      </c>
      <c r="BT48">
        <v>0</v>
      </c>
      <c r="BU48">
        <v>0</v>
      </c>
      <c r="BV48">
        <v>0</v>
      </c>
      <c r="BW48">
        <v>0</v>
      </c>
      <c r="BX48">
        <v>0</v>
      </c>
      <c r="BY48">
        <v>0</v>
      </c>
      <c r="BZ48">
        <v>0</v>
      </c>
      <c r="CA48">
        <v>0</v>
      </c>
      <c r="CB48">
        <v>0</v>
      </c>
      <c r="CC48">
        <v>0</v>
      </c>
      <c r="CD48">
        <v>0</v>
      </c>
      <c r="CE48">
        <v>125842461</v>
      </c>
      <c r="CF48">
        <v>0</v>
      </c>
      <c r="CG48">
        <v>5091986</v>
      </c>
      <c r="CH48">
        <v>0</v>
      </c>
      <c r="CI48">
        <v>0</v>
      </c>
      <c r="CJ48">
        <v>0</v>
      </c>
      <c r="CK48">
        <v>7095359</v>
      </c>
      <c r="CL48">
        <v>0</v>
      </c>
      <c r="CM48">
        <v>0</v>
      </c>
      <c r="CN48">
        <v>0</v>
      </c>
      <c r="CO48">
        <v>0</v>
      </c>
      <c r="CP48">
        <v>0</v>
      </c>
      <c r="CQ48">
        <v>0</v>
      </c>
      <c r="CR48">
        <v>0</v>
      </c>
      <c r="CS48">
        <v>0</v>
      </c>
    </row>
    <row r="49" spans="1:97" x14ac:dyDescent="0.3">
      <c r="A49" s="155">
        <v>94</v>
      </c>
      <c r="B49" t="s">
        <v>231</v>
      </c>
      <c r="D49">
        <v>0</v>
      </c>
      <c r="E49">
        <v>0</v>
      </c>
      <c r="F49">
        <v>0</v>
      </c>
      <c r="G49">
        <v>0</v>
      </c>
      <c r="H49">
        <v>0</v>
      </c>
      <c r="I49">
        <v>0</v>
      </c>
      <c r="J49">
        <v>0</v>
      </c>
      <c r="K49">
        <v>1840535</v>
      </c>
      <c r="L49">
        <v>0</v>
      </c>
      <c r="M49">
        <v>42032566</v>
      </c>
      <c r="N49">
        <v>0</v>
      </c>
      <c r="O49">
        <v>0</v>
      </c>
      <c r="P49">
        <v>0</v>
      </c>
      <c r="Q49">
        <v>0</v>
      </c>
      <c r="R49">
        <v>0</v>
      </c>
      <c r="S49">
        <v>0</v>
      </c>
      <c r="T49">
        <v>0</v>
      </c>
      <c r="U49">
        <v>0</v>
      </c>
      <c r="V49">
        <v>0</v>
      </c>
      <c r="W49">
        <v>0</v>
      </c>
      <c r="X49">
        <v>0</v>
      </c>
      <c r="Y49">
        <v>0</v>
      </c>
      <c r="Z49">
        <v>0</v>
      </c>
      <c r="AA49">
        <v>0</v>
      </c>
      <c r="AB49">
        <v>0</v>
      </c>
      <c r="AC49">
        <v>21035041</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21298330</v>
      </c>
      <c r="BB49">
        <v>0</v>
      </c>
      <c r="BC49">
        <v>0</v>
      </c>
      <c r="BD49">
        <v>0</v>
      </c>
      <c r="BE49">
        <v>0</v>
      </c>
      <c r="BF49">
        <v>0</v>
      </c>
      <c r="BG49">
        <v>205630</v>
      </c>
      <c r="BH49">
        <v>0</v>
      </c>
      <c r="BI49">
        <v>0</v>
      </c>
      <c r="BJ49">
        <v>28974075</v>
      </c>
      <c r="BK49">
        <v>0</v>
      </c>
      <c r="BL49">
        <v>0</v>
      </c>
      <c r="BM49">
        <v>0</v>
      </c>
      <c r="BN49">
        <v>7135127</v>
      </c>
      <c r="BO49">
        <v>0</v>
      </c>
      <c r="BP49">
        <v>0</v>
      </c>
      <c r="BQ49">
        <v>0</v>
      </c>
      <c r="BR49">
        <v>0</v>
      </c>
      <c r="BS49">
        <v>0</v>
      </c>
      <c r="BT49">
        <v>0</v>
      </c>
      <c r="BU49">
        <v>0</v>
      </c>
      <c r="BV49">
        <v>0</v>
      </c>
      <c r="BW49">
        <v>0</v>
      </c>
      <c r="BX49">
        <v>0</v>
      </c>
      <c r="BY49">
        <v>0</v>
      </c>
      <c r="BZ49">
        <v>0</v>
      </c>
      <c r="CA49">
        <v>0</v>
      </c>
      <c r="CB49">
        <v>0</v>
      </c>
      <c r="CC49">
        <v>0</v>
      </c>
      <c r="CD49">
        <v>0</v>
      </c>
      <c r="CE49">
        <v>114710253</v>
      </c>
      <c r="CF49">
        <v>0</v>
      </c>
      <c r="CG49">
        <v>4097701</v>
      </c>
      <c r="CH49">
        <v>0</v>
      </c>
      <c r="CI49">
        <v>0</v>
      </c>
      <c r="CJ49">
        <v>0</v>
      </c>
      <c r="CK49">
        <v>5488650</v>
      </c>
      <c r="CL49">
        <v>0</v>
      </c>
      <c r="CM49">
        <v>0</v>
      </c>
      <c r="CN49">
        <v>0</v>
      </c>
      <c r="CO49">
        <v>0</v>
      </c>
      <c r="CP49">
        <v>0</v>
      </c>
      <c r="CQ49">
        <v>0</v>
      </c>
      <c r="CR49">
        <v>0</v>
      </c>
      <c r="CS49">
        <v>0</v>
      </c>
    </row>
    <row r="50" spans="1:97" x14ac:dyDescent="0.3">
      <c r="A50" s="155">
        <v>97</v>
      </c>
      <c r="B50" t="s">
        <v>227</v>
      </c>
      <c r="D50">
        <v>0</v>
      </c>
      <c r="E50">
        <v>0</v>
      </c>
      <c r="F50">
        <v>0</v>
      </c>
      <c r="G50">
        <v>0</v>
      </c>
      <c r="H50">
        <v>0</v>
      </c>
      <c r="I50">
        <v>0</v>
      </c>
      <c r="J50">
        <v>0</v>
      </c>
      <c r="K50">
        <v>2324067</v>
      </c>
      <c r="L50">
        <v>0</v>
      </c>
      <c r="M50">
        <v>45226021</v>
      </c>
      <c r="N50">
        <v>0</v>
      </c>
      <c r="O50">
        <v>0</v>
      </c>
      <c r="P50">
        <v>0</v>
      </c>
      <c r="Q50">
        <v>0</v>
      </c>
      <c r="R50">
        <v>0</v>
      </c>
      <c r="S50">
        <v>0</v>
      </c>
      <c r="T50">
        <v>0</v>
      </c>
      <c r="U50">
        <v>0</v>
      </c>
      <c r="V50">
        <v>0</v>
      </c>
      <c r="W50">
        <v>0</v>
      </c>
      <c r="X50">
        <v>0</v>
      </c>
      <c r="Y50">
        <v>0</v>
      </c>
      <c r="Z50">
        <v>0</v>
      </c>
      <c r="AA50">
        <v>0</v>
      </c>
      <c r="AB50">
        <v>0</v>
      </c>
      <c r="AC50">
        <v>20721506</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19493692</v>
      </c>
      <c r="BB50">
        <v>0</v>
      </c>
      <c r="BC50">
        <v>0</v>
      </c>
      <c r="BD50">
        <v>0</v>
      </c>
      <c r="BE50">
        <v>0</v>
      </c>
      <c r="BF50">
        <v>0</v>
      </c>
      <c r="BG50">
        <v>266379</v>
      </c>
      <c r="BH50">
        <v>0</v>
      </c>
      <c r="BI50">
        <v>0</v>
      </c>
      <c r="BJ50">
        <v>32909925</v>
      </c>
      <c r="BK50">
        <v>0</v>
      </c>
      <c r="BL50">
        <v>0</v>
      </c>
      <c r="BM50">
        <v>0</v>
      </c>
      <c r="BN50">
        <v>9361369</v>
      </c>
      <c r="BO50">
        <v>0</v>
      </c>
      <c r="BP50">
        <v>0</v>
      </c>
      <c r="BQ50">
        <v>0</v>
      </c>
      <c r="BR50">
        <v>0</v>
      </c>
      <c r="BS50">
        <v>0</v>
      </c>
      <c r="BT50">
        <v>0</v>
      </c>
      <c r="BU50">
        <v>0</v>
      </c>
      <c r="BV50">
        <v>0</v>
      </c>
      <c r="BW50">
        <v>0</v>
      </c>
      <c r="BX50">
        <v>0</v>
      </c>
      <c r="BY50">
        <v>0</v>
      </c>
      <c r="BZ50">
        <v>0</v>
      </c>
      <c r="CA50">
        <v>0</v>
      </c>
      <c r="CB50">
        <v>0</v>
      </c>
      <c r="CC50">
        <v>0</v>
      </c>
      <c r="CD50">
        <v>0</v>
      </c>
      <c r="CE50">
        <v>124432738</v>
      </c>
      <c r="CF50">
        <v>0</v>
      </c>
      <c r="CG50">
        <v>5019986</v>
      </c>
      <c r="CH50">
        <v>0</v>
      </c>
      <c r="CI50">
        <v>0</v>
      </c>
      <c r="CJ50">
        <v>0</v>
      </c>
      <c r="CK50">
        <v>7024537</v>
      </c>
      <c r="CL50">
        <v>0</v>
      </c>
      <c r="CM50">
        <v>0</v>
      </c>
      <c r="CN50">
        <v>0</v>
      </c>
      <c r="CO50">
        <v>0</v>
      </c>
      <c r="CP50">
        <v>0</v>
      </c>
      <c r="CQ50">
        <v>0</v>
      </c>
      <c r="CR50">
        <v>0</v>
      </c>
      <c r="CS50">
        <v>0</v>
      </c>
    </row>
    <row r="51" spans="1:97" x14ac:dyDescent="0.3">
      <c r="A51" s="155">
        <v>98</v>
      </c>
      <c r="B51" t="s">
        <v>232</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107112</v>
      </c>
      <c r="BB51">
        <v>0</v>
      </c>
      <c r="BC51">
        <v>0</v>
      </c>
      <c r="BD51">
        <v>0</v>
      </c>
      <c r="BE51">
        <v>0</v>
      </c>
      <c r="BF51">
        <v>0</v>
      </c>
      <c r="BG51">
        <v>0</v>
      </c>
      <c r="BH51">
        <v>0</v>
      </c>
      <c r="BI51">
        <v>0</v>
      </c>
      <c r="BJ51">
        <v>0</v>
      </c>
      <c r="BK51">
        <v>0</v>
      </c>
      <c r="BL51">
        <v>0</v>
      </c>
      <c r="BM51">
        <v>0</v>
      </c>
      <c r="BN51">
        <v>998</v>
      </c>
      <c r="BO51">
        <v>0</v>
      </c>
      <c r="BP51">
        <v>0</v>
      </c>
      <c r="BQ51">
        <v>0</v>
      </c>
      <c r="BR51">
        <v>0</v>
      </c>
      <c r="BS51">
        <v>0</v>
      </c>
      <c r="BT51">
        <v>0</v>
      </c>
      <c r="BU51">
        <v>0</v>
      </c>
      <c r="BV51">
        <v>0</v>
      </c>
      <c r="BW51">
        <v>0</v>
      </c>
      <c r="BX51">
        <v>0</v>
      </c>
      <c r="BY51">
        <v>0</v>
      </c>
      <c r="BZ51">
        <v>0</v>
      </c>
      <c r="CA51">
        <v>0</v>
      </c>
      <c r="CB51">
        <v>0</v>
      </c>
      <c r="CC51">
        <v>0</v>
      </c>
      <c r="CD51">
        <v>0</v>
      </c>
      <c r="CE51">
        <v>485819</v>
      </c>
      <c r="CF51">
        <v>0</v>
      </c>
      <c r="CG51">
        <v>0</v>
      </c>
      <c r="CH51">
        <v>0</v>
      </c>
      <c r="CI51">
        <v>0</v>
      </c>
      <c r="CJ51">
        <v>0</v>
      </c>
      <c r="CK51">
        <v>22813</v>
      </c>
      <c r="CL51">
        <v>0</v>
      </c>
      <c r="CM51">
        <v>0</v>
      </c>
      <c r="CN51">
        <v>0</v>
      </c>
      <c r="CO51">
        <v>0</v>
      </c>
      <c r="CP51">
        <v>0</v>
      </c>
      <c r="CQ51">
        <v>0</v>
      </c>
      <c r="CR51">
        <v>0</v>
      </c>
      <c r="CS51">
        <v>0</v>
      </c>
    </row>
    <row r="52" spans="1:97" x14ac:dyDescent="0.3">
      <c r="A52" s="155">
        <v>99</v>
      </c>
      <c r="B52" t="s">
        <v>229</v>
      </c>
      <c r="D52">
        <v>0</v>
      </c>
      <c r="E52">
        <v>0</v>
      </c>
      <c r="F52">
        <v>0</v>
      </c>
      <c r="G52">
        <v>0</v>
      </c>
      <c r="H52">
        <v>0</v>
      </c>
      <c r="I52">
        <v>0</v>
      </c>
      <c r="J52">
        <v>0</v>
      </c>
      <c r="K52">
        <v>1134087</v>
      </c>
      <c r="L52">
        <v>0</v>
      </c>
      <c r="M52">
        <v>34525297</v>
      </c>
      <c r="N52">
        <v>0</v>
      </c>
      <c r="O52">
        <v>0</v>
      </c>
      <c r="P52">
        <v>0</v>
      </c>
      <c r="Q52">
        <v>0</v>
      </c>
      <c r="R52">
        <v>0</v>
      </c>
      <c r="S52">
        <v>0</v>
      </c>
      <c r="T52">
        <v>0</v>
      </c>
      <c r="U52">
        <v>0</v>
      </c>
      <c r="V52">
        <v>0</v>
      </c>
      <c r="W52">
        <v>0</v>
      </c>
      <c r="X52">
        <v>0</v>
      </c>
      <c r="Y52">
        <v>0</v>
      </c>
      <c r="Z52">
        <v>0</v>
      </c>
      <c r="AA52">
        <v>0</v>
      </c>
      <c r="AB52">
        <v>0</v>
      </c>
      <c r="AC52">
        <v>14619766</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12112081</v>
      </c>
      <c r="BB52">
        <v>0</v>
      </c>
      <c r="BC52">
        <v>0</v>
      </c>
      <c r="BD52">
        <v>0</v>
      </c>
      <c r="BE52">
        <v>0</v>
      </c>
      <c r="BF52">
        <v>0</v>
      </c>
      <c r="BG52">
        <v>180449</v>
      </c>
      <c r="BH52">
        <v>0</v>
      </c>
      <c r="BI52">
        <v>0</v>
      </c>
      <c r="BJ52">
        <v>21298091</v>
      </c>
      <c r="BK52">
        <v>0</v>
      </c>
      <c r="BL52">
        <v>0</v>
      </c>
      <c r="BM52">
        <v>0</v>
      </c>
      <c r="BN52">
        <v>5175411</v>
      </c>
      <c r="BO52">
        <v>0</v>
      </c>
      <c r="BP52">
        <v>0</v>
      </c>
      <c r="BQ52">
        <v>0</v>
      </c>
      <c r="BR52">
        <v>0</v>
      </c>
      <c r="BS52">
        <v>0</v>
      </c>
      <c r="BT52">
        <v>0</v>
      </c>
      <c r="BU52">
        <v>0</v>
      </c>
      <c r="BV52">
        <v>0</v>
      </c>
      <c r="BW52">
        <v>0</v>
      </c>
      <c r="BX52">
        <v>0</v>
      </c>
      <c r="BY52">
        <v>0</v>
      </c>
      <c r="BZ52">
        <v>0</v>
      </c>
      <c r="CA52">
        <v>0</v>
      </c>
      <c r="CB52">
        <v>0</v>
      </c>
      <c r="CC52">
        <v>0</v>
      </c>
      <c r="CD52">
        <v>0</v>
      </c>
      <c r="CE52">
        <v>78850959</v>
      </c>
      <c r="CF52">
        <v>0</v>
      </c>
      <c r="CG52">
        <v>2752898</v>
      </c>
      <c r="CH52">
        <v>0</v>
      </c>
      <c r="CI52">
        <v>0</v>
      </c>
      <c r="CJ52">
        <v>0</v>
      </c>
      <c r="CK52">
        <v>3139723</v>
      </c>
      <c r="CL52">
        <v>0</v>
      </c>
      <c r="CM52">
        <v>0</v>
      </c>
      <c r="CN52">
        <v>0</v>
      </c>
      <c r="CO52">
        <v>0</v>
      </c>
      <c r="CP52">
        <v>0</v>
      </c>
      <c r="CQ52">
        <v>0</v>
      </c>
      <c r="CR52">
        <v>0</v>
      </c>
      <c r="CS52">
        <v>0</v>
      </c>
    </row>
    <row r="53" spans="1:97" x14ac:dyDescent="0.3">
      <c r="A53" s="155">
        <v>100</v>
      </c>
      <c r="B53" t="s">
        <v>242</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787120</v>
      </c>
      <c r="BB53">
        <v>0</v>
      </c>
      <c r="BC53">
        <v>0</v>
      </c>
      <c r="BD53">
        <v>0</v>
      </c>
      <c r="BE53">
        <v>0</v>
      </c>
      <c r="BF53">
        <v>0</v>
      </c>
      <c r="BG53">
        <v>0</v>
      </c>
      <c r="BH53">
        <v>0</v>
      </c>
      <c r="BI53">
        <v>0</v>
      </c>
      <c r="BJ53">
        <v>0</v>
      </c>
      <c r="BK53">
        <v>0</v>
      </c>
      <c r="BL53">
        <v>0</v>
      </c>
      <c r="BM53">
        <v>0</v>
      </c>
      <c r="BN53">
        <v>329434</v>
      </c>
      <c r="BO53">
        <v>0</v>
      </c>
      <c r="BP53">
        <v>0</v>
      </c>
      <c r="BQ53">
        <v>0</v>
      </c>
      <c r="BR53">
        <v>0</v>
      </c>
      <c r="BS53">
        <v>0</v>
      </c>
      <c r="BT53">
        <v>0</v>
      </c>
      <c r="BU53">
        <v>0</v>
      </c>
      <c r="BV53">
        <v>0</v>
      </c>
      <c r="BW53">
        <v>0</v>
      </c>
      <c r="BX53">
        <v>0</v>
      </c>
      <c r="BY53">
        <v>0</v>
      </c>
      <c r="BZ53">
        <v>0</v>
      </c>
      <c r="CA53">
        <v>0</v>
      </c>
      <c r="CB53">
        <v>0</v>
      </c>
      <c r="CC53">
        <v>0</v>
      </c>
      <c r="CD53">
        <v>0</v>
      </c>
      <c r="CE53">
        <v>1070756</v>
      </c>
      <c r="CF53">
        <v>0</v>
      </c>
      <c r="CG53">
        <v>0</v>
      </c>
      <c r="CH53">
        <v>0</v>
      </c>
      <c r="CI53">
        <v>0</v>
      </c>
      <c r="CJ53">
        <v>0</v>
      </c>
      <c r="CK53">
        <v>356910</v>
      </c>
      <c r="CL53">
        <v>0</v>
      </c>
      <c r="CM53">
        <v>0</v>
      </c>
      <c r="CN53">
        <v>0</v>
      </c>
      <c r="CO53">
        <v>0</v>
      </c>
      <c r="CP53">
        <v>0</v>
      </c>
      <c r="CQ53">
        <v>0</v>
      </c>
      <c r="CR53">
        <v>0</v>
      </c>
      <c r="CS53">
        <v>0</v>
      </c>
    </row>
    <row r="54" spans="1:97" x14ac:dyDescent="0.3">
      <c r="A54" s="155">
        <v>101</v>
      </c>
      <c r="B54" t="s">
        <v>241</v>
      </c>
      <c r="D54">
        <v>0</v>
      </c>
      <c r="E54">
        <v>0</v>
      </c>
      <c r="F54">
        <v>0</v>
      </c>
      <c r="G54">
        <v>0</v>
      </c>
      <c r="H54">
        <v>0</v>
      </c>
      <c r="I54">
        <v>0</v>
      </c>
      <c r="J54">
        <v>0</v>
      </c>
      <c r="K54">
        <v>234626</v>
      </c>
      <c r="L54">
        <v>0</v>
      </c>
      <c r="M54">
        <v>8168288</v>
      </c>
      <c r="N54">
        <v>0</v>
      </c>
      <c r="O54">
        <v>0</v>
      </c>
      <c r="P54">
        <v>0</v>
      </c>
      <c r="Q54">
        <v>0</v>
      </c>
      <c r="R54">
        <v>0</v>
      </c>
      <c r="S54">
        <v>0</v>
      </c>
      <c r="T54">
        <v>0</v>
      </c>
      <c r="U54">
        <v>0</v>
      </c>
      <c r="V54">
        <v>0</v>
      </c>
      <c r="W54">
        <v>0</v>
      </c>
      <c r="X54">
        <v>0</v>
      </c>
      <c r="Y54">
        <v>0</v>
      </c>
      <c r="Z54">
        <v>0</v>
      </c>
      <c r="AA54">
        <v>0</v>
      </c>
      <c r="AB54">
        <v>0</v>
      </c>
      <c r="AC54">
        <v>963025</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1317792</v>
      </c>
      <c r="BB54">
        <v>0</v>
      </c>
      <c r="BC54">
        <v>0</v>
      </c>
      <c r="BD54">
        <v>0</v>
      </c>
      <c r="BE54">
        <v>0</v>
      </c>
      <c r="BF54">
        <v>0</v>
      </c>
      <c r="BG54">
        <v>0</v>
      </c>
      <c r="BH54">
        <v>0</v>
      </c>
      <c r="BI54">
        <v>0</v>
      </c>
      <c r="BJ54">
        <v>2043593</v>
      </c>
      <c r="BK54">
        <v>0</v>
      </c>
      <c r="BL54">
        <v>0</v>
      </c>
      <c r="BM54">
        <v>0</v>
      </c>
      <c r="BN54">
        <v>135411</v>
      </c>
      <c r="BO54">
        <v>0</v>
      </c>
      <c r="BP54">
        <v>0</v>
      </c>
      <c r="BQ54">
        <v>0</v>
      </c>
      <c r="BR54">
        <v>0</v>
      </c>
      <c r="BS54">
        <v>0</v>
      </c>
      <c r="BT54">
        <v>0</v>
      </c>
      <c r="BU54">
        <v>0</v>
      </c>
      <c r="BV54">
        <v>0</v>
      </c>
      <c r="BW54">
        <v>0</v>
      </c>
      <c r="BX54">
        <v>0</v>
      </c>
      <c r="BY54">
        <v>0</v>
      </c>
      <c r="BZ54">
        <v>0</v>
      </c>
      <c r="CA54">
        <v>0</v>
      </c>
      <c r="CB54">
        <v>0</v>
      </c>
      <c r="CC54">
        <v>0</v>
      </c>
      <c r="CD54">
        <v>0</v>
      </c>
      <c r="CE54">
        <v>5646156</v>
      </c>
      <c r="CF54">
        <v>0</v>
      </c>
      <c r="CG54">
        <v>149857</v>
      </c>
      <c r="CH54">
        <v>0</v>
      </c>
      <c r="CI54">
        <v>0</v>
      </c>
      <c r="CJ54">
        <v>0</v>
      </c>
      <c r="CK54">
        <v>164602</v>
      </c>
      <c r="CL54">
        <v>0</v>
      </c>
      <c r="CM54">
        <v>0</v>
      </c>
      <c r="CN54">
        <v>0</v>
      </c>
      <c r="CO54">
        <v>0</v>
      </c>
      <c r="CP54">
        <v>0</v>
      </c>
      <c r="CQ54">
        <v>0</v>
      </c>
      <c r="CR54">
        <v>0</v>
      </c>
      <c r="CS54">
        <v>0</v>
      </c>
    </row>
    <row r="55" spans="1:97" x14ac:dyDescent="0.3">
      <c r="A55" s="155">
        <v>102</v>
      </c>
      <c r="B55" t="s">
        <v>255</v>
      </c>
      <c r="D55">
        <v>90.26</v>
      </c>
      <c r="E55">
        <v>99.8</v>
      </c>
      <c r="F55">
        <v>96.22</v>
      </c>
      <c r="G55">
        <v>98.42</v>
      </c>
      <c r="H55">
        <v>99.89</v>
      </c>
      <c r="I55">
        <v>98.07</v>
      </c>
      <c r="J55">
        <v>99.12</v>
      </c>
      <c r="K55">
        <v>97.58</v>
      </c>
      <c r="L55">
        <v>96.1</v>
      </c>
      <c r="M55">
        <v>99.06</v>
      </c>
      <c r="N55">
        <v>99.3</v>
      </c>
      <c r="O55">
        <v>99.4</v>
      </c>
      <c r="P55">
        <v>0</v>
      </c>
      <c r="Q55">
        <v>98.11</v>
      </c>
      <c r="R55">
        <v>97.01</v>
      </c>
      <c r="S55">
        <v>96.53</v>
      </c>
      <c r="T55">
        <v>99.4</v>
      </c>
      <c r="U55">
        <v>99.76</v>
      </c>
      <c r="V55">
        <v>99.45</v>
      </c>
      <c r="W55">
        <v>98.31</v>
      </c>
      <c r="X55">
        <v>99.28</v>
      </c>
      <c r="Y55">
        <v>0</v>
      </c>
      <c r="Z55">
        <v>97.78</v>
      </c>
      <c r="AA55">
        <v>96.92</v>
      </c>
      <c r="AB55">
        <v>96.54</v>
      </c>
      <c r="AC55">
        <v>96.86</v>
      </c>
      <c r="AD55">
        <v>97.71</v>
      </c>
      <c r="AE55">
        <v>99.66</v>
      </c>
      <c r="AF55">
        <v>90.71</v>
      </c>
      <c r="AG55">
        <v>98.2</v>
      </c>
      <c r="AH55">
        <v>98.73</v>
      </c>
      <c r="AI55">
        <v>99.86</v>
      </c>
      <c r="AJ55">
        <v>99.82</v>
      </c>
      <c r="AK55">
        <v>94.61</v>
      </c>
      <c r="AL55">
        <v>99.25</v>
      </c>
      <c r="AM55">
        <v>99.31</v>
      </c>
      <c r="AN55">
        <v>97.87</v>
      </c>
      <c r="AO55">
        <v>96.47</v>
      </c>
      <c r="AP55">
        <v>98.99</v>
      </c>
      <c r="AQ55">
        <v>97.94</v>
      </c>
      <c r="AR55">
        <v>97.61</v>
      </c>
      <c r="AS55">
        <v>96.55</v>
      </c>
      <c r="AT55">
        <v>95.3</v>
      </c>
      <c r="AU55">
        <v>97.12</v>
      </c>
      <c r="AV55">
        <v>99.3</v>
      </c>
      <c r="AW55">
        <v>96.89</v>
      </c>
      <c r="AX55">
        <v>98.06</v>
      </c>
      <c r="AY55">
        <v>93.03</v>
      </c>
      <c r="AZ55">
        <v>91.87</v>
      </c>
      <c r="BA55">
        <v>99.76</v>
      </c>
      <c r="BB55">
        <v>99.1</v>
      </c>
      <c r="BC55">
        <v>93.54</v>
      </c>
      <c r="BD55">
        <v>97.98</v>
      </c>
      <c r="BE55">
        <v>97.38</v>
      </c>
      <c r="BF55">
        <v>99.94</v>
      </c>
      <c r="BG55">
        <v>98.01</v>
      </c>
      <c r="BH55">
        <v>97.56</v>
      </c>
      <c r="BI55">
        <v>97.68</v>
      </c>
      <c r="BJ55">
        <v>98.62</v>
      </c>
      <c r="BK55">
        <v>97.8</v>
      </c>
      <c r="BL55">
        <v>90.09</v>
      </c>
      <c r="BM55">
        <v>99.99</v>
      </c>
      <c r="BN55">
        <v>97.18</v>
      </c>
      <c r="BO55">
        <v>98.5</v>
      </c>
      <c r="BP55">
        <v>98.65</v>
      </c>
      <c r="BQ55">
        <v>99.51</v>
      </c>
      <c r="BR55">
        <v>95.34</v>
      </c>
      <c r="BS55">
        <v>99.6</v>
      </c>
      <c r="BT55">
        <v>0</v>
      </c>
      <c r="BU55">
        <v>0</v>
      </c>
      <c r="BV55">
        <v>98.64</v>
      </c>
      <c r="BW55">
        <v>99.92</v>
      </c>
      <c r="BX55">
        <v>94.77</v>
      </c>
      <c r="BY55">
        <v>97.51</v>
      </c>
      <c r="BZ55">
        <v>98.09</v>
      </c>
      <c r="CA55">
        <v>98.95</v>
      </c>
      <c r="CB55">
        <v>99.64</v>
      </c>
      <c r="CC55">
        <v>94.58</v>
      </c>
      <c r="CD55">
        <v>98.96</v>
      </c>
      <c r="CE55">
        <v>98.57</v>
      </c>
      <c r="CF55">
        <v>99.74</v>
      </c>
      <c r="CG55">
        <v>98.16</v>
      </c>
      <c r="CH55">
        <v>95.49</v>
      </c>
      <c r="CI55">
        <v>99.13</v>
      </c>
      <c r="CJ55">
        <v>99.31</v>
      </c>
      <c r="CK55">
        <v>99.46</v>
      </c>
      <c r="CL55">
        <v>95.53</v>
      </c>
      <c r="CM55">
        <v>99.73</v>
      </c>
      <c r="CN55">
        <v>88.67</v>
      </c>
      <c r="CO55">
        <v>99.83</v>
      </c>
      <c r="CP55">
        <v>97.84</v>
      </c>
      <c r="CQ55">
        <v>97.88</v>
      </c>
      <c r="CR55">
        <v>98.78</v>
      </c>
      <c r="CS55">
        <v>99.64</v>
      </c>
    </row>
    <row r="56" spans="1:97" x14ac:dyDescent="0.3">
      <c r="A56" s="155">
        <v>103</v>
      </c>
      <c r="B56" t="s">
        <v>256</v>
      </c>
      <c r="D56">
        <v>100</v>
      </c>
      <c r="E56">
        <v>100</v>
      </c>
      <c r="F56">
        <v>99.67</v>
      </c>
      <c r="G56">
        <v>100</v>
      </c>
      <c r="H56">
        <v>99.41</v>
      </c>
      <c r="I56">
        <v>99.76</v>
      </c>
      <c r="J56">
        <v>100</v>
      </c>
      <c r="K56">
        <v>100</v>
      </c>
      <c r="L56">
        <v>100</v>
      </c>
      <c r="M56">
        <v>100</v>
      </c>
      <c r="N56">
        <v>100</v>
      </c>
      <c r="O56">
        <v>100</v>
      </c>
      <c r="P56">
        <v>0</v>
      </c>
      <c r="Q56">
        <v>100</v>
      </c>
      <c r="R56">
        <v>100</v>
      </c>
      <c r="S56">
        <v>100</v>
      </c>
      <c r="T56">
        <v>100</v>
      </c>
      <c r="U56">
        <v>100</v>
      </c>
      <c r="V56">
        <v>100</v>
      </c>
      <c r="W56">
        <v>100</v>
      </c>
      <c r="X56">
        <v>100</v>
      </c>
      <c r="Y56">
        <v>0</v>
      </c>
      <c r="Z56">
        <v>100</v>
      </c>
      <c r="AA56">
        <v>100</v>
      </c>
      <c r="AB56">
        <v>100</v>
      </c>
      <c r="AC56">
        <v>100</v>
      </c>
      <c r="AD56">
        <v>100</v>
      </c>
      <c r="AE56">
        <v>100</v>
      </c>
      <c r="AF56">
        <v>100</v>
      </c>
      <c r="AG56">
        <v>99.13</v>
      </c>
      <c r="AH56">
        <v>100</v>
      </c>
      <c r="AI56">
        <v>100</v>
      </c>
      <c r="AJ56">
        <v>0</v>
      </c>
      <c r="AK56">
        <v>100</v>
      </c>
      <c r="AL56">
        <v>100</v>
      </c>
      <c r="AM56">
        <v>100</v>
      </c>
      <c r="AN56">
        <v>99.64</v>
      </c>
      <c r="AO56">
        <v>100</v>
      </c>
      <c r="AP56">
        <v>100</v>
      </c>
      <c r="AQ56">
        <v>100</v>
      </c>
      <c r="AR56">
        <v>100</v>
      </c>
      <c r="AS56">
        <v>100</v>
      </c>
      <c r="AT56">
        <v>100</v>
      </c>
      <c r="AU56">
        <v>100</v>
      </c>
      <c r="AV56">
        <v>100</v>
      </c>
      <c r="AW56">
        <v>99.86</v>
      </c>
      <c r="AX56">
        <v>100</v>
      </c>
      <c r="AY56">
        <v>100</v>
      </c>
      <c r="AZ56">
        <v>100</v>
      </c>
      <c r="BA56">
        <v>99.42</v>
      </c>
      <c r="BB56">
        <v>100</v>
      </c>
      <c r="BC56">
        <v>100</v>
      </c>
      <c r="BD56">
        <v>100</v>
      </c>
      <c r="BE56">
        <v>100</v>
      </c>
      <c r="BF56">
        <v>100</v>
      </c>
      <c r="BG56">
        <v>100</v>
      </c>
      <c r="BH56">
        <v>99.08</v>
      </c>
      <c r="BI56">
        <v>100</v>
      </c>
      <c r="BJ56">
        <v>100</v>
      </c>
      <c r="BK56">
        <v>99.98</v>
      </c>
      <c r="BL56">
        <v>100</v>
      </c>
      <c r="BM56">
        <v>100</v>
      </c>
      <c r="BN56">
        <v>100</v>
      </c>
      <c r="BO56">
        <v>100</v>
      </c>
      <c r="BP56">
        <v>100</v>
      </c>
      <c r="BQ56">
        <v>100</v>
      </c>
      <c r="BR56">
        <v>99.9</v>
      </c>
      <c r="BS56">
        <v>100</v>
      </c>
      <c r="BT56">
        <v>0</v>
      </c>
      <c r="BU56">
        <v>0</v>
      </c>
      <c r="BV56">
        <v>100</v>
      </c>
      <c r="BW56">
        <v>100</v>
      </c>
      <c r="BX56">
        <v>99.84</v>
      </c>
      <c r="BY56">
        <v>100</v>
      </c>
      <c r="BZ56">
        <v>100</v>
      </c>
      <c r="CA56">
        <v>100</v>
      </c>
      <c r="CB56">
        <v>100</v>
      </c>
      <c r="CC56">
        <v>100</v>
      </c>
      <c r="CD56">
        <v>100</v>
      </c>
      <c r="CE56">
        <v>99.71</v>
      </c>
      <c r="CF56">
        <v>100</v>
      </c>
      <c r="CG56">
        <v>99.78</v>
      </c>
      <c r="CH56">
        <v>100</v>
      </c>
      <c r="CI56">
        <v>100</v>
      </c>
      <c r="CJ56">
        <v>100</v>
      </c>
      <c r="CK56">
        <v>100</v>
      </c>
      <c r="CL56">
        <v>100</v>
      </c>
      <c r="CM56">
        <v>100</v>
      </c>
      <c r="CN56">
        <v>100</v>
      </c>
      <c r="CO56">
        <v>100</v>
      </c>
      <c r="CP56">
        <v>100</v>
      </c>
      <c r="CQ56">
        <v>100</v>
      </c>
      <c r="CR56">
        <v>100</v>
      </c>
      <c r="CS56">
        <v>97.76</v>
      </c>
    </row>
    <row r="57" spans="1:97" x14ac:dyDescent="0.3">
      <c r="A57" s="155">
        <v>104</v>
      </c>
      <c r="B57" t="s">
        <v>911</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row>
    <row r="58" spans="1:97" x14ac:dyDescent="0.3">
      <c r="A58" s="155">
        <v>107</v>
      </c>
      <c r="B58" t="s">
        <v>912</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row>
    <row r="59" spans="1:97" x14ac:dyDescent="0.3">
      <c r="A59" s="155">
        <v>108</v>
      </c>
      <c r="B59" t="s">
        <v>913</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row>
    <row r="60" spans="1:97" x14ac:dyDescent="0.3">
      <c r="A60" s="155">
        <v>147</v>
      </c>
      <c r="B60" t="s">
        <v>914</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row>
    <row r="61" spans="1:97" x14ac:dyDescent="0.3">
      <c r="A61" s="155">
        <v>148</v>
      </c>
      <c r="B61" t="s">
        <v>915</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row>
    <row r="62" spans="1:97" x14ac:dyDescent="0.3">
      <c r="A62" s="155">
        <v>149</v>
      </c>
      <c r="B62" t="s">
        <v>916</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row>
    <row r="63" spans="1:97" x14ac:dyDescent="0.3">
      <c r="A63" s="155">
        <v>150</v>
      </c>
      <c r="B63" t="s">
        <v>917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row>
    <row r="64" spans="1:97" x14ac:dyDescent="0.3">
      <c r="A64" s="155">
        <v>171</v>
      </c>
      <c r="B64" t="s">
        <v>208</v>
      </c>
      <c r="D64">
        <v>0</v>
      </c>
      <c r="E64">
        <v>362819</v>
      </c>
      <c r="F64">
        <v>314940</v>
      </c>
      <c r="G64">
        <v>0</v>
      </c>
      <c r="H64">
        <v>379048</v>
      </c>
      <c r="I64">
        <v>0</v>
      </c>
      <c r="J64">
        <v>219662</v>
      </c>
      <c r="K64">
        <v>0</v>
      </c>
      <c r="L64">
        <v>8541</v>
      </c>
      <c r="M64">
        <v>915005</v>
      </c>
      <c r="N64">
        <v>21679</v>
      </c>
      <c r="O64">
        <v>0</v>
      </c>
      <c r="P64">
        <v>0</v>
      </c>
      <c r="Q64">
        <v>45985</v>
      </c>
      <c r="R64">
        <v>0</v>
      </c>
      <c r="S64">
        <v>0</v>
      </c>
      <c r="T64">
        <v>195844</v>
      </c>
      <c r="U64">
        <v>0</v>
      </c>
      <c r="V64">
        <v>51733</v>
      </c>
      <c r="W64">
        <v>704069</v>
      </c>
      <c r="X64">
        <v>278255</v>
      </c>
      <c r="Y64">
        <v>0</v>
      </c>
      <c r="Z64">
        <v>262287</v>
      </c>
      <c r="AA64">
        <v>0</v>
      </c>
      <c r="AB64">
        <v>0</v>
      </c>
      <c r="AC64">
        <v>0</v>
      </c>
      <c r="AD64">
        <v>0</v>
      </c>
      <c r="AE64">
        <v>0</v>
      </c>
      <c r="AF64">
        <v>0</v>
      </c>
      <c r="AG64">
        <v>2169343</v>
      </c>
      <c r="AH64">
        <v>0</v>
      </c>
      <c r="AI64">
        <v>168804</v>
      </c>
      <c r="AJ64">
        <v>0</v>
      </c>
      <c r="AK64">
        <v>0</v>
      </c>
      <c r="AL64">
        <v>0</v>
      </c>
      <c r="AM64">
        <v>442066</v>
      </c>
      <c r="AN64">
        <v>126478</v>
      </c>
      <c r="AO64">
        <v>86851</v>
      </c>
      <c r="AP64">
        <v>3906</v>
      </c>
      <c r="AQ64">
        <v>0</v>
      </c>
      <c r="AR64">
        <v>260242</v>
      </c>
      <c r="AS64">
        <v>0</v>
      </c>
      <c r="AT64">
        <v>6064</v>
      </c>
      <c r="AU64">
        <v>0</v>
      </c>
      <c r="AV64">
        <v>35232</v>
      </c>
      <c r="AW64">
        <v>0</v>
      </c>
      <c r="AX64">
        <v>12337</v>
      </c>
      <c r="AY64">
        <v>145824</v>
      </c>
      <c r="AZ64">
        <v>27022</v>
      </c>
      <c r="BA64">
        <v>6619209</v>
      </c>
      <c r="BB64">
        <v>0</v>
      </c>
      <c r="BC64">
        <v>174160</v>
      </c>
      <c r="BD64">
        <v>0</v>
      </c>
      <c r="BE64">
        <v>31130</v>
      </c>
      <c r="BF64">
        <v>0</v>
      </c>
      <c r="BG64">
        <v>0</v>
      </c>
      <c r="BH64">
        <v>41326</v>
      </c>
      <c r="BI64">
        <v>64759</v>
      </c>
      <c r="BJ64">
        <v>170321</v>
      </c>
      <c r="BK64">
        <v>0</v>
      </c>
      <c r="BL64">
        <v>0</v>
      </c>
      <c r="BM64">
        <v>555217</v>
      </c>
      <c r="BN64">
        <v>597054</v>
      </c>
      <c r="BO64">
        <v>293897</v>
      </c>
      <c r="BP64">
        <v>0</v>
      </c>
      <c r="BQ64">
        <v>0</v>
      </c>
      <c r="BR64">
        <v>0</v>
      </c>
      <c r="BS64">
        <v>532418</v>
      </c>
      <c r="BT64">
        <v>0</v>
      </c>
      <c r="BU64">
        <v>0</v>
      </c>
      <c r="BV64">
        <v>81932</v>
      </c>
      <c r="BW64">
        <v>437042</v>
      </c>
      <c r="BX64">
        <v>0</v>
      </c>
      <c r="BY64">
        <v>32837</v>
      </c>
      <c r="BZ64">
        <v>480474</v>
      </c>
      <c r="CA64">
        <v>0</v>
      </c>
      <c r="CB64">
        <v>269515</v>
      </c>
      <c r="CC64">
        <v>266630</v>
      </c>
      <c r="CD64">
        <v>17897635</v>
      </c>
      <c r="CE64">
        <v>349165</v>
      </c>
      <c r="CF64">
        <v>32604</v>
      </c>
      <c r="CG64">
        <v>0</v>
      </c>
      <c r="CH64">
        <v>80431</v>
      </c>
      <c r="CI64">
        <v>96166</v>
      </c>
      <c r="CJ64">
        <v>43119804</v>
      </c>
      <c r="CK64">
        <v>667680</v>
      </c>
      <c r="CL64">
        <v>65471</v>
      </c>
      <c r="CM64">
        <v>162231</v>
      </c>
      <c r="CN64">
        <v>33687</v>
      </c>
      <c r="CO64">
        <v>1759782</v>
      </c>
      <c r="CP64">
        <v>53299</v>
      </c>
      <c r="CQ64">
        <v>98493</v>
      </c>
      <c r="CR64">
        <v>418232</v>
      </c>
      <c r="CS64">
        <v>627193</v>
      </c>
    </row>
    <row r="65" spans="1:97" x14ac:dyDescent="0.3">
      <c r="A65" s="155">
        <v>191</v>
      </c>
      <c r="B65" t="s">
        <v>224</v>
      </c>
      <c r="D65">
        <v>0</v>
      </c>
      <c r="E65">
        <v>0</v>
      </c>
      <c r="F65">
        <v>264914</v>
      </c>
      <c r="G65">
        <v>0</v>
      </c>
      <c r="H65">
        <v>0</v>
      </c>
      <c r="I65">
        <v>0</v>
      </c>
      <c r="J65">
        <v>0</v>
      </c>
      <c r="K65">
        <v>0</v>
      </c>
      <c r="L65">
        <v>0</v>
      </c>
      <c r="M65">
        <v>0</v>
      </c>
      <c r="N65">
        <v>0</v>
      </c>
      <c r="O65">
        <v>0</v>
      </c>
      <c r="P65">
        <v>0</v>
      </c>
      <c r="Q65">
        <v>647107</v>
      </c>
      <c r="R65">
        <v>0</v>
      </c>
      <c r="S65">
        <v>0</v>
      </c>
      <c r="T65">
        <v>0</v>
      </c>
      <c r="U65">
        <v>0</v>
      </c>
      <c r="V65">
        <v>0</v>
      </c>
      <c r="W65">
        <v>0</v>
      </c>
      <c r="X65">
        <v>0</v>
      </c>
      <c r="Y65">
        <v>0</v>
      </c>
      <c r="Z65">
        <v>0</v>
      </c>
      <c r="AA65">
        <v>0</v>
      </c>
      <c r="AB65">
        <v>0</v>
      </c>
      <c r="AC65">
        <v>0</v>
      </c>
      <c r="AD65">
        <v>78320</v>
      </c>
      <c r="AE65">
        <v>499907</v>
      </c>
      <c r="AF65">
        <v>0</v>
      </c>
      <c r="AG65">
        <v>2896468</v>
      </c>
      <c r="AH65">
        <v>0</v>
      </c>
      <c r="AI65">
        <v>0</v>
      </c>
      <c r="AJ65">
        <v>0</v>
      </c>
      <c r="AK65">
        <v>0</v>
      </c>
      <c r="AL65">
        <v>62061</v>
      </c>
      <c r="AM65">
        <v>0</v>
      </c>
      <c r="AN65">
        <v>235815</v>
      </c>
      <c r="AO65">
        <v>0</v>
      </c>
      <c r="AP65">
        <v>0</v>
      </c>
      <c r="AQ65">
        <v>0</v>
      </c>
      <c r="AR65">
        <v>2049398</v>
      </c>
      <c r="AS65">
        <v>0</v>
      </c>
      <c r="AT65">
        <v>0</v>
      </c>
      <c r="AU65">
        <v>0</v>
      </c>
      <c r="AV65">
        <v>0</v>
      </c>
      <c r="AW65">
        <v>0</v>
      </c>
      <c r="AX65">
        <v>0</v>
      </c>
      <c r="AY65">
        <v>3000</v>
      </c>
      <c r="AZ65">
        <v>0</v>
      </c>
      <c r="BA65">
        <v>0</v>
      </c>
      <c r="BB65">
        <v>0</v>
      </c>
      <c r="BC65">
        <v>0</v>
      </c>
      <c r="BD65">
        <v>0</v>
      </c>
      <c r="BE65">
        <v>8574</v>
      </c>
      <c r="BF65">
        <v>758238</v>
      </c>
      <c r="BG65">
        <v>0</v>
      </c>
      <c r="BH65">
        <v>846163</v>
      </c>
      <c r="BI65">
        <v>18800</v>
      </c>
      <c r="BJ65">
        <v>128645</v>
      </c>
      <c r="BK65">
        <v>0</v>
      </c>
      <c r="BL65">
        <v>0</v>
      </c>
      <c r="BM65">
        <v>0</v>
      </c>
      <c r="BN65">
        <v>0</v>
      </c>
      <c r="BO65">
        <v>0</v>
      </c>
      <c r="BP65">
        <v>0</v>
      </c>
      <c r="BQ65">
        <v>0</v>
      </c>
      <c r="BR65">
        <v>0</v>
      </c>
      <c r="BS65">
        <v>0</v>
      </c>
      <c r="BT65">
        <v>0</v>
      </c>
      <c r="BU65">
        <v>0</v>
      </c>
      <c r="BV65">
        <v>86707</v>
      </c>
      <c r="BW65">
        <v>0</v>
      </c>
      <c r="BX65">
        <v>0</v>
      </c>
      <c r="BY65">
        <v>149490</v>
      </c>
      <c r="BZ65">
        <v>52057</v>
      </c>
      <c r="CA65">
        <v>0</v>
      </c>
      <c r="CB65">
        <v>0</v>
      </c>
      <c r="CC65">
        <v>0</v>
      </c>
      <c r="CD65">
        <v>0</v>
      </c>
      <c r="CE65">
        <v>106850</v>
      </c>
      <c r="CF65">
        <v>0</v>
      </c>
      <c r="CG65">
        <v>0</v>
      </c>
      <c r="CH65">
        <v>0</v>
      </c>
      <c r="CI65">
        <v>0</v>
      </c>
      <c r="CJ65">
        <v>7698626</v>
      </c>
      <c r="CK65">
        <v>0</v>
      </c>
      <c r="CL65">
        <v>0</v>
      </c>
      <c r="CM65">
        <v>0</v>
      </c>
      <c r="CN65">
        <v>161311</v>
      </c>
      <c r="CO65">
        <v>0</v>
      </c>
      <c r="CP65">
        <v>0</v>
      </c>
      <c r="CQ65">
        <v>0</v>
      </c>
      <c r="CR65">
        <v>0</v>
      </c>
      <c r="CS65">
        <v>0</v>
      </c>
    </row>
    <row r="66" spans="1:97" x14ac:dyDescent="0.3">
      <c r="A66" s="155">
        <v>192</v>
      </c>
      <c r="B66" t="s">
        <v>235</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9581</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row>
    <row r="67" spans="1:97" x14ac:dyDescent="0.3">
      <c r="A67" s="155">
        <v>193</v>
      </c>
      <c r="B67" t="s">
        <v>283</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row>
    <row r="68" spans="1:97" x14ac:dyDescent="0.3">
      <c r="A68" s="155">
        <v>194</v>
      </c>
      <c r="B68" t="s">
        <v>918</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row>
    <row r="69" spans="1:97" x14ac:dyDescent="0.3">
      <c r="A69" s="155">
        <v>252</v>
      </c>
      <c r="B69" t="s">
        <v>95</v>
      </c>
      <c r="D69">
        <v>83513</v>
      </c>
      <c r="E69">
        <v>3935537</v>
      </c>
      <c r="F69">
        <v>1195879</v>
      </c>
      <c r="G69">
        <v>160405</v>
      </c>
      <c r="H69">
        <v>10852479</v>
      </c>
      <c r="I69">
        <v>868804</v>
      </c>
      <c r="J69">
        <v>3548934</v>
      </c>
      <c r="K69">
        <v>1356806</v>
      </c>
      <c r="L69">
        <v>1108035</v>
      </c>
      <c r="M69">
        <v>44053530</v>
      </c>
      <c r="N69">
        <v>852261</v>
      </c>
      <c r="O69">
        <v>591585</v>
      </c>
      <c r="P69">
        <v>1975516</v>
      </c>
      <c r="Q69">
        <v>798405</v>
      </c>
      <c r="R69">
        <v>6135</v>
      </c>
      <c r="S69">
        <v>254190</v>
      </c>
      <c r="T69">
        <v>1936237</v>
      </c>
      <c r="U69">
        <v>7132799</v>
      </c>
      <c r="V69">
        <v>15837598</v>
      </c>
      <c r="W69">
        <v>21902281</v>
      </c>
      <c r="X69">
        <v>5599105</v>
      </c>
      <c r="Y69">
        <v>341694</v>
      </c>
      <c r="Z69">
        <v>9202265</v>
      </c>
      <c r="AA69">
        <v>4223253</v>
      </c>
      <c r="AB69">
        <v>13094</v>
      </c>
      <c r="AC69">
        <v>9636165</v>
      </c>
      <c r="AD69">
        <v>1540556</v>
      </c>
      <c r="AE69">
        <v>872575</v>
      </c>
      <c r="AF69">
        <v>184207</v>
      </c>
      <c r="AG69">
        <v>8868628</v>
      </c>
      <c r="AH69">
        <v>1826282</v>
      </c>
      <c r="AI69">
        <v>6016538</v>
      </c>
      <c r="AJ69">
        <v>5607460</v>
      </c>
      <c r="AK69">
        <v>461826</v>
      </c>
      <c r="AL69">
        <v>2947172</v>
      </c>
      <c r="AM69">
        <v>5592746</v>
      </c>
      <c r="AN69">
        <v>5225944</v>
      </c>
      <c r="AO69">
        <v>3653000</v>
      </c>
      <c r="AP69">
        <v>58488</v>
      </c>
      <c r="AQ69">
        <v>69453</v>
      </c>
      <c r="AR69">
        <v>3434769</v>
      </c>
      <c r="AS69">
        <v>305142</v>
      </c>
      <c r="AT69">
        <v>1204927</v>
      </c>
      <c r="AU69">
        <v>833032</v>
      </c>
      <c r="AV69">
        <v>288502</v>
      </c>
      <c r="AW69">
        <v>57295</v>
      </c>
      <c r="AX69">
        <v>825305</v>
      </c>
      <c r="AY69">
        <v>5145105</v>
      </c>
      <c r="AZ69">
        <v>1273947</v>
      </c>
      <c r="BA69">
        <v>242074620</v>
      </c>
      <c r="BB69">
        <v>3991678</v>
      </c>
      <c r="BC69">
        <v>3604648</v>
      </c>
      <c r="BD69">
        <v>3728522</v>
      </c>
      <c r="BE69">
        <v>1214947</v>
      </c>
      <c r="BF69">
        <v>3420822</v>
      </c>
      <c r="BG69">
        <v>50149</v>
      </c>
      <c r="BH69">
        <v>307971</v>
      </c>
      <c r="BI69">
        <v>1563451</v>
      </c>
      <c r="BJ69">
        <v>25904495</v>
      </c>
      <c r="BK69">
        <v>152452</v>
      </c>
      <c r="BL69">
        <v>27905</v>
      </c>
      <c r="BM69">
        <v>54644383</v>
      </c>
      <c r="BN69">
        <v>16811673</v>
      </c>
      <c r="BO69">
        <v>12723493</v>
      </c>
      <c r="BP69">
        <v>175390</v>
      </c>
      <c r="BQ69">
        <v>2012713</v>
      </c>
      <c r="BR69">
        <v>1125653</v>
      </c>
      <c r="BS69">
        <v>6020491</v>
      </c>
      <c r="BT69">
        <v>4532571</v>
      </c>
      <c r="BU69">
        <v>2469037</v>
      </c>
      <c r="BV69">
        <v>3183884</v>
      </c>
      <c r="BW69">
        <v>4874530</v>
      </c>
      <c r="BX69">
        <v>284963</v>
      </c>
      <c r="BY69">
        <v>2392102</v>
      </c>
      <c r="BZ69">
        <v>5493009</v>
      </c>
      <c r="CA69">
        <v>166254</v>
      </c>
      <c r="CB69">
        <v>4719144</v>
      </c>
      <c r="CC69">
        <v>7838508</v>
      </c>
      <c r="CD69">
        <v>260026675</v>
      </c>
      <c r="CE69">
        <v>67617154</v>
      </c>
      <c r="CF69">
        <v>863294</v>
      </c>
      <c r="CG69">
        <v>6307161</v>
      </c>
      <c r="CH69">
        <v>416253</v>
      </c>
      <c r="CI69">
        <v>2314527</v>
      </c>
      <c r="CJ69">
        <v>234366934</v>
      </c>
      <c r="CK69">
        <v>21432114</v>
      </c>
      <c r="CL69">
        <v>446732</v>
      </c>
      <c r="CM69">
        <v>904742</v>
      </c>
      <c r="CN69">
        <v>452372</v>
      </c>
      <c r="CO69">
        <v>15251208</v>
      </c>
      <c r="CP69">
        <v>4978417</v>
      </c>
      <c r="CQ69">
        <v>2977857</v>
      </c>
      <c r="CR69">
        <v>1966261</v>
      </c>
      <c r="CS69">
        <v>42097705</v>
      </c>
    </row>
    <row r="70" spans="1:97" x14ac:dyDescent="0.3">
      <c r="A70" s="155">
        <v>253</v>
      </c>
      <c r="B70" t="s">
        <v>96</v>
      </c>
      <c r="D70">
        <v>110045</v>
      </c>
      <c r="E70">
        <v>457854</v>
      </c>
      <c r="F70">
        <v>697226</v>
      </c>
      <c r="G70">
        <v>305979</v>
      </c>
      <c r="H70">
        <v>1090063</v>
      </c>
      <c r="I70">
        <v>175795</v>
      </c>
      <c r="J70">
        <v>893678</v>
      </c>
      <c r="K70">
        <v>247095</v>
      </c>
      <c r="L70">
        <v>273254</v>
      </c>
      <c r="M70">
        <v>8481374</v>
      </c>
      <c r="N70">
        <v>91982</v>
      </c>
      <c r="O70">
        <v>115921</v>
      </c>
      <c r="P70">
        <v>95145</v>
      </c>
      <c r="Q70">
        <v>407815</v>
      </c>
      <c r="R70">
        <v>83364</v>
      </c>
      <c r="S70">
        <v>83188</v>
      </c>
      <c r="T70">
        <v>86195</v>
      </c>
      <c r="U70">
        <v>192200</v>
      </c>
      <c r="V70">
        <v>4605847</v>
      </c>
      <c r="W70">
        <v>9226718</v>
      </c>
      <c r="X70">
        <v>1169631</v>
      </c>
      <c r="Y70">
        <v>113162</v>
      </c>
      <c r="Z70">
        <v>2216348</v>
      </c>
      <c r="AA70">
        <v>1582401</v>
      </c>
      <c r="AB70">
        <v>16773</v>
      </c>
      <c r="AC70">
        <v>3152996</v>
      </c>
      <c r="AD70">
        <v>210587</v>
      </c>
      <c r="AE70">
        <v>272299</v>
      </c>
      <c r="AF70">
        <v>147039</v>
      </c>
      <c r="AG70">
        <v>4945913</v>
      </c>
      <c r="AH70">
        <v>597291</v>
      </c>
      <c r="AI70">
        <v>290418</v>
      </c>
      <c r="AJ70">
        <v>562076</v>
      </c>
      <c r="AK70">
        <v>25208</v>
      </c>
      <c r="AL70">
        <v>2791392</v>
      </c>
      <c r="AM70">
        <v>1667484</v>
      </c>
      <c r="AN70">
        <v>1476200</v>
      </c>
      <c r="AO70">
        <v>1082328</v>
      </c>
      <c r="AP70">
        <v>39305</v>
      </c>
      <c r="AQ70">
        <v>63353</v>
      </c>
      <c r="AR70">
        <v>835984</v>
      </c>
      <c r="AS70">
        <v>208799</v>
      </c>
      <c r="AT70">
        <v>91287</v>
      </c>
      <c r="AU70">
        <v>44452</v>
      </c>
      <c r="AV70">
        <v>156914</v>
      </c>
      <c r="AW70">
        <v>116681</v>
      </c>
      <c r="AX70">
        <v>169122</v>
      </c>
      <c r="AY70">
        <v>1144067</v>
      </c>
      <c r="AZ70">
        <v>149243</v>
      </c>
      <c r="BA70">
        <v>6794284</v>
      </c>
      <c r="BB70">
        <v>938448</v>
      </c>
      <c r="BC70">
        <v>836445</v>
      </c>
      <c r="BD70">
        <v>186704</v>
      </c>
      <c r="BE70">
        <v>263723</v>
      </c>
      <c r="BF70">
        <v>168395</v>
      </c>
      <c r="BG70">
        <v>47230</v>
      </c>
      <c r="BH70">
        <v>278499</v>
      </c>
      <c r="BI70">
        <v>837625</v>
      </c>
      <c r="BJ70">
        <v>4226930</v>
      </c>
      <c r="BK70">
        <v>106801</v>
      </c>
      <c r="BL70">
        <v>39965</v>
      </c>
      <c r="BM70">
        <v>6548808</v>
      </c>
      <c r="BN70">
        <v>2475701</v>
      </c>
      <c r="BO70">
        <v>1049104</v>
      </c>
      <c r="BP70">
        <v>12386</v>
      </c>
      <c r="BQ70">
        <v>196359</v>
      </c>
      <c r="BR70">
        <v>419042</v>
      </c>
      <c r="BS70">
        <v>1069818</v>
      </c>
      <c r="BT70">
        <v>186421</v>
      </c>
      <c r="BU70">
        <v>159436</v>
      </c>
      <c r="BV70">
        <v>921108</v>
      </c>
      <c r="BW70">
        <v>294079</v>
      </c>
      <c r="BX70">
        <v>171306</v>
      </c>
      <c r="BY70">
        <v>426101</v>
      </c>
      <c r="BZ70">
        <v>1882075</v>
      </c>
      <c r="CA70">
        <v>18505</v>
      </c>
      <c r="CB70">
        <v>1006601</v>
      </c>
      <c r="CC70">
        <v>1435942</v>
      </c>
      <c r="CD70">
        <v>53089657</v>
      </c>
      <c r="CE70">
        <v>16396129</v>
      </c>
      <c r="CF70">
        <v>277356</v>
      </c>
      <c r="CG70">
        <v>1836243</v>
      </c>
      <c r="CH70">
        <v>102515</v>
      </c>
      <c r="CI70">
        <v>395312</v>
      </c>
      <c r="CJ70">
        <v>107418521</v>
      </c>
      <c r="CK70">
        <v>1491884</v>
      </c>
      <c r="CL70">
        <v>117735</v>
      </c>
      <c r="CM70">
        <v>2169886</v>
      </c>
      <c r="CN70">
        <v>294546</v>
      </c>
      <c r="CO70">
        <v>1254855</v>
      </c>
      <c r="CP70">
        <v>678707</v>
      </c>
      <c r="CQ70">
        <v>429267</v>
      </c>
      <c r="CR70">
        <v>554055</v>
      </c>
      <c r="CS70">
        <v>2859097</v>
      </c>
    </row>
    <row r="71" spans="1:97" x14ac:dyDescent="0.3">
      <c r="A71" s="155">
        <v>254</v>
      </c>
      <c r="B71" t="s">
        <v>97</v>
      </c>
      <c r="D71">
        <v>692753</v>
      </c>
      <c r="E71">
        <v>3531050</v>
      </c>
      <c r="F71">
        <v>-277236</v>
      </c>
      <c r="G71">
        <v>470133</v>
      </c>
      <c r="H71">
        <v>9105824</v>
      </c>
      <c r="I71">
        <v>904003</v>
      </c>
      <c r="J71">
        <v>276714</v>
      </c>
      <c r="K71">
        <v>374515</v>
      </c>
      <c r="L71">
        <v>843806</v>
      </c>
      <c r="M71">
        <v>23203719</v>
      </c>
      <c r="N71">
        <v>-97688</v>
      </c>
      <c r="O71">
        <v>419926</v>
      </c>
      <c r="P71">
        <v>3017357</v>
      </c>
      <c r="Q71">
        <v>344322</v>
      </c>
      <c r="R71">
        <v>271254</v>
      </c>
      <c r="S71">
        <v>336031</v>
      </c>
      <c r="T71">
        <v>1253364</v>
      </c>
      <c r="U71">
        <v>6795619</v>
      </c>
      <c r="V71">
        <v>1007915</v>
      </c>
      <c r="W71">
        <v>14678023</v>
      </c>
      <c r="X71">
        <v>1404464</v>
      </c>
      <c r="Y71">
        <v>3247211</v>
      </c>
      <c r="Z71">
        <v>6503724</v>
      </c>
      <c r="AA71">
        <v>1616732</v>
      </c>
      <c r="AB71">
        <v>81262</v>
      </c>
      <c r="AC71">
        <v>-18472259</v>
      </c>
      <c r="AD71">
        <v>-275652</v>
      </c>
      <c r="AE71">
        <v>619991</v>
      </c>
      <c r="AF71">
        <v>672310</v>
      </c>
      <c r="AG71">
        <v>-488448</v>
      </c>
      <c r="AH71">
        <v>1373358</v>
      </c>
      <c r="AI71">
        <v>5557693</v>
      </c>
      <c r="AJ71">
        <v>1616461</v>
      </c>
      <c r="AK71">
        <v>698052</v>
      </c>
      <c r="AL71">
        <v>7217459</v>
      </c>
      <c r="AM71">
        <v>1501310</v>
      </c>
      <c r="AN71">
        <v>127852</v>
      </c>
      <c r="AO71">
        <v>536622</v>
      </c>
      <c r="AP71">
        <v>93695</v>
      </c>
      <c r="AQ71">
        <v>3166947</v>
      </c>
      <c r="AR71">
        <v>4868916</v>
      </c>
      <c r="AS71">
        <v>739585</v>
      </c>
      <c r="AT71">
        <v>365088</v>
      </c>
      <c r="AU71">
        <v>1740348</v>
      </c>
      <c r="AV71">
        <v>505893</v>
      </c>
      <c r="AW71">
        <v>71077</v>
      </c>
      <c r="AX71">
        <v>-36912</v>
      </c>
      <c r="AY71">
        <v>-3465235</v>
      </c>
      <c r="AZ71">
        <v>1094780</v>
      </c>
      <c r="BA71">
        <v>3311100</v>
      </c>
      <c r="BB71">
        <v>4407658</v>
      </c>
      <c r="BC71">
        <v>1274872</v>
      </c>
      <c r="BD71">
        <v>3818957</v>
      </c>
      <c r="BE71">
        <v>1356118</v>
      </c>
      <c r="BF71">
        <v>1511713</v>
      </c>
      <c r="BG71">
        <v>227073</v>
      </c>
      <c r="BH71">
        <v>572203</v>
      </c>
      <c r="BI71">
        <v>1798067</v>
      </c>
      <c r="BJ71">
        <v>401661</v>
      </c>
      <c r="BK71">
        <v>428760</v>
      </c>
      <c r="BL71">
        <v>271681</v>
      </c>
      <c r="BM71">
        <v>12708020</v>
      </c>
      <c r="BN71">
        <v>1095113</v>
      </c>
      <c r="BO71">
        <v>2518215</v>
      </c>
      <c r="BP71">
        <v>183628</v>
      </c>
      <c r="BQ71">
        <v>3734194</v>
      </c>
      <c r="BR71">
        <v>968359</v>
      </c>
      <c r="BS71">
        <v>-146127</v>
      </c>
      <c r="BT71">
        <v>1720156</v>
      </c>
      <c r="BU71">
        <v>1556131</v>
      </c>
      <c r="BV71">
        <v>2059318</v>
      </c>
      <c r="BW71">
        <v>2700810</v>
      </c>
      <c r="BX71">
        <v>116288</v>
      </c>
      <c r="BY71">
        <v>956312</v>
      </c>
      <c r="BZ71">
        <v>-944268</v>
      </c>
      <c r="CA71">
        <v>619456</v>
      </c>
      <c r="CB71">
        <v>-3348716</v>
      </c>
      <c r="CC71">
        <v>-632107</v>
      </c>
      <c r="CD71">
        <v>54048205</v>
      </c>
      <c r="CE71">
        <v>-22850042</v>
      </c>
      <c r="CF71">
        <v>1138351</v>
      </c>
      <c r="CG71">
        <v>-422395</v>
      </c>
      <c r="CH71">
        <v>236764</v>
      </c>
      <c r="CI71">
        <v>985904</v>
      </c>
      <c r="CJ71">
        <v>-642509</v>
      </c>
      <c r="CK71">
        <v>6577537</v>
      </c>
      <c r="CL71">
        <v>849906</v>
      </c>
      <c r="CM71">
        <v>-113911</v>
      </c>
      <c r="CN71">
        <v>985748</v>
      </c>
      <c r="CO71">
        <v>13697669</v>
      </c>
      <c r="CP71">
        <v>2271678</v>
      </c>
      <c r="CQ71">
        <v>1676341</v>
      </c>
      <c r="CR71">
        <v>1953205</v>
      </c>
      <c r="CS71">
        <v>4733482</v>
      </c>
    </row>
    <row r="72" spans="1:97" x14ac:dyDescent="0.3">
      <c r="A72" s="155">
        <v>255</v>
      </c>
      <c r="B72" t="s">
        <v>188</v>
      </c>
      <c r="D72">
        <v>48594</v>
      </c>
      <c r="E72">
        <v>923555</v>
      </c>
      <c r="F72">
        <v>12430</v>
      </c>
      <c r="G72">
        <v>46856</v>
      </c>
      <c r="H72">
        <v>-160107</v>
      </c>
      <c r="I72">
        <v>167189</v>
      </c>
      <c r="J72">
        <v>180011</v>
      </c>
      <c r="K72">
        <v>149667</v>
      </c>
      <c r="L72">
        <v>115793</v>
      </c>
      <c r="M72">
        <v>4965496</v>
      </c>
      <c r="N72">
        <v>551391</v>
      </c>
      <c r="O72">
        <v>178506</v>
      </c>
      <c r="P72">
        <v>3273</v>
      </c>
      <c r="Q72">
        <v>155190</v>
      </c>
      <c r="R72">
        <v>15925</v>
      </c>
      <c r="S72">
        <v>-9302</v>
      </c>
      <c r="T72">
        <v>164516</v>
      </c>
      <c r="U72">
        <v>878019</v>
      </c>
      <c r="V72">
        <v>1344516</v>
      </c>
      <c r="W72">
        <v>16090492</v>
      </c>
      <c r="X72">
        <v>379371</v>
      </c>
      <c r="Y72">
        <v>-529271</v>
      </c>
      <c r="Z72">
        <v>511927</v>
      </c>
      <c r="AA72">
        <v>492637</v>
      </c>
      <c r="AB72">
        <v>16729</v>
      </c>
      <c r="AC72">
        <v>-1768279</v>
      </c>
      <c r="AD72">
        <v>312830</v>
      </c>
      <c r="AE72">
        <v>-292687</v>
      </c>
      <c r="AF72">
        <v>99418</v>
      </c>
      <c r="AG72">
        <v>814986</v>
      </c>
      <c r="AH72">
        <v>-168935</v>
      </c>
      <c r="AI72">
        <v>-8991</v>
      </c>
      <c r="AJ72">
        <v>325509</v>
      </c>
      <c r="AK72">
        <v>341732</v>
      </c>
      <c r="AL72">
        <v>1022615</v>
      </c>
      <c r="AM72">
        <v>1595457</v>
      </c>
      <c r="AN72">
        <v>-123518</v>
      </c>
      <c r="AO72">
        <v>163795</v>
      </c>
      <c r="AP72">
        <v>762</v>
      </c>
      <c r="AQ72">
        <v>103499</v>
      </c>
      <c r="AR72">
        <v>412546</v>
      </c>
      <c r="AS72">
        <v>32176</v>
      </c>
      <c r="AT72">
        <v>50626</v>
      </c>
      <c r="AU72">
        <v>148467</v>
      </c>
      <c r="AV72">
        <v>94501</v>
      </c>
      <c r="AW72">
        <v>-16543</v>
      </c>
      <c r="AX72">
        <v>26762</v>
      </c>
      <c r="AY72">
        <v>201867</v>
      </c>
      <c r="AZ72">
        <v>104892</v>
      </c>
      <c r="BA72">
        <v>19789746</v>
      </c>
      <c r="BB72">
        <v>421342</v>
      </c>
      <c r="BC72">
        <v>406127</v>
      </c>
      <c r="BD72">
        <v>500709</v>
      </c>
      <c r="BE72">
        <v>297191</v>
      </c>
      <c r="BF72">
        <v>94607</v>
      </c>
      <c r="BG72">
        <v>-10687</v>
      </c>
      <c r="BH72">
        <v>-94533</v>
      </c>
      <c r="BI72">
        <v>-236787</v>
      </c>
      <c r="BJ72">
        <v>821161</v>
      </c>
      <c r="BK72">
        <v>100131</v>
      </c>
      <c r="BL72">
        <v>53528</v>
      </c>
      <c r="BM72">
        <v>8287709</v>
      </c>
      <c r="BN72">
        <v>18612</v>
      </c>
      <c r="BO72">
        <v>827526</v>
      </c>
      <c r="BP72">
        <v>46574</v>
      </c>
      <c r="BQ72">
        <v>443763</v>
      </c>
      <c r="BR72">
        <v>-436681</v>
      </c>
      <c r="BS72">
        <v>1184311</v>
      </c>
      <c r="BT72">
        <v>325827</v>
      </c>
      <c r="BU72">
        <v>2489</v>
      </c>
      <c r="BV72">
        <v>662404</v>
      </c>
      <c r="BW72">
        <v>704577</v>
      </c>
      <c r="BX72">
        <v>-155846</v>
      </c>
      <c r="BY72">
        <v>164324</v>
      </c>
      <c r="BZ72">
        <v>-292111</v>
      </c>
      <c r="CA72">
        <v>32737</v>
      </c>
      <c r="CB72">
        <v>-686734</v>
      </c>
      <c r="CC72">
        <v>44787</v>
      </c>
      <c r="CD72">
        <v>14863185</v>
      </c>
      <c r="CE72">
        <v>-1284356</v>
      </c>
      <c r="CF72">
        <v>122594</v>
      </c>
      <c r="CG72">
        <v>365109</v>
      </c>
      <c r="CH72">
        <v>55371</v>
      </c>
      <c r="CI72">
        <v>127277</v>
      </c>
      <c r="CJ72">
        <v>35998271</v>
      </c>
      <c r="CK72">
        <v>1966548</v>
      </c>
      <c r="CL72">
        <v>-184325</v>
      </c>
      <c r="CM72">
        <v>804484</v>
      </c>
      <c r="CN72">
        <v>111065</v>
      </c>
      <c r="CO72">
        <v>5543003</v>
      </c>
      <c r="CP72">
        <v>236879</v>
      </c>
      <c r="CQ72">
        <v>427518</v>
      </c>
      <c r="CR72">
        <v>871185</v>
      </c>
      <c r="CS72">
        <v>14309999</v>
      </c>
    </row>
    <row r="73" spans="1:97" x14ac:dyDescent="0.3">
      <c r="A73" s="155">
        <v>294</v>
      </c>
      <c r="B73" t="s">
        <v>919</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row>
    <row r="74" spans="1:97" x14ac:dyDescent="0.3">
      <c r="A74" s="155">
        <v>327</v>
      </c>
      <c r="B74" t="s">
        <v>920</v>
      </c>
      <c r="D74">
        <v>0</v>
      </c>
      <c r="E74">
        <v>0</v>
      </c>
      <c r="F74">
        <v>24040</v>
      </c>
      <c r="G74">
        <v>0</v>
      </c>
      <c r="H74">
        <v>0</v>
      </c>
      <c r="I74">
        <v>0</v>
      </c>
      <c r="J74">
        <v>624775</v>
      </c>
      <c r="K74">
        <v>89940</v>
      </c>
      <c r="L74">
        <v>66250</v>
      </c>
      <c r="M74">
        <v>1555255</v>
      </c>
      <c r="N74">
        <v>0</v>
      </c>
      <c r="O74">
        <v>0</v>
      </c>
      <c r="P74">
        <v>8500</v>
      </c>
      <c r="Q74">
        <v>28360</v>
      </c>
      <c r="R74">
        <v>0</v>
      </c>
      <c r="S74">
        <v>177409</v>
      </c>
      <c r="T74">
        <v>0</v>
      </c>
      <c r="U74">
        <v>0</v>
      </c>
      <c r="V74">
        <v>0</v>
      </c>
      <c r="W74">
        <v>5245933</v>
      </c>
      <c r="X74">
        <v>0</v>
      </c>
      <c r="Y74">
        <v>12643</v>
      </c>
      <c r="Z74">
        <v>0</v>
      </c>
      <c r="AA74">
        <v>41727</v>
      </c>
      <c r="AB74">
        <v>0</v>
      </c>
      <c r="AC74">
        <v>427564</v>
      </c>
      <c r="AD74">
        <v>181809</v>
      </c>
      <c r="AE74">
        <v>0</v>
      </c>
      <c r="AF74">
        <v>3040</v>
      </c>
      <c r="AG74">
        <v>390831</v>
      </c>
      <c r="AH74">
        <v>0</v>
      </c>
      <c r="AI74">
        <v>1303353</v>
      </c>
      <c r="AJ74">
        <v>0</v>
      </c>
      <c r="AK74">
        <v>558695</v>
      </c>
      <c r="AL74">
        <v>14186</v>
      </c>
      <c r="AM74">
        <v>148136</v>
      </c>
      <c r="AN74">
        <v>631356</v>
      </c>
      <c r="AO74">
        <v>72469</v>
      </c>
      <c r="AP74">
        <v>3348</v>
      </c>
      <c r="AQ74">
        <v>0</v>
      </c>
      <c r="AR74">
        <v>316070</v>
      </c>
      <c r="AS74">
        <v>43517</v>
      </c>
      <c r="AT74">
        <v>0</v>
      </c>
      <c r="AU74">
        <v>0</v>
      </c>
      <c r="AV74">
        <v>0</v>
      </c>
      <c r="AW74">
        <v>0</v>
      </c>
      <c r="AX74">
        <v>25750</v>
      </c>
      <c r="AY74">
        <v>23052</v>
      </c>
      <c r="AZ74">
        <v>4375</v>
      </c>
      <c r="BA74">
        <v>0</v>
      </c>
      <c r="BB74">
        <v>0</v>
      </c>
      <c r="BC74">
        <v>57846</v>
      </c>
      <c r="BD74">
        <v>0</v>
      </c>
      <c r="BE74">
        <v>168102</v>
      </c>
      <c r="BF74">
        <v>73084</v>
      </c>
      <c r="BG74">
        <v>0</v>
      </c>
      <c r="BH74">
        <v>5250</v>
      </c>
      <c r="BI74">
        <v>33218</v>
      </c>
      <c r="BJ74">
        <v>143019</v>
      </c>
      <c r="BK74">
        <v>0</v>
      </c>
      <c r="BL74">
        <v>0</v>
      </c>
      <c r="BM74">
        <v>0</v>
      </c>
      <c r="BN74">
        <v>1596862</v>
      </c>
      <c r="BO74">
        <v>146035</v>
      </c>
      <c r="BP74">
        <v>0</v>
      </c>
      <c r="BQ74">
        <v>0</v>
      </c>
      <c r="BR74">
        <v>38500</v>
      </c>
      <c r="BS74">
        <v>0</v>
      </c>
      <c r="BT74">
        <v>0</v>
      </c>
      <c r="BU74">
        <v>0</v>
      </c>
      <c r="BV74">
        <v>140780</v>
      </c>
      <c r="BW74">
        <v>0</v>
      </c>
      <c r="BX74">
        <v>0</v>
      </c>
      <c r="BY74">
        <v>43898</v>
      </c>
      <c r="BZ74">
        <v>206018</v>
      </c>
      <c r="CA74">
        <v>0</v>
      </c>
      <c r="CB74">
        <v>609932</v>
      </c>
      <c r="CC74">
        <v>112022</v>
      </c>
      <c r="CD74">
        <v>0</v>
      </c>
      <c r="CE74">
        <v>20400159</v>
      </c>
      <c r="CF74">
        <v>357356</v>
      </c>
      <c r="CG74">
        <v>4500</v>
      </c>
      <c r="CH74">
        <v>0</v>
      </c>
      <c r="CI74">
        <v>208937</v>
      </c>
      <c r="CJ74">
        <v>19165310</v>
      </c>
      <c r="CK74">
        <v>8000</v>
      </c>
      <c r="CL74">
        <v>131222</v>
      </c>
      <c r="CM74">
        <v>0</v>
      </c>
      <c r="CN74">
        <v>102033</v>
      </c>
      <c r="CO74">
        <v>0</v>
      </c>
      <c r="CP74">
        <v>982164</v>
      </c>
      <c r="CQ74">
        <v>19407</v>
      </c>
      <c r="CR74">
        <v>0</v>
      </c>
      <c r="CS74">
        <v>0</v>
      </c>
    </row>
    <row r="75" spans="1:97" x14ac:dyDescent="0.3">
      <c r="A75" s="155">
        <v>328</v>
      </c>
      <c r="B75" t="s">
        <v>306</v>
      </c>
      <c r="D75">
        <v>0</v>
      </c>
      <c r="E75">
        <v>0</v>
      </c>
      <c r="F75">
        <v>574183</v>
      </c>
      <c r="G75">
        <v>0</v>
      </c>
      <c r="H75">
        <v>0</v>
      </c>
      <c r="I75">
        <v>0</v>
      </c>
      <c r="J75">
        <v>0</v>
      </c>
      <c r="K75">
        <v>70748</v>
      </c>
      <c r="L75">
        <v>0</v>
      </c>
      <c r="M75">
        <v>3942490</v>
      </c>
      <c r="N75">
        <v>0</v>
      </c>
      <c r="O75">
        <v>0</v>
      </c>
      <c r="P75">
        <v>0</v>
      </c>
      <c r="Q75">
        <v>0</v>
      </c>
      <c r="R75">
        <v>0</v>
      </c>
      <c r="S75">
        <v>0</v>
      </c>
      <c r="T75">
        <v>0</v>
      </c>
      <c r="U75">
        <v>0</v>
      </c>
      <c r="V75">
        <v>0</v>
      </c>
      <c r="W75">
        <v>1142658</v>
      </c>
      <c r="X75">
        <v>0</v>
      </c>
      <c r="Y75">
        <v>1625049</v>
      </c>
      <c r="Z75">
        <v>0</v>
      </c>
      <c r="AA75">
        <v>210596</v>
      </c>
      <c r="AB75">
        <v>0</v>
      </c>
      <c r="AC75">
        <v>0</v>
      </c>
      <c r="AD75">
        <v>3946346</v>
      </c>
      <c r="AE75">
        <v>1462907</v>
      </c>
      <c r="AF75">
        <v>0</v>
      </c>
      <c r="AG75">
        <v>7173735</v>
      </c>
      <c r="AH75">
        <v>0</v>
      </c>
      <c r="AI75">
        <v>0</v>
      </c>
      <c r="AJ75">
        <v>0</v>
      </c>
      <c r="AK75">
        <v>0</v>
      </c>
      <c r="AL75">
        <v>85358</v>
      </c>
      <c r="AM75">
        <v>0</v>
      </c>
      <c r="AN75">
        <v>440053</v>
      </c>
      <c r="AO75">
        <v>47770</v>
      </c>
      <c r="AP75">
        <v>0</v>
      </c>
      <c r="AQ75">
        <v>0</v>
      </c>
      <c r="AR75">
        <v>3396839</v>
      </c>
      <c r="AS75">
        <v>0</v>
      </c>
      <c r="AT75">
        <v>0</v>
      </c>
      <c r="AU75">
        <v>0</v>
      </c>
      <c r="AV75">
        <v>0</v>
      </c>
      <c r="AW75">
        <v>0</v>
      </c>
      <c r="AX75">
        <v>0</v>
      </c>
      <c r="AY75">
        <v>597928</v>
      </c>
      <c r="AZ75">
        <v>0</v>
      </c>
      <c r="BA75">
        <v>0</v>
      </c>
      <c r="BB75">
        <v>0</v>
      </c>
      <c r="BC75">
        <v>226246</v>
      </c>
      <c r="BD75">
        <v>0</v>
      </c>
      <c r="BE75">
        <v>99629</v>
      </c>
      <c r="BF75">
        <v>0</v>
      </c>
      <c r="BG75">
        <v>0</v>
      </c>
      <c r="BH75">
        <v>5364863</v>
      </c>
      <c r="BI75">
        <v>0</v>
      </c>
      <c r="BJ75">
        <v>293792</v>
      </c>
      <c r="BK75">
        <v>0</v>
      </c>
      <c r="BL75">
        <v>0</v>
      </c>
      <c r="BM75">
        <v>0</v>
      </c>
      <c r="BN75">
        <v>1002163</v>
      </c>
      <c r="BO75">
        <v>38930</v>
      </c>
      <c r="BP75">
        <v>0</v>
      </c>
      <c r="BQ75">
        <v>0</v>
      </c>
      <c r="BR75">
        <v>0</v>
      </c>
      <c r="BS75">
        <v>0</v>
      </c>
      <c r="BT75">
        <v>0</v>
      </c>
      <c r="BU75">
        <v>0</v>
      </c>
      <c r="BV75">
        <v>0</v>
      </c>
      <c r="BW75">
        <v>0</v>
      </c>
      <c r="BX75">
        <v>228731</v>
      </c>
      <c r="BY75">
        <v>1663019</v>
      </c>
      <c r="BZ75">
        <v>1135835</v>
      </c>
      <c r="CA75">
        <v>60399</v>
      </c>
      <c r="CB75">
        <v>11399846</v>
      </c>
      <c r="CC75">
        <v>0</v>
      </c>
      <c r="CD75">
        <v>0</v>
      </c>
      <c r="CE75">
        <v>5396523</v>
      </c>
      <c r="CF75">
        <v>0</v>
      </c>
      <c r="CG75">
        <v>214120</v>
      </c>
      <c r="CH75">
        <v>0</v>
      </c>
      <c r="CI75">
        <v>0</v>
      </c>
      <c r="CJ75">
        <v>193257793</v>
      </c>
      <c r="CK75">
        <v>1056261</v>
      </c>
      <c r="CL75">
        <v>0</v>
      </c>
      <c r="CM75">
        <v>0</v>
      </c>
      <c r="CN75">
        <v>76627</v>
      </c>
      <c r="CO75">
        <v>470296</v>
      </c>
      <c r="CP75">
        <v>0</v>
      </c>
      <c r="CQ75">
        <v>138345</v>
      </c>
      <c r="CR75">
        <v>0</v>
      </c>
      <c r="CS75">
        <v>0</v>
      </c>
    </row>
    <row r="76" spans="1:97" x14ac:dyDescent="0.3">
      <c r="A76" s="155">
        <v>331</v>
      </c>
      <c r="B76" t="s">
        <v>238</v>
      </c>
      <c r="D76">
        <v>0</v>
      </c>
      <c r="E76">
        <v>0</v>
      </c>
      <c r="F76">
        <v>49555</v>
      </c>
      <c r="G76">
        <v>0</v>
      </c>
      <c r="H76">
        <v>0</v>
      </c>
      <c r="I76">
        <v>0</v>
      </c>
      <c r="J76">
        <v>403887</v>
      </c>
      <c r="K76">
        <v>86287</v>
      </c>
      <c r="L76">
        <v>0</v>
      </c>
      <c r="M76">
        <v>2192526</v>
      </c>
      <c r="N76">
        <v>23000</v>
      </c>
      <c r="O76">
        <v>0</v>
      </c>
      <c r="P76">
        <v>0</v>
      </c>
      <c r="Q76">
        <v>75676</v>
      </c>
      <c r="R76">
        <v>0</v>
      </c>
      <c r="S76">
        <v>12500</v>
      </c>
      <c r="T76">
        <v>0</v>
      </c>
      <c r="U76">
        <v>0</v>
      </c>
      <c r="V76">
        <v>0</v>
      </c>
      <c r="W76">
        <v>1255901</v>
      </c>
      <c r="X76">
        <v>0</v>
      </c>
      <c r="Y76">
        <v>0</v>
      </c>
      <c r="Z76">
        <v>0</v>
      </c>
      <c r="AA76">
        <v>142839</v>
      </c>
      <c r="AB76">
        <v>0</v>
      </c>
      <c r="AC76">
        <v>29478</v>
      </c>
      <c r="AD76">
        <v>316461</v>
      </c>
      <c r="AE76">
        <v>0</v>
      </c>
      <c r="AF76">
        <v>40138</v>
      </c>
      <c r="AG76">
        <v>3393542</v>
      </c>
      <c r="AH76">
        <v>0</v>
      </c>
      <c r="AI76">
        <v>276179</v>
      </c>
      <c r="AJ76">
        <v>0</v>
      </c>
      <c r="AK76">
        <v>0</v>
      </c>
      <c r="AL76">
        <v>435378</v>
      </c>
      <c r="AM76">
        <v>289405</v>
      </c>
      <c r="AN76">
        <v>79133</v>
      </c>
      <c r="AO76">
        <v>212713</v>
      </c>
      <c r="AP76">
        <v>3341</v>
      </c>
      <c r="AQ76">
        <v>0</v>
      </c>
      <c r="AR76">
        <v>288394</v>
      </c>
      <c r="AS76">
        <v>77701</v>
      </c>
      <c r="AT76">
        <v>0</v>
      </c>
      <c r="AU76">
        <v>0</v>
      </c>
      <c r="AV76">
        <v>0</v>
      </c>
      <c r="AW76">
        <v>0</v>
      </c>
      <c r="AX76">
        <v>10000</v>
      </c>
      <c r="AY76">
        <v>92598</v>
      </c>
      <c r="AZ76">
        <v>0</v>
      </c>
      <c r="BA76">
        <v>0</v>
      </c>
      <c r="BB76">
        <v>0</v>
      </c>
      <c r="BC76">
        <v>368672</v>
      </c>
      <c r="BD76">
        <v>0</v>
      </c>
      <c r="BE76">
        <v>106035</v>
      </c>
      <c r="BF76">
        <v>78245</v>
      </c>
      <c r="BG76">
        <v>0</v>
      </c>
      <c r="BH76">
        <v>96158</v>
      </c>
      <c r="BI76">
        <v>131672</v>
      </c>
      <c r="BJ76">
        <v>215378</v>
      </c>
      <c r="BK76">
        <v>0</v>
      </c>
      <c r="BL76">
        <v>0</v>
      </c>
      <c r="BM76">
        <v>0</v>
      </c>
      <c r="BN76">
        <v>178784</v>
      </c>
      <c r="BO76">
        <v>206000</v>
      </c>
      <c r="BP76">
        <v>0</v>
      </c>
      <c r="BQ76">
        <v>0</v>
      </c>
      <c r="BR76">
        <v>0</v>
      </c>
      <c r="BS76">
        <v>0</v>
      </c>
      <c r="BT76">
        <v>0</v>
      </c>
      <c r="BU76">
        <v>0</v>
      </c>
      <c r="BV76">
        <v>123840</v>
      </c>
      <c r="BW76">
        <v>0</v>
      </c>
      <c r="BX76">
        <v>13910</v>
      </c>
      <c r="BY76">
        <v>23688</v>
      </c>
      <c r="BZ76">
        <v>476079</v>
      </c>
      <c r="CA76">
        <v>0</v>
      </c>
      <c r="CB76">
        <v>844263</v>
      </c>
      <c r="CC76">
        <v>676385</v>
      </c>
      <c r="CD76">
        <v>0</v>
      </c>
      <c r="CE76">
        <v>3542700</v>
      </c>
      <c r="CF76">
        <v>41000</v>
      </c>
      <c r="CG76">
        <v>40863</v>
      </c>
      <c r="CH76">
        <v>84142</v>
      </c>
      <c r="CI76">
        <v>171354</v>
      </c>
      <c r="CJ76">
        <v>25361223</v>
      </c>
      <c r="CK76">
        <v>334612</v>
      </c>
      <c r="CL76">
        <v>14647</v>
      </c>
      <c r="CM76">
        <v>0</v>
      </c>
      <c r="CN76">
        <v>22658</v>
      </c>
      <c r="CO76">
        <v>0</v>
      </c>
      <c r="CP76">
        <v>0</v>
      </c>
      <c r="CQ76">
        <v>147934</v>
      </c>
      <c r="CR76">
        <v>0</v>
      </c>
      <c r="CS76">
        <v>0</v>
      </c>
    </row>
    <row r="77" spans="1:97" x14ac:dyDescent="0.3">
      <c r="A77" s="155">
        <v>332</v>
      </c>
      <c r="B77" t="s">
        <v>239</v>
      </c>
      <c r="D77">
        <v>0</v>
      </c>
      <c r="E77">
        <v>0</v>
      </c>
      <c r="F77">
        <v>488356</v>
      </c>
      <c r="G77">
        <v>0</v>
      </c>
      <c r="H77">
        <v>0</v>
      </c>
      <c r="I77">
        <v>16291</v>
      </c>
      <c r="J77">
        <v>0</v>
      </c>
      <c r="K77">
        <v>86055</v>
      </c>
      <c r="L77">
        <v>22723</v>
      </c>
      <c r="M77">
        <v>3914719</v>
      </c>
      <c r="N77">
        <v>0</v>
      </c>
      <c r="O77">
        <v>0</v>
      </c>
      <c r="P77">
        <v>20382</v>
      </c>
      <c r="Q77">
        <v>647107</v>
      </c>
      <c r="R77">
        <v>0</v>
      </c>
      <c r="S77">
        <v>2500</v>
      </c>
      <c r="T77">
        <v>0</v>
      </c>
      <c r="U77">
        <v>0</v>
      </c>
      <c r="V77">
        <v>0</v>
      </c>
      <c r="W77">
        <v>1289486</v>
      </c>
      <c r="X77">
        <v>0</v>
      </c>
      <c r="Y77">
        <v>1094517</v>
      </c>
      <c r="Z77">
        <v>0</v>
      </c>
      <c r="AA77">
        <v>10502</v>
      </c>
      <c r="AB77">
        <v>0</v>
      </c>
      <c r="AC77">
        <v>760343</v>
      </c>
      <c r="AD77">
        <v>556853</v>
      </c>
      <c r="AE77">
        <v>1348648</v>
      </c>
      <c r="AF77">
        <v>0</v>
      </c>
      <c r="AG77">
        <v>5248683</v>
      </c>
      <c r="AH77">
        <v>0</v>
      </c>
      <c r="AI77">
        <v>30921</v>
      </c>
      <c r="AJ77">
        <v>0</v>
      </c>
      <c r="AK77">
        <v>0</v>
      </c>
      <c r="AL77">
        <v>115765</v>
      </c>
      <c r="AM77">
        <v>12810</v>
      </c>
      <c r="AN77">
        <v>398836</v>
      </c>
      <c r="AO77">
        <v>80431</v>
      </c>
      <c r="AP77">
        <v>0</v>
      </c>
      <c r="AQ77">
        <v>0</v>
      </c>
      <c r="AR77">
        <v>3842975</v>
      </c>
      <c r="AS77">
        <v>0</v>
      </c>
      <c r="AT77">
        <v>0</v>
      </c>
      <c r="AU77">
        <v>0</v>
      </c>
      <c r="AV77">
        <v>0</v>
      </c>
      <c r="AW77">
        <v>0</v>
      </c>
      <c r="AX77">
        <v>0</v>
      </c>
      <c r="AY77">
        <v>92803</v>
      </c>
      <c r="AZ77">
        <v>0</v>
      </c>
      <c r="BA77">
        <v>0</v>
      </c>
      <c r="BB77">
        <v>0</v>
      </c>
      <c r="BC77">
        <v>475037</v>
      </c>
      <c r="BD77">
        <v>0</v>
      </c>
      <c r="BE77">
        <v>23755</v>
      </c>
      <c r="BF77">
        <v>828101</v>
      </c>
      <c r="BG77">
        <v>29647</v>
      </c>
      <c r="BH77">
        <v>1297810</v>
      </c>
      <c r="BI77">
        <v>2908075</v>
      </c>
      <c r="BJ77">
        <v>1274768</v>
      </c>
      <c r="BK77">
        <v>0</v>
      </c>
      <c r="BL77">
        <v>0</v>
      </c>
      <c r="BM77">
        <v>0</v>
      </c>
      <c r="BN77">
        <v>1115957</v>
      </c>
      <c r="BO77">
        <v>1212910</v>
      </c>
      <c r="BP77">
        <v>0</v>
      </c>
      <c r="BQ77">
        <v>0</v>
      </c>
      <c r="BR77">
        <v>47392</v>
      </c>
      <c r="BS77">
        <v>0</v>
      </c>
      <c r="BT77">
        <v>0</v>
      </c>
      <c r="BU77">
        <v>0</v>
      </c>
      <c r="BV77">
        <v>257494</v>
      </c>
      <c r="BW77">
        <v>0</v>
      </c>
      <c r="BX77">
        <v>206731</v>
      </c>
      <c r="BY77">
        <v>1508401</v>
      </c>
      <c r="BZ77">
        <v>1025298</v>
      </c>
      <c r="CA77">
        <v>0</v>
      </c>
      <c r="CB77">
        <v>1179942</v>
      </c>
      <c r="CC77">
        <v>22917</v>
      </c>
      <c r="CD77">
        <v>0</v>
      </c>
      <c r="CE77">
        <v>3140467</v>
      </c>
      <c r="CF77">
        <v>0</v>
      </c>
      <c r="CG77">
        <v>124915</v>
      </c>
      <c r="CH77">
        <v>0</v>
      </c>
      <c r="CI77">
        <v>655911</v>
      </c>
      <c r="CJ77">
        <v>52630620</v>
      </c>
      <c r="CK77">
        <v>923910</v>
      </c>
      <c r="CL77">
        <v>0</v>
      </c>
      <c r="CM77">
        <v>0</v>
      </c>
      <c r="CN77">
        <v>35385</v>
      </c>
      <c r="CO77">
        <v>161456</v>
      </c>
      <c r="CP77">
        <v>173219</v>
      </c>
      <c r="CQ77">
        <v>220922</v>
      </c>
      <c r="CR77">
        <v>0</v>
      </c>
      <c r="CS77">
        <v>0</v>
      </c>
    </row>
    <row r="78" spans="1:97" x14ac:dyDescent="0.3">
      <c r="A78" s="155">
        <v>333</v>
      </c>
      <c r="B78" t="s">
        <v>176</v>
      </c>
      <c r="D78">
        <v>688898</v>
      </c>
      <c r="E78">
        <v>3587105</v>
      </c>
      <c r="F78">
        <v>980006</v>
      </c>
      <c r="G78">
        <v>468605</v>
      </c>
      <c r="H78">
        <v>10670500</v>
      </c>
      <c r="I78">
        <v>1128902</v>
      </c>
      <c r="J78">
        <v>1531045</v>
      </c>
      <c r="K78">
        <v>536149</v>
      </c>
      <c r="L78">
        <v>798557</v>
      </c>
      <c r="M78">
        <v>37765807</v>
      </c>
      <c r="N78">
        <v>595913</v>
      </c>
      <c r="O78">
        <v>428677</v>
      </c>
      <c r="P78">
        <v>3045455</v>
      </c>
      <c r="Q78">
        <v>683878</v>
      </c>
      <c r="R78">
        <v>268934</v>
      </c>
      <c r="S78">
        <v>340214</v>
      </c>
      <c r="T78">
        <v>1412764</v>
      </c>
      <c r="U78">
        <v>7141459</v>
      </c>
      <c r="V78">
        <v>11807012</v>
      </c>
      <c r="W78">
        <v>20006358</v>
      </c>
      <c r="X78">
        <v>4061658</v>
      </c>
      <c r="Y78">
        <v>3028958</v>
      </c>
      <c r="Z78">
        <v>9593052</v>
      </c>
      <c r="AA78">
        <v>1972580</v>
      </c>
      <c r="AB78">
        <v>75899</v>
      </c>
      <c r="AC78">
        <v>3462508</v>
      </c>
      <c r="AD78">
        <v>1596556</v>
      </c>
      <c r="AE78">
        <v>752423</v>
      </c>
      <c r="AF78">
        <v>669582</v>
      </c>
      <c r="AG78">
        <v>14401771</v>
      </c>
      <c r="AH78">
        <v>1412969</v>
      </c>
      <c r="AI78">
        <v>6547960</v>
      </c>
      <c r="AJ78">
        <v>1767932</v>
      </c>
      <c r="AK78">
        <v>917047</v>
      </c>
      <c r="AL78">
        <v>7911227</v>
      </c>
      <c r="AM78">
        <v>3241207</v>
      </c>
      <c r="AN78">
        <v>1301668</v>
      </c>
      <c r="AO78">
        <v>932759</v>
      </c>
      <c r="AP78">
        <v>97292</v>
      </c>
      <c r="AQ78">
        <v>3173637</v>
      </c>
      <c r="AR78">
        <v>6705504</v>
      </c>
      <c r="AS78">
        <v>854259</v>
      </c>
      <c r="AT78">
        <v>372742</v>
      </c>
      <c r="AU78">
        <v>1739891</v>
      </c>
      <c r="AV78">
        <v>521804</v>
      </c>
      <c r="AW78">
        <v>72124</v>
      </c>
      <c r="AX78">
        <v>172305</v>
      </c>
      <c r="AY78">
        <v>3013012</v>
      </c>
      <c r="AZ78">
        <v>1099425</v>
      </c>
      <c r="BA78">
        <v>26521076</v>
      </c>
      <c r="BB78">
        <v>4518275</v>
      </c>
      <c r="BC78">
        <v>2062337</v>
      </c>
      <c r="BD78">
        <v>3811686</v>
      </c>
      <c r="BE78">
        <v>1387900</v>
      </c>
      <c r="BF78">
        <v>1657105</v>
      </c>
      <c r="BG78">
        <v>259112</v>
      </c>
      <c r="BH78">
        <v>788088</v>
      </c>
      <c r="BI78">
        <v>2984487</v>
      </c>
      <c r="BJ78">
        <v>9857421</v>
      </c>
      <c r="BK78">
        <v>446987</v>
      </c>
      <c r="BL78">
        <v>270835</v>
      </c>
      <c r="BM78">
        <v>11857019</v>
      </c>
      <c r="BN78">
        <v>11049487</v>
      </c>
      <c r="BO78">
        <v>5903467</v>
      </c>
      <c r="BP78">
        <v>184874</v>
      </c>
      <c r="BQ78">
        <v>388640</v>
      </c>
      <c r="BR78">
        <v>1525199</v>
      </c>
      <c r="BS78">
        <v>8453212</v>
      </c>
      <c r="BT78">
        <v>1738599</v>
      </c>
      <c r="BU78">
        <v>1621261</v>
      </c>
      <c r="BV78">
        <v>2417115</v>
      </c>
      <c r="BW78">
        <v>3407244</v>
      </c>
      <c r="BX78">
        <v>144894</v>
      </c>
      <c r="BY78">
        <v>1334256</v>
      </c>
      <c r="BZ78">
        <v>3070278</v>
      </c>
      <c r="CA78">
        <v>619821</v>
      </c>
      <c r="CB78">
        <v>1533814</v>
      </c>
      <c r="CC78">
        <v>4232291</v>
      </c>
      <c r="CD78">
        <v>174222175</v>
      </c>
      <c r="CE78">
        <v>45431208</v>
      </c>
      <c r="CF78">
        <v>1319327</v>
      </c>
      <c r="CG78">
        <v>1846667</v>
      </c>
      <c r="CH78">
        <v>198881</v>
      </c>
      <c r="CI78">
        <v>1347198</v>
      </c>
      <c r="CJ78">
        <v>259038053</v>
      </c>
      <c r="CK78">
        <v>10598752</v>
      </c>
      <c r="CL78">
        <v>1029805</v>
      </c>
      <c r="CM78">
        <v>3518868</v>
      </c>
      <c r="CN78">
        <v>1006127</v>
      </c>
      <c r="CO78">
        <v>21974879</v>
      </c>
      <c r="CP78">
        <v>3374769</v>
      </c>
      <c r="CQ78">
        <v>1713671</v>
      </c>
      <c r="CR78">
        <v>3075889</v>
      </c>
      <c r="CS78">
        <v>12348541</v>
      </c>
    </row>
    <row r="79" spans="1:97" x14ac:dyDescent="0.3">
      <c r="A79" s="155">
        <v>334</v>
      </c>
      <c r="B79" t="s">
        <v>261</v>
      </c>
      <c r="D79">
        <v>92846</v>
      </c>
      <c r="E79">
        <v>7095604</v>
      </c>
      <c r="F79">
        <v>5643732</v>
      </c>
      <c r="G79">
        <v>174113</v>
      </c>
      <c r="H79">
        <v>44366534</v>
      </c>
      <c r="I79">
        <v>1872015</v>
      </c>
      <c r="J79">
        <v>8220650</v>
      </c>
      <c r="K79">
        <v>2376991</v>
      </c>
      <c r="L79">
        <v>2383557</v>
      </c>
      <c r="M79">
        <v>88575776</v>
      </c>
      <c r="N79">
        <v>1587740</v>
      </c>
      <c r="O79">
        <v>460473</v>
      </c>
      <c r="P79">
        <v>2502224</v>
      </c>
      <c r="Q79">
        <v>2685227</v>
      </c>
      <c r="R79">
        <v>30118</v>
      </c>
      <c r="S79">
        <v>607040</v>
      </c>
      <c r="T79">
        <v>5063509</v>
      </c>
      <c r="U79">
        <v>7402181</v>
      </c>
      <c r="V79">
        <v>16100724</v>
      </c>
      <c r="W79">
        <v>19956650</v>
      </c>
      <c r="X79">
        <v>10804204</v>
      </c>
      <c r="Y79">
        <v>323391</v>
      </c>
      <c r="Z79">
        <v>12854434</v>
      </c>
      <c r="AA79">
        <v>7604734</v>
      </c>
      <c r="AB79">
        <v>91214</v>
      </c>
      <c r="AC79">
        <v>72853010</v>
      </c>
      <c r="AD79">
        <v>2636046</v>
      </c>
      <c r="AE79">
        <v>1101206</v>
      </c>
      <c r="AF79">
        <v>346884</v>
      </c>
      <c r="AG79">
        <v>45090461</v>
      </c>
      <c r="AH79">
        <v>2779490</v>
      </c>
      <c r="AI79">
        <v>3571032</v>
      </c>
      <c r="AJ79">
        <v>4994647</v>
      </c>
      <c r="AK79">
        <v>156842</v>
      </c>
      <c r="AL79">
        <v>3292841</v>
      </c>
      <c r="AM79">
        <v>7529901</v>
      </c>
      <c r="AN79">
        <v>7437946</v>
      </c>
      <c r="AO79">
        <v>6723073</v>
      </c>
      <c r="AP79">
        <v>130151</v>
      </c>
      <c r="AQ79">
        <v>114882</v>
      </c>
      <c r="AR79">
        <v>11069877</v>
      </c>
      <c r="AS79">
        <v>5634031</v>
      </c>
      <c r="AT79">
        <v>376672</v>
      </c>
      <c r="AU79">
        <v>576730</v>
      </c>
      <c r="AV79">
        <v>1122762</v>
      </c>
      <c r="AW79">
        <v>217268</v>
      </c>
      <c r="AX79">
        <v>1156281</v>
      </c>
      <c r="AY79">
        <v>8768685</v>
      </c>
      <c r="AZ79">
        <v>2528744</v>
      </c>
      <c r="BA79">
        <v>280539307</v>
      </c>
      <c r="BB79">
        <v>4440020</v>
      </c>
      <c r="BC79">
        <v>8610577</v>
      </c>
      <c r="BD79">
        <v>3931978</v>
      </c>
      <c r="BE79">
        <v>1598061</v>
      </c>
      <c r="BF79">
        <v>7341382</v>
      </c>
      <c r="BG79">
        <v>127123</v>
      </c>
      <c r="BH79">
        <v>906574</v>
      </c>
      <c r="BI79">
        <v>4022163</v>
      </c>
      <c r="BJ79">
        <v>34775006</v>
      </c>
      <c r="BK79">
        <v>225941</v>
      </c>
      <c r="BL79">
        <v>86409</v>
      </c>
      <c r="BM79">
        <v>86795908</v>
      </c>
      <c r="BN79">
        <v>61623659</v>
      </c>
      <c r="BO79">
        <v>17071716</v>
      </c>
      <c r="BP79">
        <v>340690</v>
      </c>
      <c r="BQ79">
        <v>1528250</v>
      </c>
      <c r="BR79">
        <v>4643669</v>
      </c>
      <c r="BS79">
        <v>9535637</v>
      </c>
      <c r="BT79">
        <v>1148363</v>
      </c>
      <c r="BU79">
        <v>2534161</v>
      </c>
      <c r="BV79">
        <v>6930259</v>
      </c>
      <c r="BW79">
        <v>9197449</v>
      </c>
      <c r="BX79">
        <v>1139274</v>
      </c>
      <c r="BY79">
        <v>5363331</v>
      </c>
      <c r="BZ79">
        <v>16906856</v>
      </c>
      <c r="CA79">
        <v>340017</v>
      </c>
      <c r="CB79">
        <v>10259781</v>
      </c>
      <c r="CC79">
        <v>19676691</v>
      </c>
      <c r="CD79">
        <v>562858191</v>
      </c>
      <c r="CE79">
        <v>114497597</v>
      </c>
      <c r="CF79">
        <v>1139611</v>
      </c>
      <c r="CG79">
        <v>8603096</v>
      </c>
      <c r="CH79">
        <v>1925537</v>
      </c>
      <c r="CI79">
        <v>6183788</v>
      </c>
      <c r="CJ79">
        <v>672078096</v>
      </c>
      <c r="CK79">
        <v>47269732</v>
      </c>
      <c r="CL79">
        <v>2062243</v>
      </c>
      <c r="CM79">
        <v>3354964</v>
      </c>
      <c r="CN79">
        <v>1389714</v>
      </c>
      <c r="CO79">
        <v>16982752</v>
      </c>
      <c r="CP79">
        <v>6455269</v>
      </c>
      <c r="CQ79">
        <v>4566048</v>
      </c>
      <c r="CR79">
        <v>3000214</v>
      </c>
      <c r="CS79">
        <v>42490037</v>
      </c>
    </row>
    <row r="80" spans="1:97" x14ac:dyDescent="0.3">
      <c r="A80" s="155">
        <v>335</v>
      </c>
      <c r="B80" t="s">
        <v>109</v>
      </c>
      <c r="D80">
        <v>0</v>
      </c>
      <c r="E80">
        <v>0</v>
      </c>
      <c r="F80">
        <v>0</v>
      </c>
      <c r="G80">
        <v>0</v>
      </c>
      <c r="H80">
        <v>3518</v>
      </c>
      <c r="I80">
        <v>0</v>
      </c>
      <c r="J80">
        <v>0</v>
      </c>
      <c r="K80">
        <v>0</v>
      </c>
      <c r="L80">
        <v>0</v>
      </c>
      <c r="M80">
        <v>0</v>
      </c>
      <c r="N80">
        <v>0</v>
      </c>
      <c r="O80">
        <v>0</v>
      </c>
      <c r="P80">
        <v>0</v>
      </c>
      <c r="Q80">
        <v>0</v>
      </c>
      <c r="R80">
        <v>0</v>
      </c>
      <c r="S80">
        <v>0</v>
      </c>
      <c r="T80">
        <v>0</v>
      </c>
      <c r="U80">
        <v>0</v>
      </c>
      <c r="V80">
        <v>0</v>
      </c>
      <c r="W80">
        <v>0</v>
      </c>
      <c r="X80">
        <v>0</v>
      </c>
      <c r="Y80">
        <v>0</v>
      </c>
      <c r="Z80">
        <v>4445</v>
      </c>
      <c r="AA80">
        <v>0</v>
      </c>
      <c r="AB80">
        <v>0</v>
      </c>
      <c r="AC80">
        <v>0</v>
      </c>
      <c r="AD80">
        <v>0</v>
      </c>
      <c r="AE80">
        <v>0</v>
      </c>
      <c r="AF80">
        <v>0</v>
      </c>
      <c r="AG80">
        <v>0</v>
      </c>
      <c r="AH80">
        <v>0</v>
      </c>
      <c r="AI80">
        <v>0</v>
      </c>
      <c r="AJ80">
        <v>0</v>
      </c>
      <c r="AK80">
        <v>228413</v>
      </c>
      <c r="AL80">
        <v>0</v>
      </c>
      <c r="AM80">
        <v>0</v>
      </c>
      <c r="AN80">
        <v>2107</v>
      </c>
      <c r="AO80">
        <v>0</v>
      </c>
      <c r="AP80">
        <v>0</v>
      </c>
      <c r="AQ80">
        <v>0</v>
      </c>
      <c r="AR80">
        <v>0</v>
      </c>
      <c r="AS80">
        <v>537</v>
      </c>
      <c r="AT80">
        <v>0</v>
      </c>
      <c r="AU80">
        <v>0</v>
      </c>
      <c r="AV80">
        <v>0</v>
      </c>
      <c r="AW80">
        <v>0</v>
      </c>
      <c r="AX80">
        <v>0</v>
      </c>
      <c r="AY80">
        <v>0</v>
      </c>
      <c r="AZ80">
        <v>600</v>
      </c>
      <c r="BA80">
        <v>0</v>
      </c>
      <c r="BB80">
        <v>0</v>
      </c>
      <c r="BC80">
        <v>0</v>
      </c>
      <c r="BD80">
        <v>0</v>
      </c>
      <c r="BE80">
        <v>0</v>
      </c>
      <c r="BF80">
        <v>0</v>
      </c>
      <c r="BG80">
        <v>0</v>
      </c>
      <c r="BH80">
        <v>0</v>
      </c>
      <c r="BI80">
        <v>0</v>
      </c>
      <c r="BJ80">
        <v>1774</v>
      </c>
      <c r="BK80">
        <v>0</v>
      </c>
      <c r="BL80">
        <v>0</v>
      </c>
      <c r="BM80">
        <v>227405</v>
      </c>
      <c r="BN80">
        <v>0</v>
      </c>
      <c r="BO80">
        <v>0</v>
      </c>
      <c r="BP80">
        <v>0</v>
      </c>
      <c r="BQ80">
        <v>0</v>
      </c>
      <c r="BR80">
        <v>0</v>
      </c>
      <c r="BS80">
        <v>0</v>
      </c>
      <c r="BT80">
        <v>0</v>
      </c>
      <c r="BU80">
        <v>0</v>
      </c>
      <c r="BV80">
        <v>0</v>
      </c>
      <c r="BW80">
        <v>0</v>
      </c>
      <c r="BX80">
        <v>0</v>
      </c>
      <c r="BY80">
        <v>0</v>
      </c>
      <c r="BZ80">
        <v>5364</v>
      </c>
      <c r="CA80">
        <v>0</v>
      </c>
      <c r="CB80">
        <v>0</v>
      </c>
      <c r="CC80">
        <v>12438</v>
      </c>
      <c r="CD80">
        <v>241533</v>
      </c>
      <c r="CE80">
        <v>0</v>
      </c>
      <c r="CF80">
        <v>0</v>
      </c>
      <c r="CG80">
        <v>0</v>
      </c>
      <c r="CH80">
        <v>0</v>
      </c>
      <c r="CI80">
        <v>0</v>
      </c>
      <c r="CJ80">
        <v>34512446</v>
      </c>
      <c r="CK80">
        <v>0</v>
      </c>
      <c r="CL80">
        <v>0</v>
      </c>
      <c r="CM80">
        <v>0</v>
      </c>
      <c r="CN80">
        <v>0</v>
      </c>
      <c r="CO80">
        <v>0</v>
      </c>
      <c r="CP80">
        <v>0</v>
      </c>
      <c r="CQ80">
        <v>0</v>
      </c>
      <c r="CR80">
        <v>0</v>
      </c>
      <c r="CS80">
        <v>0</v>
      </c>
    </row>
    <row r="81" spans="1:97" x14ac:dyDescent="0.3">
      <c r="A81" s="155">
        <v>336</v>
      </c>
      <c r="B81" t="s">
        <v>921</v>
      </c>
      <c r="D81">
        <v>0</v>
      </c>
      <c r="E81">
        <v>434523</v>
      </c>
      <c r="F81">
        <v>250247</v>
      </c>
      <c r="G81">
        <v>4492</v>
      </c>
      <c r="H81">
        <v>622771</v>
      </c>
      <c r="I81">
        <v>32528</v>
      </c>
      <c r="J81">
        <v>379284</v>
      </c>
      <c r="K81">
        <v>20424</v>
      </c>
      <c r="L81">
        <v>17221</v>
      </c>
      <c r="M81">
        <v>3096279</v>
      </c>
      <c r="N81">
        <v>51394</v>
      </c>
      <c r="O81">
        <v>11278</v>
      </c>
      <c r="P81">
        <v>28098</v>
      </c>
      <c r="Q81">
        <v>68772</v>
      </c>
      <c r="R81">
        <v>0</v>
      </c>
      <c r="S81">
        <v>8103</v>
      </c>
      <c r="T81">
        <v>303148</v>
      </c>
      <c r="U81">
        <v>188187</v>
      </c>
      <c r="V81">
        <v>251743</v>
      </c>
      <c r="W81">
        <v>956029</v>
      </c>
      <c r="X81">
        <v>1044772</v>
      </c>
      <c r="Y81">
        <v>26053</v>
      </c>
      <c r="Z81">
        <v>450502</v>
      </c>
      <c r="AA81">
        <v>130483</v>
      </c>
      <c r="AB81">
        <v>2538</v>
      </c>
      <c r="AC81">
        <v>428540</v>
      </c>
      <c r="AD81">
        <v>28345</v>
      </c>
      <c r="AE81">
        <v>21029</v>
      </c>
      <c r="AF81">
        <v>5935</v>
      </c>
      <c r="AG81">
        <v>2360178</v>
      </c>
      <c r="AH81">
        <v>21714</v>
      </c>
      <c r="AI81">
        <v>135548</v>
      </c>
      <c r="AJ81">
        <v>18726</v>
      </c>
      <c r="AK81">
        <v>74932</v>
      </c>
      <c r="AL81">
        <v>0</v>
      </c>
      <c r="AM81">
        <v>949357</v>
      </c>
      <c r="AN81">
        <v>193531</v>
      </c>
      <c r="AO81">
        <v>184281</v>
      </c>
      <c r="AP81">
        <v>4556</v>
      </c>
      <c r="AQ81">
        <v>18846</v>
      </c>
      <c r="AR81">
        <v>178237</v>
      </c>
      <c r="AS81">
        <v>51205</v>
      </c>
      <c r="AT81">
        <v>17088</v>
      </c>
      <c r="AU81">
        <v>956</v>
      </c>
      <c r="AV81">
        <v>45747</v>
      </c>
      <c r="AW81">
        <v>2172</v>
      </c>
      <c r="AX81">
        <v>17845</v>
      </c>
      <c r="AY81">
        <v>301153</v>
      </c>
      <c r="AZ81">
        <v>10053</v>
      </c>
      <c r="BA81">
        <v>12964752</v>
      </c>
      <c r="BB81">
        <v>99552</v>
      </c>
      <c r="BC81">
        <v>1259448</v>
      </c>
      <c r="BD81">
        <v>0</v>
      </c>
      <c r="BE81">
        <v>43796</v>
      </c>
      <c r="BF81">
        <v>96787</v>
      </c>
      <c r="BG81">
        <v>14961</v>
      </c>
      <c r="BH81">
        <v>18987</v>
      </c>
      <c r="BI81">
        <v>222529</v>
      </c>
      <c r="BJ81">
        <v>1060840</v>
      </c>
      <c r="BK81">
        <v>6644</v>
      </c>
      <c r="BL81">
        <v>0</v>
      </c>
      <c r="BM81">
        <v>1207771</v>
      </c>
      <c r="BN81">
        <v>1134390</v>
      </c>
      <c r="BO81">
        <v>854354</v>
      </c>
      <c r="BP81">
        <v>2695</v>
      </c>
      <c r="BQ81">
        <v>125938</v>
      </c>
      <c r="BR81">
        <v>33081</v>
      </c>
      <c r="BS81">
        <v>4127538</v>
      </c>
      <c r="BT81">
        <v>25901</v>
      </c>
      <c r="BU81">
        <v>59524</v>
      </c>
      <c r="BV81">
        <v>102954</v>
      </c>
      <c r="BW81">
        <v>122526</v>
      </c>
      <c r="BX81">
        <v>49721</v>
      </c>
      <c r="BY81">
        <v>82483</v>
      </c>
      <c r="BZ81">
        <v>638272</v>
      </c>
      <c r="CA81">
        <v>2772</v>
      </c>
      <c r="CB81">
        <v>693819</v>
      </c>
      <c r="CC81">
        <v>1252948</v>
      </c>
      <c r="CD81">
        <v>43022771</v>
      </c>
      <c r="CE81">
        <v>9090880</v>
      </c>
      <c r="CF81">
        <v>19914</v>
      </c>
      <c r="CG81">
        <v>986988</v>
      </c>
      <c r="CH81">
        <v>30457</v>
      </c>
      <c r="CI81">
        <v>143290</v>
      </c>
      <c r="CJ81">
        <v>93577574</v>
      </c>
      <c r="CK81">
        <v>1425201</v>
      </c>
      <c r="CL81">
        <v>80079</v>
      </c>
      <c r="CM81">
        <v>510949</v>
      </c>
      <c r="CN81">
        <v>42567</v>
      </c>
      <c r="CO81">
        <v>968751</v>
      </c>
      <c r="CP81">
        <v>147967</v>
      </c>
      <c r="CQ81">
        <v>124238</v>
      </c>
      <c r="CR81">
        <v>853655</v>
      </c>
      <c r="CS81">
        <v>956630</v>
      </c>
    </row>
    <row r="82" spans="1:97" x14ac:dyDescent="0.3">
      <c r="A82" s="155">
        <v>337</v>
      </c>
      <c r="B82" t="s">
        <v>245</v>
      </c>
      <c r="D82">
        <v>0</v>
      </c>
      <c r="E82">
        <v>1972648</v>
      </c>
      <c r="F82">
        <v>906327</v>
      </c>
      <c r="G82">
        <v>0</v>
      </c>
      <c r="H82">
        <v>2334400</v>
      </c>
      <c r="I82">
        <v>0</v>
      </c>
      <c r="J82">
        <v>1110733</v>
      </c>
      <c r="K82">
        <v>0</v>
      </c>
      <c r="L82">
        <v>70587</v>
      </c>
      <c r="M82">
        <v>1082598</v>
      </c>
      <c r="N82">
        <v>147140</v>
      </c>
      <c r="O82">
        <v>0</v>
      </c>
      <c r="P82">
        <v>0</v>
      </c>
      <c r="Q82">
        <v>293974</v>
      </c>
      <c r="R82">
        <v>0</v>
      </c>
      <c r="S82">
        <v>0</v>
      </c>
      <c r="T82">
        <v>954166</v>
      </c>
      <c r="U82">
        <v>0</v>
      </c>
      <c r="V82">
        <v>0</v>
      </c>
      <c r="W82">
        <v>463410</v>
      </c>
      <c r="X82">
        <v>1454727</v>
      </c>
      <c r="Y82">
        <v>0</v>
      </c>
      <c r="Z82">
        <v>510200</v>
      </c>
      <c r="AA82">
        <v>135699</v>
      </c>
      <c r="AB82">
        <v>0</v>
      </c>
      <c r="AC82">
        <v>0</v>
      </c>
      <c r="AD82">
        <v>0</v>
      </c>
      <c r="AE82">
        <v>0</v>
      </c>
      <c r="AF82">
        <v>0</v>
      </c>
      <c r="AG82">
        <v>13689944</v>
      </c>
      <c r="AH82">
        <v>0</v>
      </c>
      <c r="AI82">
        <v>21060</v>
      </c>
      <c r="AJ82">
        <v>0</v>
      </c>
      <c r="AK82">
        <v>0</v>
      </c>
      <c r="AL82">
        <v>0</v>
      </c>
      <c r="AM82">
        <v>3430092</v>
      </c>
      <c r="AN82">
        <v>1252242</v>
      </c>
      <c r="AO82">
        <v>139953</v>
      </c>
      <c r="AP82">
        <v>0</v>
      </c>
      <c r="AQ82">
        <v>0</v>
      </c>
      <c r="AR82">
        <v>2940965</v>
      </c>
      <c r="AS82">
        <v>35871</v>
      </c>
      <c r="AT82">
        <v>59607</v>
      </c>
      <c r="AU82">
        <v>0</v>
      </c>
      <c r="AV82">
        <v>405919</v>
      </c>
      <c r="AW82">
        <v>0</v>
      </c>
      <c r="AX82">
        <v>43680</v>
      </c>
      <c r="AY82">
        <v>1046587</v>
      </c>
      <c r="AZ82">
        <v>424975</v>
      </c>
      <c r="BA82">
        <v>45659913</v>
      </c>
      <c r="BB82">
        <v>0</v>
      </c>
      <c r="BC82">
        <v>736830</v>
      </c>
      <c r="BD82">
        <v>0</v>
      </c>
      <c r="BE82">
        <v>61448</v>
      </c>
      <c r="BF82">
        <v>0</v>
      </c>
      <c r="BG82">
        <v>0</v>
      </c>
      <c r="BH82">
        <v>81555</v>
      </c>
      <c r="BI82">
        <v>95344</v>
      </c>
      <c r="BJ82">
        <v>1045350</v>
      </c>
      <c r="BK82">
        <v>0</v>
      </c>
      <c r="BL82">
        <v>0</v>
      </c>
      <c r="BM82">
        <v>4026897</v>
      </c>
      <c r="BN82">
        <v>4128212</v>
      </c>
      <c r="BO82">
        <v>202100</v>
      </c>
      <c r="BP82">
        <v>0</v>
      </c>
      <c r="BQ82">
        <v>0</v>
      </c>
      <c r="BR82">
        <v>0</v>
      </c>
      <c r="BS82">
        <v>1633000</v>
      </c>
      <c r="BT82">
        <v>341600</v>
      </c>
      <c r="BU82">
        <v>0</v>
      </c>
      <c r="BV82">
        <v>100464</v>
      </c>
      <c r="BW82">
        <v>2769353</v>
      </c>
      <c r="BX82">
        <v>0</v>
      </c>
      <c r="BY82">
        <v>157478</v>
      </c>
      <c r="BZ82">
        <v>3772324</v>
      </c>
      <c r="CA82">
        <v>0</v>
      </c>
      <c r="CB82">
        <v>870461</v>
      </c>
      <c r="CC82">
        <v>5193815</v>
      </c>
      <c r="CD82">
        <v>238087596</v>
      </c>
      <c r="CE82">
        <v>15608000</v>
      </c>
      <c r="CF82">
        <v>0</v>
      </c>
      <c r="CG82">
        <v>0</v>
      </c>
      <c r="CH82">
        <v>238817</v>
      </c>
      <c r="CI82">
        <v>2117750</v>
      </c>
      <c r="CJ82">
        <v>360245791</v>
      </c>
      <c r="CK82">
        <v>3474975</v>
      </c>
      <c r="CL82">
        <v>249151</v>
      </c>
      <c r="CM82">
        <v>3205444</v>
      </c>
      <c r="CN82">
        <v>108054</v>
      </c>
      <c r="CO82">
        <v>850000</v>
      </c>
      <c r="CP82">
        <v>0</v>
      </c>
      <c r="CQ82">
        <v>464454</v>
      </c>
      <c r="CR82">
        <v>0</v>
      </c>
      <c r="CS82">
        <v>2990570</v>
      </c>
    </row>
    <row r="83" spans="1:97" x14ac:dyDescent="0.3">
      <c r="A83" s="155">
        <v>338</v>
      </c>
      <c r="B83" t="s">
        <v>108</v>
      </c>
      <c r="D83">
        <v>0</v>
      </c>
      <c r="E83">
        <v>2187953</v>
      </c>
      <c r="F83">
        <v>2915988</v>
      </c>
      <c r="G83">
        <v>4492</v>
      </c>
      <c r="H83">
        <v>4825279</v>
      </c>
      <c r="I83">
        <v>392299</v>
      </c>
      <c r="J83">
        <v>2749647</v>
      </c>
      <c r="K83">
        <v>334038</v>
      </c>
      <c r="L83">
        <v>212046</v>
      </c>
      <c r="M83">
        <v>19940858</v>
      </c>
      <c r="N83">
        <v>1035719</v>
      </c>
      <c r="O83">
        <v>11278</v>
      </c>
      <c r="P83">
        <v>32411</v>
      </c>
      <c r="Q83">
        <v>843210</v>
      </c>
      <c r="R83">
        <v>0</v>
      </c>
      <c r="S83">
        <v>22554</v>
      </c>
      <c r="T83">
        <v>1628787</v>
      </c>
      <c r="U83">
        <v>491616</v>
      </c>
      <c r="V83">
        <v>10455814</v>
      </c>
      <c r="W83">
        <v>4398771</v>
      </c>
      <c r="X83">
        <v>4257519</v>
      </c>
      <c r="Y83">
        <v>26053</v>
      </c>
      <c r="Z83">
        <v>3373326</v>
      </c>
      <c r="AA83">
        <v>890490</v>
      </c>
      <c r="AB83">
        <v>2538</v>
      </c>
      <c r="AC83">
        <v>27368106</v>
      </c>
      <c r="AD83">
        <v>2586897</v>
      </c>
      <c r="AE83">
        <v>318558</v>
      </c>
      <c r="AF83">
        <v>31374</v>
      </c>
      <c r="AG83">
        <v>35103694</v>
      </c>
      <c r="AH83">
        <v>79073</v>
      </c>
      <c r="AI83">
        <v>2389699</v>
      </c>
      <c r="AJ83">
        <v>628136</v>
      </c>
      <c r="AK83">
        <v>303345</v>
      </c>
      <c r="AL83">
        <v>232516</v>
      </c>
      <c r="AM83">
        <v>5530460</v>
      </c>
      <c r="AN83">
        <v>2476745</v>
      </c>
      <c r="AO83">
        <v>1306379</v>
      </c>
      <c r="AP83">
        <v>12775</v>
      </c>
      <c r="AQ83">
        <v>38500</v>
      </c>
      <c r="AR83">
        <v>5898753</v>
      </c>
      <c r="AS83">
        <v>267550</v>
      </c>
      <c r="AT83">
        <v>73164</v>
      </c>
      <c r="AU83">
        <v>956</v>
      </c>
      <c r="AV83">
        <v>662478</v>
      </c>
      <c r="AW83">
        <v>8751</v>
      </c>
      <c r="AX83">
        <v>297529</v>
      </c>
      <c r="AY83">
        <v>9811181</v>
      </c>
      <c r="AZ83">
        <v>539808</v>
      </c>
      <c r="BA83">
        <v>81224241</v>
      </c>
      <c r="BB83">
        <v>164890</v>
      </c>
      <c r="BC83">
        <v>3217080</v>
      </c>
      <c r="BD83">
        <v>0</v>
      </c>
      <c r="BE83">
        <v>151790</v>
      </c>
      <c r="BF83">
        <v>329857</v>
      </c>
      <c r="BG83">
        <v>20202</v>
      </c>
      <c r="BH83">
        <v>437498</v>
      </c>
      <c r="BI83">
        <v>1348335</v>
      </c>
      <c r="BJ83">
        <v>13432895</v>
      </c>
      <c r="BK83">
        <v>56659</v>
      </c>
      <c r="BL83">
        <v>0</v>
      </c>
      <c r="BM83">
        <v>8288385</v>
      </c>
      <c r="BN83">
        <v>18747661</v>
      </c>
      <c r="BO83">
        <v>5460641</v>
      </c>
      <c r="BP83">
        <v>2695</v>
      </c>
      <c r="BQ83">
        <v>213840</v>
      </c>
      <c r="BR83">
        <v>942984</v>
      </c>
      <c r="BS83">
        <v>14885897</v>
      </c>
      <c r="BT83">
        <v>378505</v>
      </c>
      <c r="BU83">
        <v>116266</v>
      </c>
      <c r="BV83">
        <v>785005</v>
      </c>
      <c r="BW83">
        <v>3928572</v>
      </c>
      <c r="BX83">
        <v>166718</v>
      </c>
      <c r="BY83">
        <v>860107</v>
      </c>
      <c r="BZ83">
        <v>8478039</v>
      </c>
      <c r="CA83">
        <v>2772</v>
      </c>
      <c r="CB83">
        <v>10549127</v>
      </c>
      <c r="CC83">
        <v>12561493</v>
      </c>
      <c r="CD83">
        <v>401063351</v>
      </c>
      <c r="CE83">
        <v>101969148</v>
      </c>
      <c r="CF83">
        <v>593535</v>
      </c>
      <c r="CG83">
        <v>3829466</v>
      </c>
      <c r="CH83">
        <v>261182</v>
      </c>
      <c r="CI83">
        <v>2723612</v>
      </c>
      <c r="CJ83">
        <v>564859394</v>
      </c>
      <c r="CK83">
        <v>9684578</v>
      </c>
      <c r="CL83">
        <v>406334</v>
      </c>
      <c r="CM83">
        <v>8224570</v>
      </c>
      <c r="CN83">
        <v>197381</v>
      </c>
      <c r="CO83">
        <v>11667944</v>
      </c>
      <c r="CP83">
        <v>1664135</v>
      </c>
      <c r="CQ83">
        <v>559549</v>
      </c>
      <c r="CR83">
        <v>4050842</v>
      </c>
      <c r="CS83">
        <v>14268022</v>
      </c>
    </row>
    <row r="84" spans="1:97" x14ac:dyDescent="0.3">
      <c r="A84" s="155">
        <v>339</v>
      </c>
      <c r="B84" t="s">
        <v>181</v>
      </c>
      <c r="D84">
        <v>26899</v>
      </c>
      <c r="E84">
        <v>100343</v>
      </c>
      <c r="F84">
        <v>562970</v>
      </c>
      <c r="G84">
        <v>2680</v>
      </c>
      <c r="H84">
        <v>169155</v>
      </c>
      <c r="I84">
        <v>10073</v>
      </c>
      <c r="J84">
        <v>385019</v>
      </c>
      <c r="K84">
        <v>119202</v>
      </c>
      <c r="L84">
        <v>37340</v>
      </c>
      <c r="M84">
        <v>3218941</v>
      </c>
      <c r="N84">
        <v>0</v>
      </c>
      <c r="O84">
        <v>41782</v>
      </c>
      <c r="P84">
        <v>50947</v>
      </c>
      <c r="Q84">
        <v>124393</v>
      </c>
      <c r="R84">
        <v>0</v>
      </c>
      <c r="S84">
        <v>36784</v>
      </c>
      <c r="T84">
        <v>16072</v>
      </c>
      <c r="U84">
        <v>70693</v>
      </c>
      <c r="V84">
        <v>3147611</v>
      </c>
      <c r="W84">
        <v>1750940</v>
      </c>
      <c r="X84">
        <v>493238</v>
      </c>
      <c r="Y84">
        <v>7340</v>
      </c>
      <c r="Z84">
        <v>32278</v>
      </c>
      <c r="AA84">
        <v>84692</v>
      </c>
      <c r="AB84">
        <v>3642</v>
      </c>
      <c r="AC84">
        <v>301601</v>
      </c>
      <c r="AD84">
        <v>323840</v>
      </c>
      <c r="AE84">
        <v>65859</v>
      </c>
      <c r="AF84">
        <v>54037</v>
      </c>
      <c r="AG84">
        <v>1879232</v>
      </c>
      <c r="AH84">
        <v>10135</v>
      </c>
      <c r="AI84">
        <v>576076</v>
      </c>
      <c r="AJ84">
        <v>15195</v>
      </c>
      <c r="AK84">
        <v>0</v>
      </c>
      <c r="AL84">
        <v>500230</v>
      </c>
      <c r="AM84">
        <v>467150</v>
      </c>
      <c r="AN84">
        <v>259507</v>
      </c>
      <c r="AO84">
        <v>66279</v>
      </c>
      <c r="AP84">
        <v>26916</v>
      </c>
      <c r="AQ84">
        <v>12554</v>
      </c>
      <c r="AR84">
        <v>548853</v>
      </c>
      <c r="AS84">
        <v>134848</v>
      </c>
      <c r="AT84">
        <v>30017</v>
      </c>
      <c r="AU84">
        <v>0</v>
      </c>
      <c r="AV84">
        <v>90738</v>
      </c>
      <c r="AW84">
        <v>0</v>
      </c>
      <c r="AX84">
        <v>0</v>
      </c>
      <c r="AY84">
        <v>381040</v>
      </c>
      <c r="AZ84">
        <v>57489</v>
      </c>
      <c r="BA84">
        <v>8214671</v>
      </c>
      <c r="BB84">
        <v>0</v>
      </c>
      <c r="BC84">
        <v>799817</v>
      </c>
      <c r="BD84">
        <v>0</v>
      </c>
      <c r="BE84">
        <v>123214</v>
      </c>
      <c r="BF84">
        <v>12142</v>
      </c>
      <c r="BG84">
        <v>32831</v>
      </c>
      <c r="BH84">
        <v>183413</v>
      </c>
      <c r="BI84">
        <v>499202</v>
      </c>
      <c r="BJ84">
        <v>1335332</v>
      </c>
      <c r="BK84">
        <v>515</v>
      </c>
      <c r="BL84">
        <v>100</v>
      </c>
      <c r="BM84">
        <v>1520707</v>
      </c>
      <c r="BN84">
        <v>1823291</v>
      </c>
      <c r="BO84">
        <v>19911</v>
      </c>
      <c r="BP84">
        <v>7875</v>
      </c>
      <c r="BQ84">
        <v>44783</v>
      </c>
      <c r="BR84">
        <v>244960</v>
      </c>
      <c r="BS84">
        <v>1656782</v>
      </c>
      <c r="BT84">
        <v>64</v>
      </c>
      <c r="BU84">
        <v>32140</v>
      </c>
      <c r="BV84">
        <v>33139</v>
      </c>
      <c r="BW84">
        <v>62641</v>
      </c>
      <c r="BX84">
        <v>71259</v>
      </c>
      <c r="BY84">
        <v>647933</v>
      </c>
      <c r="BZ84">
        <v>83521</v>
      </c>
      <c r="CA84">
        <v>0</v>
      </c>
      <c r="CB84">
        <v>178834</v>
      </c>
      <c r="CC84">
        <v>630012</v>
      </c>
      <c r="CD84">
        <v>5718377</v>
      </c>
      <c r="CE84">
        <v>7718448</v>
      </c>
      <c r="CF84">
        <v>71339</v>
      </c>
      <c r="CG84">
        <v>640812</v>
      </c>
      <c r="CH84">
        <v>35408</v>
      </c>
      <c r="CI84">
        <v>514319</v>
      </c>
      <c r="CJ84">
        <v>34455143</v>
      </c>
      <c r="CK84">
        <v>923430</v>
      </c>
      <c r="CL84">
        <v>63245</v>
      </c>
      <c r="CM84">
        <v>55760</v>
      </c>
      <c r="CN84">
        <v>25847</v>
      </c>
      <c r="CO84">
        <v>8559636</v>
      </c>
      <c r="CP84">
        <v>1683</v>
      </c>
      <c r="CQ84">
        <v>63541</v>
      </c>
      <c r="CR84">
        <v>340694</v>
      </c>
      <c r="CS84">
        <v>1964959</v>
      </c>
    </row>
    <row r="85" spans="1:97" x14ac:dyDescent="0.3">
      <c r="A85" s="155">
        <v>341</v>
      </c>
      <c r="B85" t="s">
        <v>922</v>
      </c>
      <c r="D85">
        <v>232853</v>
      </c>
      <c r="E85">
        <v>3606133</v>
      </c>
      <c r="F85">
        <v>2691365</v>
      </c>
      <c r="G85">
        <v>162405</v>
      </c>
      <c r="H85">
        <v>6948942</v>
      </c>
      <c r="I85">
        <v>1095975</v>
      </c>
      <c r="J85">
        <v>2905118</v>
      </c>
      <c r="K85">
        <v>391650</v>
      </c>
      <c r="L85">
        <v>649417</v>
      </c>
      <c r="M85">
        <v>31941404</v>
      </c>
      <c r="N85">
        <v>708375</v>
      </c>
      <c r="O85">
        <v>570449</v>
      </c>
      <c r="P85">
        <v>362943</v>
      </c>
      <c r="Q85">
        <v>1074915</v>
      </c>
      <c r="R85">
        <v>62219</v>
      </c>
      <c r="S85">
        <v>226338</v>
      </c>
      <c r="T85">
        <v>1834172</v>
      </c>
      <c r="U85">
        <v>2172917</v>
      </c>
      <c r="V85">
        <v>5882916</v>
      </c>
      <c r="W85">
        <v>12614750</v>
      </c>
      <c r="X85">
        <v>3479691</v>
      </c>
      <c r="Y85">
        <v>619783</v>
      </c>
      <c r="Z85">
        <v>3611077</v>
      </c>
      <c r="AA85">
        <v>4138725</v>
      </c>
      <c r="AB85">
        <v>46820</v>
      </c>
      <c r="AC85">
        <v>8639053</v>
      </c>
      <c r="AD85">
        <v>1940974</v>
      </c>
      <c r="AE85">
        <v>968124</v>
      </c>
      <c r="AF85">
        <v>271053</v>
      </c>
      <c r="AG85">
        <v>23865194</v>
      </c>
      <c r="AH85">
        <v>546871</v>
      </c>
      <c r="AI85">
        <v>4304353</v>
      </c>
      <c r="AJ85">
        <v>1751933</v>
      </c>
      <c r="AK85">
        <v>127783</v>
      </c>
      <c r="AL85">
        <v>2928383</v>
      </c>
      <c r="AM85">
        <v>4680116</v>
      </c>
      <c r="AN85">
        <v>2648274</v>
      </c>
      <c r="AO85">
        <v>2498373</v>
      </c>
      <c r="AP85">
        <v>139975</v>
      </c>
      <c r="AQ85">
        <v>437978</v>
      </c>
      <c r="AR85">
        <v>4491356</v>
      </c>
      <c r="AS85">
        <v>553936</v>
      </c>
      <c r="AT85">
        <v>91118</v>
      </c>
      <c r="AU85">
        <v>283887</v>
      </c>
      <c r="AV85">
        <v>875718</v>
      </c>
      <c r="AW85">
        <v>63769</v>
      </c>
      <c r="AX85">
        <v>320503</v>
      </c>
      <c r="AY85">
        <v>4269395</v>
      </c>
      <c r="AZ85">
        <v>337523</v>
      </c>
      <c r="BA85">
        <v>49506014</v>
      </c>
      <c r="BB85">
        <v>1818972</v>
      </c>
      <c r="BC85">
        <v>3360536</v>
      </c>
      <c r="BD85">
        <v>1167878</v>
      </c>
      <c r="BE85">
        <v>972369</v>
      </c>
      <c r="BF85">
        <v>1393804</v>
      </c>
      <c r="BG85">
        <v>192710</v>
      </c>
      <c r="BH85">
        <v>944504</v>
      </c>
      <c r="BI85">
        <v>2543572</v>
      </c>
      <c r="BJ85">
        <v>10639866</v>
      </c>
      <c r="BK85">
        <v>347297</v>
      </c>
      <c r="BL85">
        <v>106242</v>
      </c>
      <c r="BM85">
        <v>19689842</v>
      </c>
      <c r="BN85">
        <v>11280741</v>
      </c>
      <c r="BO85">
        <v>7687293</v>
      </c>
      <c r="BP85">
        <v>134839</v>
      </c>
      <c r="BQ85">
        <v>2324300</v>
      </c>
      <c r="BR85">
        <v>1290829</v>
      </c>
      <c r="BS85">
        <v>7660329</v>
      </c>
      <c r="BT85">
        <v>920301</v>
      </c>
      <c r="BU85">
        <v>640271</v>
      </c>
      <c r="BV85">
        <v>2630091</v>
      </c>
      <c r="BW85">
        <v>4281035</v>
      </c>
      <c r="BX85">
        <v>554694</v>
      </c>
      <c r="BY85">
        <v>1289499</v>
      </c>
      <c r="BZ85">
        <v>4627701</v>
      </c>
      <c r="CA85">
        <v>172388</v>
      </c>
      <c r="CB85">
        <v>6533744</v>
      </c>
      <c r="CC85">
        <v>5238770</v>
      </c>
      <c r="CD85">
        <v>133884993</v>
      </c>
      <c r="CE85">
        <v>45059812</v>
      </c>
      <c r="CF85">
        <v>1292259</v>
      </c>
      <c r="CG85">
        <v>1406776</v>
      </c>
      <c r="CH85">
        <v>495506</v>
      </c>
      <c r="CI85">
        <v>1124816</v>
      </c>
      <c r="CJ85">
        <v>220790858</v>
      </c>
      <c r="CK85">
        <v>7798096</v>
      </c>
      <c r="CL85">
        <v>415014</v>
      </c>
      <c r="CM85">
        <v>5074447</v>
      </c>
      <c r="CN85">
        <v>537587</v>
      </c>
      <c r="CO85">
        <v>7248744</v>
      </c>
      <c r="CP85">
        <v>2978538</v>
      </c>
      <c r="CQ85">
        <v>688824</v>
      </c>
      <c r="CR85">
        <v>3016612</v>
      </c>
      <c r="CS85">
        <v>10083485</v>
      </c>
    </row>
    <row r="86" spans="1:97" x14ac:dyDescent="0.3">
      <c r="A86" s="155">
        <v>343</v>
      </c>
      <c r="B86" t="s">
        <v>246</v>
      </c>
      <c r="D86">
        <v>0</v>
      </c>
      <c r="E86">
        <v>297220</v>
      </c>
      <c r="F86">
        <v>97639</v>
      </c>
      <c r="G86">
        <v>0</v>
      </c>
      <c r="H86">
        <v>291800</v>
      </c>
      <c r="I86">
        <v>0</v>
      </c>
      <c r="J86">
        <v>269628</v>
      </c>
      <c r="K86">
        <v>0</v>
      </c>
      <c r="L86">
        <v>5571</v>
      </c>
      <c r="M86">
        <v>867402</v>
      </c>
      <c r="N86">
        <v>20804</v>
      </c>
      <c r="O86">
        <v>0</v>
      </c>
      <c r="P86">
        <v>0</v>
      </c>
      <c r="Q86">
        <v>37257</v>
      </c>
      <c r="R86">
        <v>0</v>
      </c>
      <c r="S86">
        <v>0</v>
      </c>
      <c r="T86">
        <v>165001</v>
      </c>
      <c r="U86">
        <v>0</v>
      </c>
      <c r="V86">
        <v>834381</v>
      </c>
      <c r="W86">
        <v>601463</v>
      </c>
      <c r="X86">
        <v>268549</v>
      </c>
      <c r="Y86">
        <v>0</v>
      </c>
      <c r="Z86">
        <v>245198</v>
      </c>
      <c r="AA86">
        <v>65750</v>
      </c>
      <c r="AB86">
        <v>0</v>
      </c>
      <c r="AC86">
        <v>0</v>
      </c>
      <c r="AD86">
        <v>0</v>
      </c>
      <c r="AE86">
        <v>0</v>
      </c>
      <c r="AF86">
        <v>0</v>
      </c>
      <c r="AG86">
        <v>1650898</v>
      </c>
      <c r="AH86">
        <v>0</v>
      </c>
      <c r="AI86">
        <v>164266</v>
      </c>
      <c r="AJ86">
        <v>0</v>
      </c>
      <c r="AK86">
        <v>0</v>
      </c>
      <c r="AL86">
        <v>0</v>
      </c>
      <c r="AM86">
        <v>394101</v>
      </c>
      <c r="AN86">
        <v>81786</v>
      </c>
      <c r="AO86">
        <v>81271</v>
      </c>
      <c r="AP86">
        <v>0</v>
      </c>
      <c r="AQ86">
        <v>0</v>
      </c>
      <c r="AR86">
        <v>157205</v>
      </c>
      <c r="AS86">
        <v>0</v>
      </c>
      <c r="AT86">
        <v>3387</v>
      </c>
      <c r="AU86">
        <v>0</v>
      </c>
      <c r="AV86">
        <v>18097</v>
      </c>
      <c r="AW86">
        <v>0</v>
      </c>
      <c r="AX86">
        <v>10000</v>
      </c>
      <c r="AY86">
        <v>118182</v>
      </c>
      <c r="AZ86">
        <v>9079</v>
      </c>
      <c r="BA86">
        <v>5551342</v>
      </c>
      <c r="BB86">
        <v>0</v>
      </c>
      <c r="BC86">
        <v>220150</v>
      </c>
      <c r="BD86">
        <v>0</v>
      </c>
      <c r="BE86">
        <v>28390</v>
      </c>
      <c r="BF86">
        <v>0</v>
      </c>
      <c r="BG86">
        <v>0</v>
      </c>
      <c r="BH86">
        <v>38871</v>
      </c>
      <c r="BI86">
        <v>39044</v>
      </c>
      <c r="BJ86">
        <v>141036</v>
      </c>
      <c r="BK86">
        <v>0</v>
      </c>
      <c r="BL86">
        <v>0</v>
      </c>
      <c r="BM86">
        <v>374179</v>
      </c>
      <c r="BN86">
        <v>545473</v>
      </c>
      <c r="BO86">
        <v>284333</v>
      </c>
      <c r="BP86">
        <v>0</v>
      </c>
      <c r="BQ86">
        <v>0</v>
      </c>
      <c r="BR86">
        <v>0</v>
      </c>
      <c r="BS86">
        <v>472060</v>
      </c>
      <c r="BT86">
        <v>0</v>
      </c>
      <c r="BU86">
        <v>0</v>
      </c>
      <c r="BV86">
        <v>76792</v>
      </c>
      <c r="BW86">
        <v>341668</v>
      </c>
      <c r="BX86">
        <v>0</v>
      </c>
      <c r="BY86">
        <v>28446</v>
      </c>
      <c r="BZ86">
        <v>390951</v>
      </c>
      <c r="CA86">
        <v>0</v>
      </c>
      <c r="CB86">
        <v>244237</v>
      </c>
      <c r="CC86">
        <v>242679</v>
      </c>
      <c r="CD86">
        <v>12341280</v>
      </c>
      <c r="CE86">
        <v>329906</v>
      </c>
      <c r="CF86">
        <v>0</v>
      </c>
      <c r="CG86">
        <v>0</v>
      </c>
      <c r="CH86">
        <v>25659</v>
      </c>
      <c r="CI86">
        <v>44842</v>
      </c>
      <c r="CJ86">
        <v>38410054</v>
      </c>
      <c r="CK86">
        <v>586075</v>
      </c>
      <c r="CL86">
        <v>59540</v>
      </c>
      <c r="CM86">
        <v>133685</v>
      </c>
      <c r="CN86">
        <v>11655</v>
      </c>
      <c r="CO86">
        <v>1714286</v>
      </c>
      <c r="CP86">
        <v>0</v>
      </c>
      <c r="CQ86">
        <v>98493</v>
      </c>
      <c r="CR86">
        <v>0</v>
      </c>
      <c r="CS86">
        <v>508164</v>
      </c>
    </row>
    <row r="87" spans="1:97" x14ac:dyDescent="0.3">
      <c r="A87" s="155">
        <v>344</v>
      </c>
      <c r="B87" t="s">
        <v>179</v>
      </c>
      <c r="D87">
        <v>0</v>
      </c>
      <c r="E87">
        <v>57696</v>
      </c>
      <c r="F87">
        <v>16509</v>
      </c>
      <c r="G87">
        <v>0</v>
      </c>
      <c r="H87">
        <v>87248</v>
      </c>
      <c r="I87">
        <v>0</v>
      </c>
      <c r="J87">
        <v>30846</v>
      </c>
      <c r="K87">
        <v>0</v>
      </c>
      <c r="L87">
        <v>2585</v>
      </c>
      <c r="M87">
        <v>41115</v>
      </c>
      <c r="N87">
        <v>875</v>
      </c>
      <c r="O87">
        <v>0</v>
      </c>
      <c r="P87">
        <v>0</v>
      </c>
      <c r="Q87">
        <v>8729</v>
      </c>
      <c r="R87">
        <v>0</v>
      </c>
      <c r="S87">
        <v>0</v>
      </c>
      <c r="T87">
        <v>37663</v>
      </c>
      <c r="U87">
        <v>0</v>
      </c>
      <c r="V87">
        <v>9765</v>
      </c>
      <c r="W87">
        <v>102606</v>
      </c>
      <c r="X87">
        <v>9706</v>
      </c>
      <c r="Y87">
        <v>0</v>
      </c>
      <c r="Z87">
        <v>16028</v>
      </c>
      <c r="AA87">
        <v>3917</v>
      </c>
      <c r="AB87">
        <v>0</v>
      </c>
      <c r="AC87">
        <v>0</v>
      </c>
      <c r="AD87">
        <v>0</v>
      </c>
      <c r="AE87">
        <v>0</v>
      </c>
      <c r="AF87">
        <v>0</v>
      </c>
      <c r="AG87">
        <v>518445</v>
      </c>
      <c r="AH87">
        <v>0</v>
      </c>
      <c r="AI87">
        <v>1975</v>
      </c>
      <c r="AJ87">
        <v>0</v>
      </c>
      <c r="AK87">
        <v>0</v>
      </c>
      <c r="AL87">
        <v>0</v>
      </c>
      <c r="AM87">
        <v>47965</v>
      </c>
      <c r="AN87">
        <v>46158</v>
      </c>
      <c r="AO87">
        <v>4053</v>
      </c>
      <c r="AP87">
        <v>0</v>
      </c>
      <c r="AQ87">
        <v>0</v>
      </c>
      <c r="AR87">
        <v>103038</v>
      </c>
      <c r="AS87">
        <v>1642</v>
      </c>
      <c r="AT87">
        <v>2525</v>
      </c>
      <c r="AU87">
        <v>0</v>
      </c>
      <c r="AV87">
        <v>17135</v>
      </c>
      <c r="AW87">
        <v>0</v>
      </c>
      <c r="AX87">
        <v>2180</v>
      </c>
      <c r="AY87">
        <v>26978</v>
      </c>
      <c r="AZ87">
        <v>17943</v>
      </c>
      <c r="BA87">
        <v>1158958</v>
      </c>
      <c r="BB87">
        <v>0</v>
      </c>
      <c r="BC87">
        <v>27120</v>
      </c>
      <c r="BD87">
        <v>0</v>
      </c>
      <c r="BE87">
        <v>2740</v>
      </c>
      <c r="BF87">
        <v>0</v>
      </c>
      <c r="BG87">
        <v>0</v>
      </c>
      <c r="BH87">
        <v>3577</v>
      </c>
      <c r="BI87">
        <v>25715</v>
      </c>
      <c r="BJ87">
        <v>29277</v>
      </c>
      <c r="BK87">
        <v>0</v>
      </c>
      <c r="BL87">
        <v>0</v>
      </c>
      <c r="BM87">
        <v>92195</v>
      </c>
      <c r="BN87">
        <v>133647</v>
      </c>
      <c r="BO87">
        <v>8305</v>
      </c>
      <c r="BP87">
        <v>0</v>
      </c>
      <c r="BQ87">
        <v>0</v>
      </c>
      <c r="BR87">
        <v>0</v>
      </c>
      <c r="BS87">
        <v>60359</v>
      </c>
      <c r="BT87">
        <v>5903</v>
      </c>
      <c r="BU87">
        <v>0</v>
      </c>
      <c r="BV87">
        <v>4310</v>
      </c>
      <c r="BW87">
        <v>120214</v>
      </c>
      <c r="BX87">
        <v>0</v>
      </c>
      <c r="BY87">
        <v>3754</v>
      </c>
      <c r="BZ87">
        <v>85683</v>
      </c>
      <c r="CA87">
        <v>0</v>
      </c>
      <c r="CB87">
        <v>24146</v>
      </c>
      <c r="CC87">
        <v>117721</v>
      </c>
      <c r="CD87">
        <v>7852939</v>
      </c>
      <c r="CE87">
        <v>18071</v>
      </c>
      <c r="CF87">
        <v>6343</v>
      </c>
      <c r="CG87">
        <v>0</v>
      </c>
      <c r="CH87">
        <v>54772</v>
      </c>
      <c r="CI87">
        <v>50830</v>
      </c>
      <c r="CJ87">
        <v>10557262</v>
      </c>
      <c r="CK87">
        <v>84760</v>
      </c>
      <c r="CL87">
        <v>5931</v>
      </c>
      <c r="CM87">
        <v>28546</v>
      </c>
      <c r="CN87">
        <v>4565</v>
      </c>
      <c r="CO87">
        <v>45496</v>
      </c>
      <c r="CP87">
        <v>5856</v>
      </c>
      <c r="CQ87">
        <v>0</v>
      </c>
      <c r="CR87">
        <v>28034</v>
      </c>
      <c r="CS87">
        <v>106902</v>
      </c>
    </row>
    <row r="88" spans="1:97" x14ac:dyDescent="0.3">
      <c r="A88" s="155">
        <v>349</v>
      </c>
      <c r="B88" t="s">
        <v>114</v>
      </c>
      <c r="D88">
        <v>0</v>
      </c>
      <c r="E88">
        <v>0</v>
      </c>
      <c r="F88">
        <v>742948</v>
      </c>
      <c r="G88">
        <v>0</v>
      </c>
      <c r="H88">
        <v>0</v>
      </c>
      <c r="I88">
        <v>69779</v>
      </c>
      <c r="J88">
        <v>5455653</v>
      </c>
      <c r="K88">
        <v>2516140</v>
      </c>
      <c r="L88">
        <v>137523</v>
      </c>
      <c r="M88">
        <v>32189843</v>
      </c>
      <c r="N88">
        <v>786252</v>
      </c>
      <c r="O88">
        <v>0</v>
      </c>
      <c r="P88">
        <v>58662</v>
      </c>
      <c r="Q88">
        <v>1141651</v>
      </c>
      <c r="R88">
        <v>0</v>
      </c>
      <c r="S88">
        <v>550560</v>
      </c>
      <c r="T88">
        <v>0</v>
      </c>
      <c r="U88">
        <v>0</v>
      </c>
      <c r="V88">
        <v>0</v>
      </c>
      <c r="W88">
        <v>15845085</v>
      </c>
      <c r="X88">
        <v>0</v>
      </c>
      <c r="Y88">
        <v>447288</v>
      </c>
      <c r="Z88">
        <v>0</v>
      </c>
      <c r="AA88">
        <v>1102545</v>
      </c>
      <c r="AB88">
        <v>0</v>
      </c>
      <c r="AC88">
        <v>5611450</v>
      </c>
      <c r="AD88">
        <v>5098883</v>
      </c>
      <c r="AE88">
        <v>1312073</v>
      </c>
      <c r="AF88">
        <v>373939</v>
      </c>
      <c r="AG88">
        <v>36449330</v>
      </c>
      <c r="AH88">
        <v>0</v>
      </c>
      <c r="AI88">
        <v>2944116</v>
      </c>
      <c r="AJ88">
        <v>0</v>
      </c>
      <c r="AK88">
        <v>21143</v>
      </c>
      <c r="AL88">
        <v>14026626</v>
      </c>
      <c r="AM88">
        <v>1925147</v>
      </c>
      <c r="AN88">
        <v>1102726</v>
      </c>
      <c r="AO88">
        <v>3267566</v>
      </c>
      <c r="AP88">
        <v>10773</v>
      </c>
      <c r="AQ88">
        <v>0</v>
      </c>
      <c r="AR88">
        <v>5923894</v>
      </c>
      <c r="AS88">
        <v>1008928</v>
      </c>
      <c r="AT88">
        <v>0</v>
      </c>
      <c r="AU88">
        <v>0</v>
      </c>
      <c r="AV88">
        <v>0</v>
      </c>
      <c r="AW88">
        <v>0</v>
      </c>
      <c r="AX88">
        <v>151235</v>
      </c>
      <c r="AY88">
        <v>2863545</v>
      </c>
      <c r="AZ88">
        <v>46698</v>
      </c>
      <c r="BA88">
        <v>0</v>
      </c>
      <c r="BB88">
        <v>247824</v>
      </c>
      <c r="BC88">
        <v>5180524</v>
      </c>
      <c r="BD88">
        <v>0</v>
      </c>
      <c r="BE88">
        <v>601606</v>
      </c>
      <c r="BF88">
        <v>347352</v>
      </c>
      <c r="BG88">
        <v>200796</v>
      </c>
      <c r="BH88">
        <v>3507868</v>
      </c>
      <c r="BI88">
        <v>5040879</v>
      </c>
      <c r="BJ88">
        <v>3741540</v>
      </c>
      <c r="BK88">
        <v>0</v>
      </c>
      <c r="BL88">
        <v>0</v>
      </c>
      <c r="BM88">
        <v>0</v>
      </c>
      <c r="BN88">
        <v>3099554</v>
      </c>
      <c r="BO88">
        <v>5058368</v>
      </c>
      <c r="BP88">
        <v>0</v>
      </c>
      <c r="BQ88">
        <v>0</v>
      </c>
      <c r="BR88">
        <v>395774</v>
      </c>
      <c r="BS88">
        <v>0</v>
      </c>
      <c r="BT88">
        <v>0</v>
      </c>
      <c r="BU88">
        <v>0</v>
      </c>
      <c r="BV88">
        <v>959408</v>
      </c>
      <c r="BW88">
        <v>0</v>
      </c>
      <c r="BX88">
        <v>800434</v>
      </c>
      <c r="BY88">
        <v>2353202</v>
      </c>
      <c r="BZ88">
        <v>3583501</v>
      </c>
      <c r="CA88">
        <v>2781</v>
      </c>
      <c r="CB88">
        <v>11719450</v>
      </c>
      <c r="CC88">
        <v>7982321</v>
      </c>
      <c r="CD88">
        <v>0</v>
      </c>
      <c r="CE88">
        <v>24773221</v>
      </c>
      <c r="CF88">
        <v>2962661</v>
      </c>
      <c r="CG88">
        <v>1776037</v>
      </c>
      <c r="CH88">
        <v>647654</v>
      </c>
      <c r="CI88">
        <v>3817938</v>
      </c>
      <c r="CJ88">
        <v>526401999</v>
      </c>
      <c r="CK88">
        <v>5887862</v>
      </c>
      <c r="CL88">
        <v>305104</v>
      </c>
      <c r="CM88">
        <v>0</v>
      </c>
      <c r="CN88">
        <v>476585</v>
      </c>
      <c r="CO88">
        <v>620315</v>
      </c>
      <c r="CP88">
        <v>585142</v>
      </c>
      <c r="CQ88">
        <v>2580618</v>
      </c>
      <c r="CR88">
        <v>0</v>
      </c>
      <c r="CS88">
        <v>0</v>
      </c>
    </row>
    <row r="89" spans="1:97" x14ac:dyDescent="0.3">
      <c r="A89" s="155">
        <v>350</v>
      </c>
      <c r="B89" t="s">
        <v>923</v>
      </c>
      <c r="D89">
        <v>0</v>
      </c>
      <c r="E89">
        <v>0</v>
      </c>
      <c r="F89">
        <v>69795</v>
      </c>
      <c r="G89">
        <v>0</v>
      </c>
      <c r="H89">
        <v>0</v>
      </c>
      <c r="I89">
        <v>8079</v>
      </c>
      <c r="J89">
        <v>849</v>
      </c>
      <c r="K89">
        <v>8717</v>
      </c>
      <c r="L89">
        <v>39793</v>
      </c>
      <c r="M89">
        <v>-7967</v>
      </c>
      <c r="N89">
        <v>100</v>
      </c>
      <c r="O89">
        <v>0</v>
      </c>
      <c r="P89">
        <v>3373</v>
      </c>
      <c r="Q89">
        <v>20264</v>
      </c>
      <c r="R89">
        <v>0</v>
      </c>
      <c r="S89">
        <v>4866</v>
      </c>
      <c r="T89">
        <v>0</v>
      </c>
      <c r="U89">
        <v>0</v>
      </c>
      <c r="V89">
        <v>0</v>
      </c>
      <c r="W89">
        <v>273114</v>
      </c>
      <c r="X89">
        <v>0</v>
      </c>
      <c r="Y89">
        <v>41783</v>
      </c>
      <c r="Z89">
        <v>0</v>
      </c>
      <c r="AA89">
        <v>168328</v>
      </c>
      <c r="AB89">
        <v>0</v>
      </c>
      <c r="AC89">
        <v>47712</v>
      </c>
      <c r="AD89">
        <v>15230</v>
      </c>
      <c r="AE89">
        <v>33</v>
      </c>
      <c r="AF89">
        <v>76</v>
      </c>
      <c r="AG89">
        <v>40502</v>
      </c>
      <c r="AH89">
        <v>0</v>
      </c>
      <c r="AI89">
        <v>7989</v>
      </c>
      <c r="AJ89">
        <v>0</v>
      </c>
      <c r="AK89">
        <v>14</v>
      </c>
      <c r="AL89">
        <v>546</v>
      </c>
      <c r="AM89">
        <v>20</v>
      </c>
      <c r="AN89">
        <v>582</v>
      </c>
      <c r="AO89">
        <v>34</v>
      </c>
      <c r="AP89">
        <v>5</v>
      </c>
      <c r="AQ89">
        <v>0</v>
      </c>
      <c r="AR89">
        <v>191314</v>
      </c>
      <c r="AS89">
        <v>28000</v>
      </c>
      <c r="AT89">
        <v>0</v>
      </c>
      <c r="AU89">
        <v>0</v>
      </c>
      <c r="AV89">
        <v>0</v>
      </c>
      <c r="AW89">
        <v>0</v>
      </c>
      <c r="AX89">
        <v>97</v>
      </c>
      <c r="AY89">
        <v>21530</v>
      </c>
      <c r="AZ89">
        <v>335</v>
      </c>
      <c r="BA89">
        <v>0</v>
      </c>
      <c r="BB89">
        <v>0</v>
      </c>
      <c r="BC89">
        <v>16370</v>
      </c>
      <c r="BD89">
        <v>0</v>
      </c>
      <c r="BE89">
        <v>53902</v>
      </c>
      <c r="BF89">
        <v>606</v>
      </c>
      <c r="BG89">
        <v>113</v>
      </c>
      <c r="BH89">
        <v>804</v>
      </c>
      <c r="BI89">
        <v>197</v>
      </c>
      <c r="BJ89">
        <v>96116</v>
      </c>
      <c r="BK89">
        <v>0</v>
      </c>
      <c r="BL89">
        <v>0</v>
      </c>
      <c r="BM89">
        <v>0</v>
      </c>
      <c r="BN89">
        <v>22172</v>
      </c>
      <c r="BO89">
        <v>26993</v>
      </c>
      <c r="BP89">
        <v>0</v>
      </c>
      <c r="BQ89">
        <v>0</v>
      </c>
      <c r="BR89">
        <v>49</v>
      </c>
      <c r="BS89">
        <v>0</v>
      </c>
      <c r="BT89">
        <v>0</v>
      </c>
      <c r="BU89">
        <v>0</v>
      </c>
      <c r="BV89">
        <v>5572</v>
      </c>
      <c r="BW89">
        <v>0</v>
      </c>
      <c r="BX89">
        <v>206083</v>
      </c>
      <c r="BY89">
        <v>677</v>
      </c>
      <c r="BZ89">
        <v>160498</v>
      </c>
      <c r="CA89">
        <v>1607</v>
      </c>
      <c r="CB89">
        <v>187246</v>
      </c>
      <c r="CC89">
        <v>5052</v>
      </c>
      <c r="CD89">
        <v>0</v>
      </c>
      <c r="CE89">
        <v>105553</v>
      </c>
      <c r="CF89">
        <v>0</v>
      </c>
      <c r="CG89">
        <v>14231</v>
      </c>
      <c r="CH89">
        <v>0</v>
      </c>
      <c r="CI89">
        <v>598335</v>
      </c>
      <c r="CJ89">
        <v>18418757</v>
      </c>
      <c r="CK89">
        <v>50572</v>
      </c>
      <c r="CL89">
        <v>133857</v>
      </c>
      <c r="CM89">
        <v>0</v>
      </c>
      <c r="CN89">
        <v>514</v>
      </c>
      <c r="CO89">
        <v>30553</v>
      </c>
      <c r="CP89">
        <v>119958</v>
      </c>
      <c r="CQ89">
        <v>20682</v>
      </c>
      <c r="CR89">
        <v>0</v>
      </c>
      <c r="CS89">
        <v>0</v>
      </c>
    </row>
    <row r="90" spans="1:97" x14ac:dyDescent="0.3">
      <c r="A90" s="155">
        <v>351</v>
      </c>
      <c r="B90" t="s">
        <v>223</v>
      </c>
      <c r="D90">
        <v>0</v>
      </c>
      <c r="E90">
        <v>0</v>
      </c>
      <c r="F90">
        <v>4605</v>
      </c>
      <c r="G90">
        <v>0</v>
      </c>
      <c r="H90">
        <v>0</v>
      </c>
      <c r="I90">
        <v>0</v>
      </c>
      <c r="J90">
        <v>60636</v>
      </c>
      <c r="K90">
        <v>71423</v>
      </c>
      <c r="L90">
        <v>0</v>
      </c>
      <c r="M90">
        <v>473731</v>
      </c>
      <c r="N90">
        <v>33045</v>
      </c>
      <c r="O90">
        <v>0</v>
      </c>
      <c r="P90">
        <v>0</v>
      </c>
      <c r="Q90">
        <v>23745</v>
      </c>
      <c r="R90">
        <v>0</v>
      </c>
      <c r="S90">
        <v>15188</v>
      </c>
      <c r="T90">
        <v>0</v>
      </c>
      <c r="U90">
        <v>0</v>
      </c>
      <c r="V90">
        <v>0</v>
      </c>
      <c r="W90">
        <v>667700</v>
      </c>
      <c r="X90">
        <v>0</v>
      </c>
      <c r="Y90">
        <v>0</v>
      </c>
      <c r="Z90">
        <v>0</v>
      </c>
      <c r="AA90">
        <v>32642</v>
      </c>
      <c r="AB90">
        <v>0</v>
      </c>
      <c r="AC90">
        <v>0</v>
      </c>
      <c r="AD90">
        <v>14349</v>
      </c>
      <c r="AE90">
        <v>10404</v>
      </c>
      <c r="AF90">
        <v>2961</v>
      </c>
      <c r="AG90">
        <v>712463</v>
      </c>
      <c r="AH90">
        <v>0</v>
      </c>
      <c r="AI90">
        <v>16130</v>
      </c>
      <c r="AJ90">
        <v>0</v>
      </c>
      <c r="AK90">
        <v>0</v>
      </c>
      <c r="AL90">
        <v>435378</v>
      </c>
      <c r="AM90">
        <v>42619</v>
      </c>
      <c r="AN90">
        <v>18317</v>
      </c>
      <c r="AO90">
        <v>64493</v>
      </c>
      <c r="AP90">
        <v>565</v>
      </c>
      <c r="AQ90">
        <v>0</v>
      </c>
      <c r="AR90">
        <v>64808</v>
      </c>
      <c r="AS90">
        <v>10077</v>
      </c>
      <c r="AT90">
        <v>0</v>
      </c>
      <c r="AU90">
        <v>0</v>
      </c>
      <c r="AV90">
        <v>0</v>
      </c>
      <c r="AW90">
        <v>0</v>
      </c>
      <c r="AX90">
        <v>3401</v>
      </c>
      <c r="AY90">
        <v>235469</v>
      </c>
      <c r="AZ90">
        <v>0</v>
      </c>
      <c r="BA90">
        <v>0</v>
      </c>
      <c r="BB90">
        <v>0</v>
      </c>
      <c r="BC90">
        <v>126848</v>
      </c>
      <c r="BD90">
        <v>0</v>
      </c>
      <c r="BE90">
        <v>12240</v>
      </c>
      <c r="BF90">
        <v>9157</v>
      </c>
      <c r="BG90">
        <v>0</v>
      </c>
      <c r="BH90">
        <v>28536</v>
      </c>
      <c r="BI90">
        <v>32804</v>
      </c>
      <c r="BJ90">
        <v>15948</v>
      </c>
      <c r="BK90">
        <v>0</v>
      </c>
      <c r="BL90">
        <v>0</v>
      </c>
      <c r="BM90">
        <v>0</v>
      </c>
      <c r="BN90">
        <v>12933</v>
      </c>
      <c r="BO90">
        <v>51878</v>
      </c>
      <c r="BP90">
        <v>0</v>
      </c>
      <c r="BQ90">
        <v>0</v>
      </c>
      <c r="BR90">
        <v>0</v>
      </c>
      <c r="BS90">
        <v>0</v>
      </c>
      <c r="BT90">
        <v>0</v>
      </c>
      <c r="BU90">
        <v>0</v>
      </c>
      <c r="BV90">
        <v>18798</v>
      </c>
      <c r="BW90">
        <v>0</v>
      </c>
      <c r="BX90">
        <v>27713</v>
      </c>
      <c r="BY90">
        <v>9887</v>
      </c>
      <c r="BZ90">
        <v>23296</v>
      </c>
      <c r="CA90">
        <v>0</v>
      </c>
      <c r="CB90">
        <v>175117</v>
      </c>
      <c r="CC90">
        <v>156247</v>
      </c>
      <c r="CD90">
        <v>0</v>
      </c>
      <c r="CE90">
        <v>366130</v>
      </c>
      <c r="CF90">
        <v>95733</v>
      </c>
      <c r="CG90">
        <v>0</v>
      </c>
      <c r="CH90">
        <v>17584</v>
      </c>
      <c r="CI90">
        <v>205066</v>
      </c>
      <c r="CJ90">
        <v>16701517</v>
      </c>
      <c r="CK90">
        <v>103688</v>
      </c>
      <c r="CL90">
        <v>3185</v>
      </c>
      <c r="CM90">
        <v>0</v>
      </c>
      <c r="CN90">
        <v>0</v>
      </c>
      <c r="CO90">
        <v>0</v>
      </c>
      <c r="CP90">
        <v>0</v>
      </c>
      <c r="CQ90">
        <v>79934</v>
      </c>
      <c r="CR90">
        <v>0</v>
      </c>
      <c r="CS90">
        <v>0</v>
      </c>
    </row>
    <row r="91" spans="1:97" x14ac:dyDescent="0.3">
      <c r="A91" s="155">
        <v>352</v>
      </c>
      <c r="B91" t="s">
        <v>225</v>
      </c>
      <c r="D91">
        <v>0</v>
      </c>
      <c r="E91">
        <v>0</v>
      </c>
      <c r="F91">
        <v>0</v>
      </c>
      <c r="G91">
        <v>0</v>
      </c>
      <c r="H91">
        <v>0</v>
      </c>
      <c r="I91">
        <v>0</v>
      </c>
      <c r="J91">
        <v>0</v>
      </c>
      <c r="K91">
        <v>0</v>
      </c>
      <c r="L91">
        <v>0</v>
      </c>
      <c r="M91">
        <v>0</v>
      </c>
      <c r="N91">
        <v>0</v>
      </c>
      <c r="O91">
        <v>0</v>
      </c>
      <c r="P91">
        <v>0</v>
      </c>
      <c r="Q91">
        <v>0</v>
      </c>
      <c r="R91">
        <v>0</v>
      </c>
      <c r="S91">
        <v>10007</v>
      </c>
      <c r="T91">
        <v>0</v>
      </c>
      <c r="U91">
        <v>0</v>
      </c>
      <c r="V91">
        <v>0</v>
      </c>
      <c r="W91">
        <v>0</v>
      </c>
      <c r="X91">
        <v>0</v>
      </c>
      <c r="Y91">
        <v>875000</v>
      </c>
      <c r="Z91">
        <v>0</v>
      </c>
      <c r="AA91">
        <v>288000</v>
      </c>
      <c r="AB91">
        <v>0</v>
      </c>
      <c r="AC91">
        <v>0</v>
      </c>
      <c r="AD91">
        <v>0</v>
      </c>
      <c r="AE91">
        <v>544933</v>
      </c>
      <c r="AF91">
        <v>0</v>
      </c>
      <c r="AG91">
        <v>0</v>
      </c>
      <c r="AH91">
        <v>0</v>
      </c>
      <c r="AI91">
        <v>0</v>
      </c>
      <c r="AJ91">
        <v>0</v>
      </c>
      <c r="AK91">
        <v>0</v>
      </c>
      <c r="AL91">
        <v>1097775</v>
      </c>
      <c r="AM91">
        <v>0</v>
      </c>
      <c r="AN91">
        <v>0</v>
      </c>
      <c r="AO91">
        <v>0</v>
      </c>
      <c r="AP91">
        <v>0</v>
      </c>
      <c r="AQ91">
        <v>0</v>
      </c>
      <c r="AR91">
        <v>0</v>
      </c>
      <c r="AS91">
        <v>0</v>
      </c>
      <c r="AT91">
        <v>0</v>
      </c>
      <c r="AU91">
        <v>0</v>
      </c>
      <c r="AV91">
        <v>0</v>
      </c>
      <c r="AW91">
        <v>0</v>
      </c>
      <c r="AX91">
        <v>0</v>
      </c>
      <c r="AY91">
        <v>157556</v>
      </c>
      <c r="AZ91">
        <v>0</v>
      </c>
      <c r="BA91">
        <v>0</v>
      </c>
      <c r="BB91">
        <v>0</v>
      </c>
      <c r="BC91">
        <v>0</v>
      </c>
      <c r="BD91">
        <v>0</v>
      </c>
      <c r="BE91">
        <v>0</v>
      </c>
      <c r="BF91">
        <v>33836</v>
      </c>
      <c r="BG91">
        <v>0</v>
      </c>
      <c r="BH91">
        <v>14757</v>
      </c>
      <c r="BI91">
        <v>0</v>
      </c>
      <c r="BJ91">
        <v>0</v>
      </c>
      <c r="BK91">
        <v>0</v>
      </c>
      <c r="BL91">
        <v>0</v>
      </c>
      <c r="BM91">
        <v>0</v>
      </c>
      <c r="BN91">
        <v>110000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120720</v>
      </c>
      <c r="CK91">
        <v>93000</v>
      </c>
      <c r="CL91">
        <v>0</v>
      </c>
      <c r="CM91">
        <v>0</v>
      </c>
      <c r="CN91">
        <v>0</v>
      </c>
      <c r="CO91">
        <v>0</v>
      </c>
      <c r="CP91">
        <v>0</v>
      </c>
      <c r="CQ91">
        <v>0</v>
      </c>
      <c r="CR91">
        <v>0</v>
      </c>
      <c r="CS91">
        <v>0</v>
      </c>
    </row>
    <row r="92" spans="1:97" x14ac:dyDescent="0.3">
      <c r="A92" s="155">
        <v>353</v>
      </c>
      <c r="B92" t="s">
        <v>226</v>
      </c>
      <c r="D92">
        <v>0</v>
      </c>
      <c r="E92">
        <v>0</v>
      </c>
      <c r="F92">
        <v>0</v>
      </c>
      <c r="G92">
        <v>0</v>
      </c>
      <c r="H92">
        <v>0</v>
      </c>
      <c r="I92">
        <v>0</v>
      </c>
      <c r="J92">
        <v>0</v>
      </c>
      <c r="K92">
        <v>0</v>
      </c>
      <c r="L92">
        <v>0</v>
      </c>
      <c r="M92">
        <v>364184</v>
      </c>
      <c r="N92">
        <v>0</v>
      </c>
      <c r="O92">
        <v>0</v>
      </c>
      <c r="P92">
        <v>0</v>
      </c>
      <c r="Q92">
        <v>0</v>
      </c>
      <c r="R92">
        <v>0</v>
      </c>
      <c r="S92">
        <v>0</v>
      </c>
      <c r="T92">
        <v>0</v>
      </c>
      <c r="U92">
        <v>0</v>
      </c>
      <c r="V92">
        <v>0</v>
      </c>
      <c r="W92">
        <v>0</v>
      </c>
      <c r="X92">
        <v>0</v>
      </c>
      <c r="Y92">
        <v>0</v>
      </c>
      <c r="Z92">
        <v>0</v>
      </c>
      <c r="AA92">
        <v>190000</v>
      </c>
      <c r="AB92">
        <v>0</v>
      </c>
      <c r="AC92">
        <v>0</v>
      </c>
      <c r="AD92">
        <v>0</v>
      </c>
      <c r="AE92">
        <v>0</v>
      </c>
      <c r="AF92">
        <v>0</v>
      </c>
      <c r="AG92">
        <v>0</v>
      </c>
      <c r="AH92">
        <v>0</v>
      </c>
      <c r="AI92">
        <v>0</v>
      </c>
      <c r="AJ92">
        <v>0</v>
      </c>
      <c r="AK92">
        <v>91823</v>
      </c>
      <c r="AL92">
        <v>0</v>
      </c>
      <c r="AM92">
        <v>0</v>
      </c>
      <c r="AN92">
        <v>0</v>
      </c>
      <c r="AO92">
        <v>0</v>
      </c>
      <c r="AP92">
        <v>0</v>
      </c>
      <c r="AQ92">
        <v>0</v>
      </c>
      <c r="AR92">
        <v>221000</v>
      </c>
      <c r="AS92">
        <v>0</v>
      </c>
      <c r="AT92">
        <v>0</v>
      </c>
      <c r="AU92">
        <v>0</v>
      </c>
      <c r="AV92">
        <v>0</v>
      </c>
      <c r="AW92">
        <v>0</v>
      </c>
      <c r="AX92">
        <v>0</v>
      </c>
      <c r="AY92">
        <v>157556</v>
      </c>
      <c r="AZ92">
        <v>20000</v>
      </c>
      <c r="BA92">
        <v>0</v>
      </c>
      <c r="BB92">
        <v>0</v>
      </c>
      <c r="BC92">
        <v>156163</v>
      </c>
      <c r="BD92">
        <v>0</v>
      </c>
      <c r="BE92">
        <v>0</v>
      </c>
      <c r="BF92">
        <v>33836</v>
      </c>
      <c r="BG92">
        <v>0</v>
      </c>
      <c r="BH92">
        <v>50949</v>
      </c>
      <c r="BI92">
        <v>0</v>
      </c>
      <c r="BJ92">
        <v>265299</v>
      </c>
      <c r="BK92">
        <v>0</v>
      </c>
      <c r="BL92">
        <v>0</v>
      </c>
      <c r="BM92">
        <v>0</v>
      </c>
      <c r="BN92">
        <v>0</v>
      </c>
      <c r="BO92">
        <v>0</v>
      </c>
      <c r="BP92">
        <v>0</v>
      </c>
      <c r="BQ92">
        <v>0</v>
      </c>
      <c r="BR92">
        <v>20766</v>
      </c>
      <c r="BS92">
        <v>0</v>
      </c>
      <c r="BT92">
        <v>0</v>
      </c>
      <c r="BU92">
        <v>0</v>
      </c>
      <c r="BV92">
        <v>0</v>
      </c>
      <c r="BW92">
        <v>0</v>
      </c>
      <c r="BX92">
        <v>0</v>
      </c>
      <c r="BY92">
        <v>0</v>
      </c>
      <c r="BZ92">
        <v>124080</v>
      </c>
      <c r="CA92">
        <v>0</v>
      </c>
      <c r="CB92">
        <v>0</v>
      </c>
      <c r="CC92">
        <v>0</v>
      </c>
      <c r="CD92">
        <v>0</v>
      </c>
      <c r="CE92">
        <v>0</v>
      </c>
      <c r="CF92">
        <v>0</v>
      </c>
      <c r="CG92">
        <v>0</v>
      </c>
      <c r="CH92">
        <v>0</v>
      </c>
      <c r="CI92">
        <v>0</v>
      </c>
      <c r="CJ92">
        <v>391167</v>
      </c>
      <c r="CK92">
        <v>93000</v>
      </c>
      <c r="CL92">
        <v>0</v>
      </c>
      <c r="CM92">
        <v>0</v>
      </c>
      <c r="CN92">
        <v>0</v>
      </c>
      <c r="CO92">
        <v>273853</v>
      </c>
      <c r="CP92">
        <v>0</v>
      </c>
      <c r="CQ92">
        <v>43471</v>
      </c>
      <c r="CR92">
        <v>0</v>
      </c>
      <c r="CS92">
        <v>0</v>
      </c>
    </row>
    <row r="93" spans="1:97" x14ac:dyDescent="0.3">
      <c r="A93" s="155">
        <v>356</v>
      </c>
      <c r="B93" t="s">
        <v>307</v>
      </c>
      <c r="D93">
        <v>0</v>
      </c>
      <c r="E93">
        <v>0</v>
      </c>
      <c r="F93">
        <v>0</v>
      </c>
      <c r="G93">
        <v>0</v>
      </c>
      <c r="H93">
        <v>0</v>
      </c>
      <c r="I93">
        <v>0</v>
      </c>
      <c r="J93">
        <v>0</v>
      </c>
      <c r="K93">
        <v>2928299</v>
      </c>
      <c r="L93">
        <v>0</v>
      </c>
      <c r="M93">
        <v>56321135</v>
      </c>
      <c r="N93">
        <v>0</v>
      </c>
      <c r="O93">
        <v>0</v>
      </c>
      <c r="P93">
        <v>0</v>
      </c>
      <c r="Q93">
        <v>0</v>
      </c>
      <c r="R93">
        <v>0</v>
      </c>
      <c r="S93">
        <v>0</v>
      </c>
      <c r="T93">
        <v>0</v>
      </c>
      <c r="U93">
        <v>0</v>
      </c>
      <c r="V93">
        <v>0</v>
      </c>
      <c r="W93">
        <v>0</v>
      </c>
      <c r="X93">
        <v>0</v>
      </c>
      <c r="Y93">
        <v>0</v>
      </c>
      <c r="Z93">
        <v>0</v>
      </c>
      <c r="AA93">
        <v>0</v>
      </c>
      <c r="AB93">
        <v>0</v>
      </c>
      <c r="AC93">
        <v>58190464</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40052971</v>
      </c>
      <c r="BB93">
        <v>0</v>
      </c>
      <c r="BC93">
        <v>0</v>
      </c>
      <c r="BD93">
        <v>0</v>
      </c>
      <c r="BE93">
        <v>0</v>
      </c>
      <c r="BF93">
        <v>0</v>
      </c>
      <c r="BG93">
        <v>415728</v>
      </c>
      <c r="BH93">
        <v>0</v>
      </c>
      <c r="BI93">
        <v>0</v>
      </c>
      <c r="BJ93">
        <v>76729118</v>
      </c>
      <c r="BK93">
        <v>0</v>
      </c>
      <c r="BL93">
        <v>0</v>
      </c>
      <c r="BM93">
        <v>0</v>
      </c>
      <c r="BN93">
        <v>8777294</v>
      </c>
      <c r="BO93">
        <v>0</v>
      </c>
      <c r="BP93">
        <v>0</v>
      </c>
      <c r="BQ93">
        <v>0</v>
      </c>
      <c r="BR93">
        <v>0</v>
      </c>
      <c r="BS93">
        <v>0</v>
      </c>
      <c r="BT93">
        <v>0</v>
      </c>
      <c r="BU93">
        <v>0</v>
      </c>
      <c r="BV93">
        <v>0</v>
      </c>
      <c r="BW93">
        <v>0</v>
      </c>
      <c r="BX93">
        <v>0</v>
      </c>
      <c r="BY93">
        <v>0</v>
      </c>
      <c r="BZ93">
        <v>0</v>
      </c>
      <c r="CA93">
        <v>0</v>
      </c>
      <c r="CB93">
        <v>0</v>
      </c>
      <c r="CC93">
        <v>0</v>
      </c>
      <c r="CD93">
        <v>0</v>
      </c>
      <c r="CE93">
        <v>185118922</v>
      </c>
      <c r="CF93">
        <v>0</v>
      </c>
      <c r="CG93">
        <v>7571102</v>
      </c>
      <c r="CH93">
        <v>0</v>
      </c>
      <c r="CI93">
        <v>0</v>
      </c>
      <c r="CJ93">
        <v>0</v>
      </c>
      <c r="CK93">
        <v>11105702</v>
      </c>
      <c r="CL93">
        <v>0</v>
      </c>
      <c r="CM93">
        <v>0</v>
      </c>
      <c r="CN93">
        <v>0</v>
      </c>
      <c r="CO93">
        <v>0</v>
      </c>
      <c r="CP93">
        <v>0</v>
      </c>
      <c r="CQ93">
        <v>0</v>
      </c>
      <c r="CR93">
        <v>0</v>
      </c>
      <c r="CS93">
        <v>0</v>
      </c>
    </row>
    <row r="94" spans="1:97" x14ac:dyDescent="0.3">
      <c r="A94" s="155">
        <v>357</v>
      </c>
      <c r="B94" t="s">
        <v>308</v>
      </c>
      <c r="D94">
        <v>0</v>
      </c>
      <c r="E94">
        <v>0</v>
      </c>
      <c r="F94">
        <v>0</v>
      </c>
      <c r="G94">
        <v>0</v>
      </c>
      <c r="H94">
        <v>0</v>
      </c>
      <c r="I94">
        <v>0</v>
      </c>
      <c r="J94">
        <v>0</v>
      </c>
      <c r="K94">
        <v>1682642</v>
      </c>
      <c r="L94">
        <v>0</v>
      </c>
      <c r="M94">
        <v>24923168</v>
      </c>
      <c r="N94">
        <v>0</v>
      </c>
      <c r="O94">
        <v>0</v>
      </c>
      <c r="P94">
        <v>0</v>
      </c>
      <c r="Q94">
        <v>0</v>
      </c>
      <c r="R94">
        <v>0</v>
      </c>
      <c r="S94">
        <v>0</v>
      </c>
      <c r="T94">
        <v>0</v>
      </c>
      <c r="U94">
        <v>0</v>
      </c>
      <c r="V94">
        <v>0</v>
      </c>
      <c r="W94">
        <v>0</v>
      </c>
      <c r="X94">
        <v>0</v>
      </c>
      <c r="Y94">
        <v>0</v>
      </c>
      <c r="Z94">
        <v>0</v>
      </c>
      <c r="AA94">
        <v>0</v>
      </c>
      <c r="AB94">
        <v>0</v>
      </c>
      <c r="AC94">
        <v>41591833</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20097951</v>
      </c>
      <c r="BB94">
        <v>0</v>
      </c>
      <c r="BC94">
        <v>0</v>
      </c>
      <c r="BD94">
        <v>0</v>
      </c>
      <c r="BE94">
        <v>0</v>
      </c>
      <c r="BF94">
        <v>0</v>
      </c>
      <c r="BG94">
        <v>338671</v>
      </c>
      <c r="BH94">
        <v>0</v>
      </c>
      <c r="BI94">
        <v>0</v>
      </c>
      <c r="BJ94">
        <v>45005404</v>
      </c>
      <c r="BK94">
        <v>0</v>
      </c>
      <c r="BL94">
        <v>0</v>
      </c>
      <c r="BM94">
        <v>0</v>
      </c>
      <c r="BN94">
        <v>6248626</v>
      </c>
      <c r="BO94">
        <v>0</v>
      </c>
      <c r="BP94">
        <v>0</v>
      </c>
      <c r="BQ94">
        <v>0</v>
      </c>
      <c r="BR94">
        <v>0</v>
      </c>
      <c r="BS94">
        <v>0</v>
      </c>
      <c r="BT94">
        <v>0</v>
      </c>
      <c r="BU94">
        <v>0</v>
      </c>
      <c r="BV94">
        <v>0</v>
      </c>
      <c r="BW94">
        <v>0</v>
      </c>
      <c r="BX94">
        <v>0</v>
      </c>
      <c r="BY94">
        <v>0</v>
      </c>
      <c r="BZ94">
        <v>0</v>
      </c>
      <c r="CA94">
        <v>0</v>
      </c>
      <c r="CB94">
        <v>0</v>
      </c>
      <c r="CC94">
        <v>0</v>
      </c>
      <c r="CD94">
        <v>0</v>
      </c>
      <c r="CE94">
        <v>106117298</v>
      </c>
      <c r="CF94">
        <v>0</v>
      </c>
      <c r="CG94">
        <v>5341836</v>
      </c>
      <c r="CH94">
        <v>0</v>
      </c>
      <c r="CI94">
        <v>0</v>
      </c>
      <c r="CJ94">
        <v>0</v>
      </c>
      <c r="CK94">
        <v>6039261</v>
      </c>
      <c r="CL94">
        <v>0</v>
      </c>
      <c r="CM94">
        <v>0</v>
      </c>
      <c r="CN94">
        <v>0</v>
      </c>
      <c r="CO94">
        <v>0</v>
      </c>
      <c r="CP94">
        <v>0</v>
      </c>
      <c r="CQ94">
        <v>0</v>
      </c>
      <c r="CR94">
        <v>0</v>
      </c>
      <c r="CS94">
        <v>0</v>
      </c>
    </row>
    <row r="95" spans="1:97" x14ac:dyDescent="0.3">
      <c r="A95" s="155">
        <v>359</v>
      </c>
      <c r="B95" t="s">
        <v>247</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3785418</v>
      </c>
      <c r="BB95">
        <v>0</v>
      </c>
      <c r="BC95">
        <v>0</v>
      </c>
      <c r="BD95">
        <v>0</v>
      </c>
      <c r="BE95">
        <v>0</v>
      </c>
      <c r="BF95">
        <v>0</v>
      </c>
      <c r="BG95">
        <v>0</v>
      </c>
      <c r="BH95">
        <v>0</v>
      </c>
      <c r="BI95">
        <v>0</v>
      </c>
      <c r="BJ95">
        <v>0</v>
      </c>
      <c r="BK95">
        <v>0</v>
      </c>
      <c r="BL95">
        <v>0</v>
      </c>
      <c r="BM95">
        <v>0</v>
      </c>
      <c r="BN95">
        <v>30662</v>
      </c>
      <c r="BO95">
        <v>0</v>
      </c>
      <c r="BP95">
        <v>0</v>
      </c>
      <c r="BQ95">
        <v>0</v>
      </c>
      <c r="BR95">
        <v>0</v>
      </c>
      <c r="BS95">
        <v>0</v>
      </c>
      <c r="BT95">
        <v>0</v>
      </c>
      <c r="BU95">
        <v>0</v>
      </c>
      <c r="BV95">
        <v>0</v>
      </c>
      <c r="BW95">
        <v>0</v>
      </c>
      <c r="BX95">
        <v>0</v>
      </c>
      <c r="BY95">
        <v>0</v>
      </c>
      <c r="BZ95">
        <v>0</v>
      </c>
      <c r="CA95">
        <v>0</v>
      </c>
      <c r="CB95">
        <v>0</v>
      </c>
      <c r="CC95">
        <v>0</v>
      </c>
      <c r="CD95">
        <v>0</v>
      </c>
      <c r="CE95">
        <v>16484756</v>
      </c>
      <c r="CF95">
        <v>0</v>
      </c>
      <c r="CG95">
        <v>0</v>
      </c>
      <c r="CH95">
        <v>0</v>
      </c>
      <c r="CI95">
        <v>0</v>
      </c>
      <c r="CJ95">
        <v>0</v>
      </c>
      <c r="CK95">
        <v>696762</v>
      </c>
      <c r="CL95">
        <v>0</v>
      </c>
      <c r="CM95">
        <v>0</v>
      </c>
      <c r="CN95">
        <v>0</v>
      </c>
      <c r="CO95">
        <v>0</v>
      </c>
      <c r="CP95">
        <v>0</v>
      </c>
      <c r="CQ95">
        <v>0</v>
      </c>
      <c r="CR95">
        <v>0</v>
      </c>
      <c r="CS95">
        <v>0</v>
      </c>
    </row>
    <row r="96" spans="1:97" x14ac:dyDescent="0.3">
      <c r="A96" s="155">
        <v>360</v>
      </c>
      <c r="B96" t="s">
        <v>117</v>
      </c>
      <c r="D96">
        <v>0</v>
      </c>
      <c r="E96">
        <v>0</v>
      </c>
      <c r="F96">
        <v>0</v>
      </c>
      <c r="G96">
        <v>0</v>
      </c>
      <c r="H96">
        <v>0</v>
      </c>
      <c r="I96">
        <v>0</v>
      </c>
      <c r="J96">
        <v>0</v>
      </c>
      <c r="K96">
        <v>413833</v>
      </c>
      <c r="L96">
        <v>0</v>
      </c>
      <c r="M96">
        <v>6817050</v>
      </c>
      <c r="N96">
        <v>0</v>
      </c>
      <c r="O96">
        <v>0</v>
      </c>
      <c r="P96">
        <v>0</v>
      </c>
      <c r="Q96">
        <v>0</v>
      </c>
      <c r="R96">
        <v>0</v>
      </c>
      <c r="S96">
        <v>0</v>
      </c>
      <c r="T96">
        <v>0</v>
      </c>
      <c r="U96">
        <v>0</v>
      </c>
      <c r="V96">
        <v>0</v>
      </c>
      <c r="W96">
        <v>0</v>
      </c>
      <c r="X96">
        <v>0</v>
      </c>
      <c r="Y96">
        <v>0</v>
      </c>
      <c r="Z96">
        <v>0</v>
      </c>
      <c r="AA96">
        <v>0</v>
      </c>
      <c r="AB96">
        <v>0</v>
      </c>
      <c r="AC96">
        <v>7457648</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9799782</v>
      </c>
      <c r="BB96">
        <v>0</v>
      </c>
      <c r="BC96">
        <v>0</v>
      </c>
      <c r="BD96">
        <v>0</v>
      </c>
      <c r="BE96">
        <v>0</v>
      </c>
      <c r="BF96">
        <v>0</v>
      </c>
      <c r="BG96">
        <v>15572</v>
      </c>
      <c r="BH96">
        <v>0</v>
      </c>
      <c r="BI96">
        <v>0</v>
      </c>
      <c r="BJ96">
        <v>5221728</v>
      </c>
      <c r="BK96">
        <v>0</v>
      </c>
      <c r="BL96">
        <v>0</v>
      </c>
      <c r="BM96">
        <v>0</v>
      </c>
      <c r="BN96">
        <v>1017370</v>
      </c>
      <c r="BO96">
        <v>0</v>
      </c>
      <c r="BP96">
        <v>0</v>
      </c>
      <c r="BQ96">
        <v>0</v>
      </c>
      <c r="BR96">
        <v>0</v>
      </c>
      <c r="BS96">
        <v>0</v>
      </c>
      <c r="BT96">
        <v>0</v>
      </c>
      <c r="BU96">
        <v>0</v>
      </c>
      <c r="BV96">
        <v>0</v>
      </c>
      <c r="BW96">
        <v>0</v>
      </c>
      <c r="BX96">
        <v>0</v>
      </c>
      <c r="BY96">
        <v>0</v>
      </c>
      <c r="BZ96">
        <v>0</v>
      </c>
      <c r="CA96">
        <v>0</v>
      </c>
      <c r="CB96">
        <v>0</v>
      </c>
      <c r="CC96">
        <v>0</v>
      </c>
      <c r="CD96">
        <v>0</v>
      </c>
      <c r="CE96">
        <v>38421011</v>
      </c>
      <c r="CF96">
        <v>0</v>
      </c>
      <c r="CG96">
        <v>1554327</v>
      </c>
      <c r="CH96">
        <v>0</v>
      </c>
      <c r="CI96">
        <v>0</v>
      </c>
      <c r="CJ96">
        <v>0</v>
      </c>
      <c r="CK96">
        <v>1670808</v>
      </c>
      <c r="CL96">
        <v>0</v>
      </c>
      <c r="CM96">
        <v>0</v>
      </c>
      <c r="CN96">
        <v>0</v>
      </c>
      <c r="CO96">
        <v>0</v>
      </c>
      <c r="CP96">
        <v>0</v>
      </c>
      <c r="CQ96">
        <v>0</v>
      </c>
      <c r="CR96">
        <v>0</v>
      </c>
      <c r="CS96">
        <v>0</v>
      </c>
    </row>
    <row r="97" spans="1:97" x14ac:dyDescent="0.3">
      <c r="A97" s="155">
        <v>361</v>
      </c>
      <c r="B97" t="s">
        <v>98</v>
      </c>
      <c r="D97">
        <v>0</v>
      </c>
      <c r="E97">
        <v>0</v>
      </c>
      <c r="F97">
        <v>0</v>
      </c>
      <c r="G97">
        <v>0</v>
      </c>
      <c r="H97">
        <v>0</v>
      </c>
      <c r="I97">
        <v>0</v>
      </c>
      <c r="J97">
        <v>0</v>
      </c>
      <c r="K97">
        <v>3629900</v>
      </c>
      <c r="L97">
        <v>0</v>
      </c>
      <c r="M97">
        <v>48774522</v>
      </c>
      <c r="N97">
        <v>0</v>
      </c>
      <c r="O97">
        <v>0</v>
      </c>
      <c r="P97">
        <v>0</v>
      </c>
      <c r="Q97">
        <v>0</v>
      </c>
      <c r="R97">
        <v>0</v>
      </c>
      <c r="S97">
        <v>0</v>
      </c>
      <c r="T97">
        <v>0</v>
      </c>
      <c r="U97">
        <v>0</v>
      </c>
      <c r="V97">
        <v>0</v>
      </c>
      <c r="W97">
        <v>0</v>
      </c>
      <c r="X97">
        <v>0</v>
      </c>
      <c r="Y97">
        <v>0</v>
      </c>
      <c r="Z97">
        <v>0</v>
      </c>
      <c r="AA97">
        <v>0</v>
      </c>
      <c r="AB97">
        <v>0</v>
      </c>
      <c r="AC97">
        <v>10431143</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3522265</v>
      </c>
      <c r="BB97">
        <v>0</v>
      </c>
      <c r="BC97">
        <v>0</v>
      </c>
      <c r="BD97">
        <v>0</v>
      </c>
      <c r="BE97">
        <v>0</v>
      </c>
      <c r="BF97">
        <v>0</v>
      </c>
      <c r="BG97">
        <v>502345</v>
      </c>
      <c r="BH97">
        <v>0</v>
      </c>
      <c r="BI97">
        <v>0</v>
      </c>
      <c r="BJ97">
        <v>17956877</v>
      </c>
      <c r="BK97">
        <v>0</v>
      </c>
      <c r="BL97">
        <v>0</v>
      </c>
      <c r="BM97">
        <v>0</v>
      </c>
      <c r="BN97">
        <v>4545179</v>
      </c>
      <c r="BO97">
        <v>0</v>
      </c>
      <c r="BP97">
        <v>0</v>
      </c>
      <c r="BQ97">
        <v>0</v>
      </c>
      <c r="BR97">
        <v>0</v>
      </c>
      <c r="BS97">
        <v>0</v>
      </c>
      <c r="BT97">
        <v>0</v>
      </c>
      <c r="BU97">
        <v>0</v>
      </c>
      <c r="BV97">
        <v>0</v>
      </c>
      <c r="BW97">
        <v>0</v>
      </c>
      <c r="BX97">
        <v>0</v>
      </c>
      <c r="BY97">
        <v>0</v>
      </c>
      <c r="BZ97">
        <v>0</v>
      </c>
      <c r="CA97">
        <v>0</v>
      </c>
      <c r="CB97">
        <v>0</v>
      </c>
      <c r="CC97">
        <v>0</v>
      </c>
      <c r="CD97">
        <v>0</v>
      </c>
      <c r="CE97">
        <v>43997638</v>
      </c>
      <c r="CF97">
        <v>0</v>
      </c>
      <c r="CG97">
        <v>3292391</v>
      </c>
      <c r="CH97">
        <v>0</v>
      </c>
      <c r="CI97">
        <v>0</v>
      </c>
      <c r="CJ97">
        <v>0</v>
      </c>
      <c r="CK97">
        <v>8260599</v>
      </c>
      <c r="CL97">
        <v>0</v>
      </c>
      <c r="CM97">
        <v>0</v>
      </c>
      <c r="CN97">
        <v>0</v>
      </c>
      <c r="CO97">
        <v>0</v>
      </c>
      <c r="CP97">
        <v>0</v>
      </c>
      <c r="CQ97">
        <v>0</v>
      </c>
      <c r="CR97">
        <v>0</v>
      </c>
      <c r="CS97">
        <v>0</v>
      </c>
    </row>
    <row r="98" spans="1:97" x14ac:dyDescent="0.3">
      <c r="A98" s="155">
        <v>362</v>
      </c>
      <c r="B98" t="s">
        <v>99</v>
      </c>
      <c r="D98">
        <v>0</v>
      </c>
      <c r="E98">
        <v>0</v>
      </c>
      <c r="F98">
        <v>0</v>
      </c>
      <c r="G98">
        <v>0</v>
      </c>
      <c r="H98">
        <v>0</v>
      </c>
      <c r="I98">
        <v>0</v>
      </c>
      <c r="J98">
        <v>0</v>
      </c>
      <c r="K98">
        <v>4896393</v>
      </c>
      <c r="L98">
        <v>0</v>
      </c>
      <c r="M98">
        <v>84940354</v>
      </c>
      <c r="N98">
        <v>0</v>
      </c>
      <c r="O98">
        <v>0</v>
      </c>
      <c r="P98">
        <v>0</v>
      </c>
      <c r="Q98">
        <v>0</v>
      </c>
      <c r="R98">
        <v>0</v>
      </c>
      <c r="S98">
        <v>0</v>
      </c>
      <c r="T98">
        <v>0</v>
      </c>
      <c r="U98">
        <v>0</v>
      </c>
      <c r="V98">
        <v>0</v>
      </c>
      <c r="W98">
        <v>0</v>
      </c>
      <c r="X98">
        <v>0</v>
      </c>
      <c r="Y98">
        <v>0</v>
      </c>
      <c r="Z98">
        <v>0</v>
      </c>
      <c r="AA98">
        <v>0</v>
      </c>
      <c r="AB98">
        <v>0</v>
      </c>
      <c r="AC98">
        <v>27888142</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21143811</v>
      </c>
      <c r="BB98">
        <v>0</v>
      </c>
      <c r="BC98">
        <v>0</v>
      </c>
      <c r="BD98">
        <v>0</v>
      </c>
      <c r="BE98">
        <v>0</v>
      </c>
      <c r="BF98">
        <v>0</v>
      </c>
      <c r="BG98">
        <v>579403</v>
      </c>
      <c r="BH98">
        <v>0</v>
      </c>
      <c r="BI98">
        <v>0</v>
      </c>
      <c r="BJ98">
        <v>52082202</v>
      </c>
      <c r="BK98">
        <v>0</v>
      </c>
      <c r="BL98">
        <v>0</v>
      </c>
      <c r="BM98">
        <v>0</v>
      </c>
      <c r="BN98">
        <v>7296788</v>
      </c>
      <c r="BO98">
        <v>0</v>
      </c>
      <c r="BP98">
        <v>0</v>
      </c>
      <c r="BQ98">
        <v>0</v>
      </c>
      <c r="BR98">
        <v>0</v>
      </c>
      <c r="BS98">
        <v>0</v>
      </c>
      <c r="BT98">
        <v>0</v>
      </c>
      <c r="BU98">
        <v>0</v>
      </c>
      <c r="BV98">
        <v>0</v>
      </c>
      <c r="BW98">
        <v>0</v>
      </c>
      <c r="BX98">
        <v>0</v>
      </c>
      <c r="BY98">
        <v>0</v>
      </c>
      <c r="BZ98">
        <v>0</v>
      </c>
      <c r="CA98">
        <v>0</v>
      </c>
      <c r="CB98">
        <v>0</v>
      </c>
      <c r="CC98">
        <v>0</v>
      </c>
      <c r="CD98">
        <v>0</v>
      </c>
      <c r="CE98">
        <v>113031207</v>
      </c>
      <c r="CF98">
        <v>0</v>
      </c>
      <c r="CG98">
        <v>5538182</v>
      </c>
      <c r="CH98">
        <v>0</v>
      </c>
      <c r="CI98">
        <v>0</v>
      </c>
      <c r="CJ98">
        <v>0</v>
      </c>
      <c r="CK98">
        <v>12776291</v>
      </c>
      <c r="CL98">
        <v>0</v>
      </c>
      <c r="CM98">
        <v>0</v>
      </c>
      <c r="CN98">
        <v>0</v>
      </c>
      <c r="CO98">
        <v>0</v>
      </c>
      <c r="CP98">
        <v>0</v>
      </c>
      <c r="CQ98">
        <v>0</v>
      </c>
      <c r="CR98">
        <v>0</v>
      </c>
      <c r="CS98">
        <v>0</v>
      </c>
    </row>
    <row r="99" spans="1:97" x14ac:dyDescent="0.3">
      <c r="A99" s="155">
        <v>363</v>
      </c>
      <c r="B99" t="s">
        <v>233</v>
      </c>
      <c r="D99">
        <v>0</v>
      </c>
      <c r="E99">
        <v>0</v>
      </c>
      <c r="F99">
        <v>0</v>
      </c>
      <c r="G99">
        <v>0</v>
      </c>
      <c r="H99">
        <v>0</v>
      </c>
      <c r="I99">
        <v>0</v>
      </c>
      <c r="J99">
        <v>0</v>
      </c>
      <c r="K99">
        <v>43458</v>
      </c>
      <c r="L99">
        <v>0</v>
      </c>
      <c r="M99">
        <v>9802720</v>
      </c>
      <c r="N99">
        <v>0</v>
      </c>
      <c r="O99">
        <v>0</v>
      </c>
      <c r="P99">
        <v>0</v>
      </c>
      <c r="Q99">
        <v>0</v>
      </c>
      <c r="R99">
        <v>0</v>
      </c>
      <c r="S99">
        <v>0</v>
      </c>
      <c r="T99">
        <v>0</v>
      </c>
      <c r="U99">
        <v>0</v>
      </c>
      <c r="V99">
        <v>0</v>
      </c>
      <c r="W99">
        <v>0</v>
      </c>
      <c r="X99">
        <v>0</v>
      </c>
      <c r="Y99">
        <v>0</v>
      </c>
      <c r="Z99">
        <v>0</v>
      </c>
      <c r="AA99">
        <v>0</v>
      </c>
      <c r="AB99">
        <v>0</v>
      </c>
      <c r="AC99">
        <v>250451</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100376</v>
      </c>
      <c r="BB99">
        <v>0</v>
      </c>
      <c r="BC99">
        <v>0</v>
      </c>
      <c r="BD99">
        <v>0</v>
      </c>
      <c r="BE99">
        <v>0</v>
      </c>
      <c r="BF99">
        <v>0</v>
      </c>
      <c r="BG99">
        <v>150</v>
      </c>
      <c r="BH99">
        <v>0</v>
      </c>
      <c r="BI99">
        <v>0</v>
      </c>
      <c r="BJ99">
        <v>241110</v>
      </c>
      <c r="BK99">
        <v>0</v>
      </c>
      <c r="BL99">
        <v>0</v>
      </c>
      <c r="BM99">
        <v>0</v>
      </c>
      <c r="BN99">
        <v>1300</v>
      </c>
      <c r="BO99">
        <v>0</v>
      </c>
      <c r="BP99">
        <v>0</v>
      </c>
      <c r="BQ99">
        <v>0</v>
      </c>
      <c r="BR99">
        <v>0</v>
      </c>
      <c r="BS99">
        <v>0</v>
      </c>
      <c r="BT99">
        <v>0</v>
      </c>
      <c r="BU99">
        <v>0</v>
      </c>
      <c r="BV99">
        <v>0</v>
      </c>
      <c r="BW99">
        <v>0</v>
      </c>
      <c r="BX99">
        <v>0</v>
      </c>
      <c r="BY99">
        <v>0</v>
      </c>
      <c r="BZ99">
        <v>0</v>
      </c>
      <c r="CA99">
        <v>0</v>
      </c>
      <c r="CB99">
        <v>0</v>
      </c>
      <c r="CC99">
        <v>0</v>
      </c>
      <c r="CD99">
        <v>0</v>
      </c>
      <c r="CE99">
        <v>272215</v>
      </c>
      <c r="CF99">
        <v>0</v>
      </c>
      <c r="CG99">
        <v>86442</v>
      </c>
      <c r="CH99">
        <v>0</v>
      </c>
      <c r="CI99">
        <v>0</v>
      </c>
      <c r="CJ99">
        <v>0</v>
      </c>
      <c r="CK99">
        <v>4656</v>
      </c>
      <c r="CL99">
        <v>0</v>
      </c>
      <c r="CM99">
        <v>0</v>
      </c>
      <c r="CN99">
        <v>0</v>
      </c>
      <c r="CO99">
        <v>0</v>
      </c>
      <c r="CP99">
        <v>0</v>
      </c>
      <c r="CQ99">
        <v>0</v>
      </c>
      <c r="CR99">
        <v>0</v>
      </c>
      <c r="CS99">
        <v>0</v>
      </c>
    </row>
    <row r="100" spans="1:97" x14ac:dyDescent="0.3">
      <c r="A100" s="155">
        <v>364</v>
      </c>
      <c r="B100" t="s">
        <v>234</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107112</v>
      </c>
      <c r="BB100">
        <v>0</v>
      </c>
      <c r="BC100">
        <v>0</v>
      </c>
      <c r="BD100">
        <v>0</v>
      </c>
      <c r="BE100">
        <v>0</v>
      </c>
      <c r="BF100">
        <v>0</v>
      </c>
      <c r="BG100">
        <v>0</v>
      </c>
      <c r="BH100">
        <v>0</v>
      </c>
      <c r="BI100">
        <v>0</v>
      </c>
      <c r="BJ100">
        <v>102651</v>
      </c>
      <c r="BK100">
        <v>0</v>
      </c>
      <c r="BL100">
        <v>0</v>
      </c>
      <c r="BM100">
        <v>0</v>
      </c>
      <c r="BN100">
        <v>998</v>
      </c>
      <c r="BO100">
        <v>0</v>
      </c>
      <c r="BP100">
        <v>0</v>
      </c>
      <c r="BQ100">
        <v>0</v>
      </c>
      <c r="BR100">
        <v>0</v>
      </c>
      <c r="BS100">
        <v>0</v>
      </c>
      <c r="BT100">
        <v>0</v>
      </c>
      <c r="BU100">
        <v>0</v>
      </c>
      <c r="BV100">
        <v>0</v>
      </c>
      <c r="BW100">
        <v>0</v>
      </c>
      <c r="BX100">
        <v>0</v>
      </c>
      <c r="BY100">
        <v>0</v>
      </c>
      <c r="BZ100">
        <v>0</v>
      </c>
      <c r="CA100">
        <v>0</v>
      </c>
      <c r="CB100">
        <v>0</v>
      </c>
      <c r="CC100">
        <v>0</v>
      </c>
      <c r="CD100">
        <v>0</v>
      </c>
      <c r="CE100">
        <v>1681754</v>
      </c>
      <c r="CF100">
        <v>0</v>
      </c>
      <c r="CG100">
        <v>0</v>
      </c>
      <c r="CH100">
        <v>0</v>
      </c>
      <c r="CI100">
        <v>0</v>
      </c>
      <c r="CJ100">
        <v>0</v>
      </c>
      <c r="CK100">
        <v>22813</v>
      </c>
      <c r="CL100">
        <v>0</v>
      </c>
      <c r="CM100">
        <v>0</v>
      </c>
      <c r="CN100">
        <v>0</v>
      </c>
      <c r="CO100">
        <v>0</v>
      </c>
      <c r="CP100">
        <v>0</v>
      </c>
      <c r="CQ100">
        <v>0</v>
      </c>
      <c r="CR100">
        <v>0</v>
      </c>
      <c r="CS100">
        <v>0</v>
      </c>
    </row>
    <row r="101" spans="1:97" x14ac:dyDescent="0.3">
      <c r="A101" s="155">
        <v>365</v>
      </c>
      <c r="B101" t="s">
        <v>236</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row>
    <row r="102" spans="1:97" x14ac:dyDescent="0.3">
      <c r="A102" s="155">
        <v>366</v>
      </c>
      <c r="B102" t="s">
        <v>924</v>
      </c>
      <c r="D102">
        <v>0</v>
      </c>
      <c r="E102">
        <v>0</v>
      </c>
      <c r="F102">
        <v>0</v>
      </c>
      <c r="G102">
        <v>0</v>
      </c>
      <c r="H102">
        <v>0</v>
      </c>
      <c r="I102">
        <v>0</v>
      </c>
      <c r="J102">
        <v>0</v>
      </c>
      <c r="K102">
        <v>389573</v>
      </c>
      <c r="L102">
        <v>0</v>
      </c>
      <c r="M102">
        <v>135245</v>
      </c>
      <c r="N102">
        <v>0</v>
      </c>
      <c r="O102">
        <v>0</v>
      </c>
      <c r="P102">
        <v>0</v>
      </c>
      <c r="Q102">
        <v>0</v>
      </c>
      <c r="R102">
        <v>0</v>
      </c>
      <c r="S102">
        <v>0</v>
      </c>
      <c r="T102">
        <v>0</v>
      </c>
      <c r="U102">
        <v>0</v>
      </c>
      <c r="V102">
        <v>0</v>
      </c>
      <c r="W102">
        <v>0</v>
      </c>
      <c r="X102">
        <v>0</v>
      </c>
      <c r="Y102">
        <v>0</v>
      </c>
      <c r="Z102">
        <v>0</v>
      </c>
      <c r="AA102">
        <v>0</v>
      </c>
      <c r="AB102">
        <v>0</v>
      </c>
      <c r="AC102">
        <v>1715000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1839653</v>
      </c>
      <c r="BK102">
        <v>0</v>
      </c>
      <c r="BL102">
        <v>0</v>
      </c>
      <c r="BM102">
        <v>0</v>
      </c>
      <c r="BN102">
        <v>1275600</v>
      </c>
      <c r="BO102">
        <v>0</v>
      </c>
      <c r="BP102">
        <v>0</v>
      </c>
      <c r="BQ102">
        <v>0</v>
      </c>
      <c r="BR102">
        <v>0</v>
      </c>
      <c r="BS102">
        <v>0</v>
      </c>
      <c r="BT102">
        <v>0</v>
      </c>
      <c r="BU102">
        <v>0</v>
      </c>
      <c r="BV102">
        <v>0</v>
      </c>
      <c r="BW102">
        <v>0</v>
      </c>
      <c r="BX102">
        <v>0</v>
      </c>
      <c r="BY102">
        <v>0</v>
      </c>
      <c r="BZ102">
        <v>0</v>
      </c>
      <c r="CA102">
        <v>0</v>
      </c>
      <c r="CB102">
        <v>0</v>
      </c>
      <c r="CC102">
        <v>0</v>
      </c>
      <c r="CD102">
        <v>0</v>
      </c>
      <c r="CE102">
        <v>2796480</v>
      </c>
      <c r="CF102">
        <v>0</v>
      </c>
      <c r="CG102">
        <v>950000</v>
      </c>
      <c r="CH102">
        <v>0</v>
      </c>
      <c r="CI102">
        <v>0</v>
      </c>
      <c r="CJ102">
        <v>0</v>
      </c>
      <c r="CK102">
        <v>650000</v>
      </c>
      <c r="CL102">
        <v>0</v>
      </c>
      <c r="CM102">
        <v>0</v>
      </c>
      <c r="CN102">
        <v>0</v>
      </c>
      <c r="CO102">
        <v>0</v>
      </c>
      <c r="CP102">
        <v>0</v>
      </c>
      <c r="CQ102">
        <v>0</v>
      </c>
      <c r="CR102">
        <v>0</v>
      </c>
      <c r="CS102">
        <v>0</v>
      </c>
    </row>
    <row r="103" spans="1:97" x14ac:dyDescent="0.3">
      <c r="A103" s="155">
        <v>368</v>
      </c>
      <c r="B103" t="s">
        <v>191</v>
      </c>
      <c r="D103">
        <v>0</v>
      </c>
      <c r="E103">
        <v>0</v>
      </c>
      <c r="F103">
        <v>0</v>
      </c>
      <c r="G103">
        <v>0</v>
      </c>
      <c r="H103">
        <v>0</v>
      </c>
      <c r="I103">
        <v>0</v>
      </c>
      <c r="J103">
        <v>0</v>
      </c>
      <c r="K103">
        <v>0</v>
      </c>
      <c r="L103">
        <v>3390</v>
      </c>
      <c r="M103">
        <v>6811</v>
      </c>
      <c r="N103">
        <v>0</v>
      </c>
      <c r="O103">
        <v>0</v>
      </c>
      <c r="P103">
        <v>4313</v>
      </c>
      <c r="Q103">
        <v>0</v>
      </c>
      <c r="R103">
        <v>0</v>
      </c>
      <c r="S103">
        <v>0</v>
      </c>
      <c r="T103">
        <v>0</v>
      </c>
      <c r="U103">
        <v>0</v>
      </c>
      <c r="V103">
        <v>0</v>
      </c>
      <c r="W103">
        <v>0</v>
      </c>
      <c r="X103">
        <v>0</v>
      </c>
      <c r="Y103">
        <v>0</v>
      </c>
      <c r="Z103">
        <v>0</v>
      </c>
      <c r="AA103">
        <v>0</v>
      </c>
      <c r="AB103">
        <v>0</v>
      </c>
      <c r="AC103">
        <v>1737</v>
      </c>
      <c r="AD103">
        <v>0</v>
      </c>
      <c r="AE103">
        <v>0</v>
      </c>
      <c r="AF103">
        <v>0</v>
      </c>
      <c r="AG103">
        <v>28612</v>
      </c>
      <c r="AH103">
        <v>0</v>
      </c>
      <c r="AI103">
        <v>0</v>
      </c>
      <c r="AJ103">
        <v>0</v>
      </c>
      <c r="AK103">
        <v>0</v>
      </c>
      <c r="AL103">
        <v>0</v>
      </c>
      <c r="AM103">
        <v>0</v>
      </c>
      <c r="AN103">
        <v>0</v>
      </c>
      <c r="AO103">
        <v>0</v>
      </c>
      <c r="AP103">
        <v>0</v>
      </c>
      <c r="AQ103">
        <v>0</v>
      </c>
      <c r="AR103">
        <v>0</v>
      </c>
      <c r="AS103">
        <v>0</v>
      </c>
      <c r="AT103">
        <v>0</v>
      </c>
      <c r="AU103">
        <v>0</v>
      </c>
      <c r="AV103">
        <v>0</v>
      </c>
      <c r="AW103">
        <v>1140</v>
      </c>
      <c r="AX103">
        <v>0</v>
      </c>
      <c r="AY103">
        <v>0</v>
      </c>
      <c r="AZ103">
        <v>0</v>
      </c>
      <c r="BA103">
        <v>0</v>
      </c>
      <c r="BB103">
        <v>0</v>
      </c>
      <c r="BC103">
        <v>0</v>
      </c>
      <c r="BD103">
        <v>0</v>
      </c>
      <c r="BE103">
        <v>0</v>
      </c>
      <c r="BF103">
        <v>0</v>
      </c>
      <c r="BG103">
        <v>0</v>
      </c>
      <c r="BH103">
        <v>0</v>
      </c>
      <c r="BI103">
        <v>0</v>
      </c>
      <c r="BJ103">
        <v>2073</v>
      </c>
      <c r="BK103">
        <v>0</v>
      </c>
      <c r="BL103">
        <v>0</v>
      </c>
      <c r="BM103">
        <v>0</v>
      </c>
      <c r="BN103">
        <v>0</v>
      </c>
      <c r="BO103">
        <v>49500</v>
      </c>
      <c r="BP103">
        <v>0</v>
      </c>
      <c r="BQ103">
        <v>75002</v>
      </c>
      <c r="BR103">
        <v>0</v>
      </c>
      <c r="BS103">
        <v>2182266</v>
      </c>
      <c r="BT103">
        <v>0</v>
      </c>
      <c r="BU103">
        <v>0</v>
      </c>
      <c r="BV103">
        <v>0</v>
      </c>
      <c r="BW103">
        <v>2000</v>
      </c>
      <c r="BX103">
        <v>0</v>
      </c>
      <c r="BY103">
        <v>0</v>
      </c>
      <c r="BZ103">
        <v>0</v>
      </c>
      <c r="CA103">
        <v>0</v>
      </c>
      <c r="CB103">
        <v>0</v>
      </c>
      <c r="CC103">
        <v>0</v>
      </c>
      <c r="CD103">
        <v>0</v>
      </c>
      <c r="CE103">
        <v>788281</v>
      </c>
      <c r="CF103">
        <v>0</v>
      </c>
      <c r="CG103">
        <v>0</v>
      </c>
      <c r="CH103">
        <v>0</v>
      </c>
      <c r="CI103">
        <v>1550</v>
      </c>
      <c r="CJ103">
        <v>0</v>
      </c>
      <c r="CK103">
        <v>261481</v>
      </c>
      <c r="CL103">
        <v>0</v>
      </c>
      <c r="CM103">
        <v>0</v>
      </c>
      <c r="CN103">
        <v>0</v>
      </c>
      <c r="CO103">
        <v>0</v>
      </c>
      <c r="CP103">
        <v>0</v>
      </c>
      <c r="CQ103">
        <v>0</v>
      </c>
      <c r="CR103">
        <v>0</v>
      </c>
      <c r="CS103">
        <v>0</v>
      </c>
    </row>
    <row r="104" spans="1:97" x14ac:dyDescent="0.3">
      <c r="A104" s="155">
        <v>369</v>
      </c>
      <c r="B104" t="s">
        <v>196</v>
      </c>
      <c r="D104">
        <v>220481</v>
      </c>
      <c r="E104">
        <v>3598625</v>
      </c>
      <c r="F104">
        <v>1498838</v>
      </c>
      <c r="G104">
        <v>144710</v>
      </c>
      <c r="H104">
        <v>3136838</v>
      </c>
      <c r="I104">
        <v>664098</v>
      </c>
      <c r="J104">
        <v>1098676</v>
      </c>
      <c r="K104">
        <v>233627</v>
      </c>
      <c r="L104">
        <v>431918</v>
      </c>
      <c r="M104">
        <v>14233598</v>
      </c>
      <c r="N104">
        <v>368725</v>
      </c>
      <c r="O104">
        <v>271784</v>
      </c>
      <c r="P104">
        <v>344564</v>
      </c>
      <c r="Q104">
        <v>592054</v>
      </c>
      <c r="R104">
        <v>32285</v>
      </c>
      <c r="S104">
        <v>157166</v>
      </c>
      <c r="T104">
        <v>534599</v>
      </c>
      <c r="U104">
        <v>797942</v>
      </c>
      <c r="V104">
        <v>2291626</v>
      </c>
      <c r="W104">
        <v>4930904</v>
      </c>
      <c r="X104">
        <v>2058559</v>
      </c>
      <c r="Y104">
        <v>112377</v>
      </c>
      <c r="Z104">
        <v>2197853</v>
      </c>
      <c r="AA104">
        <v>1825149</v>
      </c>
      <c r="AB104">
        <v>24618</v>
      </c>
      <c r="AC104">
        <v>4227890</v>
      </c>
      <c r="AD104">
        <v>1325606</v>
      </c>
      <c r="AE104">
        <v>374435</v>
      </c>
      <c r="AF104">
        <v>155562</v>
      </c>
      <c r="AG104">
        <v>2819750</v>
      </c>
      <c r="AH104">
        <v>244661</v>
      </c>
      <c r="AI104">
        <v>1208680</v>
      </c>
      <c r="AJ104">
        <v>801294</v>
      </c>
      <c r="AK104">
        <v>114175</v>
      </c>
      <c r="AL104">
        <v>2540290</v>
      </c>
      <c r="AM104">
        <v>419665</v>
      </c>
      <c r="AN104">
        <v>1752889</v>
      </c>
      <c r="AO104">
        <v>1086650</v>
      </c>
      <c r="AP104">
        <v>318866</v>
      </c>
      <c r="AQ104">
        <v>309500</v>
      </c>
      <c r="AR104">
        <v>631344</v>
      </c>
      <c r="AS104">
        <v>360223</v>
      </c>
      <c r="AT104">
        <v>88827</v>
      </c>
      <c r="AU104">
        <v>260610</v>
      </c>
      <c r="AV104">
        <v>357286</v>
      </c>
      <c r="AW104">
        <v>42595</v>
      </c>
      <c r="AX104">
        <v>188091</v>
      </c>
      <c r="AY104">
        <v>2261235</v>
      </c>
      <c r="AZ104">
        <v>186784</v>
      </c>
      <c r="BA104">
        <v>15374013</v>
      </c>
      <c r="BB104">
        <v>941612</v>
      </c>
      <c r="BC104">
        <v>761203</v>
      </c>
      <c r="BD104">
        <v>1106962</v>
      </c>
      <c r="BE104">
        <v>512754</v>
      </c>
      <c r="BF104">
        <v>586871</v>
      </c>
      <c r="BG104">
        <v>159266</v>
      </c>
      <c r="BH104">
        <v>394323</v>
      </c>
      <c r="BI104">
        <v>1353700</v>
      </c>
      <c r="BJ104">
        <v>2843889</v>
      </c>
      <c r="BK104">
        <v>215655</v>
      </c>
      <c r="BL104">
        <v>112375</v>
      </c>
      <c r="BM104">
        <v>4429228</v>
      </c>
      <c r="BN104">
        <v>1256817</v>
      </c>
      <c r="BO104">
        <v>2836439</v>
      </c>
      <c r="BP104">
        <v>57771</v>
      </c>
      <c r="BQ104">
        <v>456922</v>
      </c>
      <c r="BR104">
        <v>487613</v>
      </c>
      <c r="BS104">
        <v>3208033</v>
      </c>
      <c r="BT104">
        <v>126182</v>
      </c>
      <c r="BU104">
        <v>419356</v>
      </c>
      <c r="BV104">
        <v>1359382</v>
      </c>
      <c r="BW104">
        <v>1700739</v>
      </c>
      <c r="BX104">
        <v>284269</v>
      </c>
      <c r="BY104">
        <v>739935</v>
      </c>
      <c r="BZ104">
        <v>2361328</v>
      </c>
      <c r="CA104">
        <v>69218</v>
      </c>
      <c r="CB104">
        <v>2426031</v>
      </c>
      <c r="CC104">
        <v>2670527</v>
      </c>
      <c r="CD104">
        <v>11684229</v>
      </c>
      <c r="CE104">
        <v>7356926</v>
      </c>
      <c r="CF104">
        <v>610467</v>
      </c>
      <c r="CG104">
        <v>1434540</v>
      </c>
      <c r="CH104">
        <v>376391</v>
      </c>
      <c r="CI104">
        <v>602274</v>
      </c>
      <c r="CJ104">
        <v>21776974</v>
      </c>
      <c r="CK104">
        <v>4133943</v>
      </c>
      <c r="CL104">
        <v>21461</v>
      </c>
      <c r="CM104">
        <v>636279</v>
      </c>
      <c r="CN104">
        <v>278425</v>
      </c>
      <c r="CO104">
        <v>3033724</v>
      </c>
      <c r="CP104">
        <v>1726773</v>
      </c>
      <c r="CQ104">
        <v>508526</v>
      </c>
      <c r="CR104">
        <v>612392</v>
      </c>
      <c r="CS104">
        <v>3158656</v>
      </c>
    </row>
    <row r="105" spans="1:97" x14ac:dyDescent="0.3">
      <c r="A105" s="155">
        <v>370</v>
      </c>
      <c r="B105" t="s">
        <v>198</v>
      </c>
      <c r="D105">
        <v>0</v>
      </c>
      <c r="E105">
        <v>362819</v>
      </c>
      <c r="F105">
        <v>314940</v>
      </c>
      <c r="G105">
        <v>0</v>
      </c>
      <c r="H105">
        <v>379048</v>
      </c>
      <c r="I105">
        <v>0</v>
      </c>
      <c r="J105">
        <v>219662</v>
      </c>
      <c r="K105">
        <v>0</v>
      </c>
      <c r="L105">
        <v>8541</v>
      </c>
      <c r="M105">
        <v>915005</v>
      </c>
      <c r="N105">
        <v>21679</v>
      </c>
      <c r="O105">
        <v>0</v>
      </c>
      <c r="P105">
        <v>0</v>
      </c>
      <c r="Q105">
        <v>45985</v>
      </c>
      <c r="R105">
        <v>0</v>
      </c>
      <c r="S105">
        <v>0</v>
      </c>
      <c r="T105">
        <v>195844</v>
      </c>
      <c r="U105">
        <v>0</v>
      </c>
      <c r="V105">
        <v>51733</v>
      </c>
      <c r="W105">
        <v>468646</v>
      </c>
      <c r="X105">
        <v>278255</v>
      </c>
      <c r="Y105">
        <v>0</v>
      </c>
      <c r="Z105">
        <v>262287</v>
      </c>
      <c r="AA105">
        <v>69667</v>
      </c>
      <c r="AB105">
        <v>0</v>
      </c>
      <c r="AC105">
        <v>0</v>
      </c>
      <c r="AD105">
        <v>0</v>
      </c>
      <c r="AE105">
        <v>0</v>
      </c>
      <c r="AF105">
        <v>0</v>
      </c>
      <c r="AG105">
        <v>2169343</v>
      </c>
      <c r="AH105">
        <v>0</v>
      </c>
      <c r="AI105">
        <v>168804</v>
      </c>
      <c r="AJ105">
        <v>0</v>
      </c>
      <c r="AK105">
        <v>0</v>
      </c>
      <c r="AL105">
        <v>0</v>
      </c>
      <c r="AM105">
        <v>442066</v>
      </c>
      <c r="AN105">
        <v>126478</v>
      </c>
      <c r="AO105">
        <v>39148</v>
      </c>
      <c r="AP105">
        <v>0</v>
      </c>
      <c r="AQ105">
        <v>0</v>
      </c>
      <c r="AR105">
        <v>260242</v>
      </c>
      <c r="AS105">
        <v>0</v>
      </c>
      <c r="AT105">
        <v>6064</v>
      </c>
      <c r="AU105">
        <v>0</v>
      </c>
      <c r="AV105">
        <v>35232</v>
      </c>
      <c r="AW105">
        <v>0</v>
      </c>
      <c r="AX105">
        <v>12337</v>
      </c>
      <c r="AY105">
        <v>145824</v>
      </c>
      <c r="AZ105">
        <v>27022</v>
      </c>
      <c r="BA105">
        <v>0</v>
      </c>
      <c r="BB105">
        <v>0</v>
      </c>
      <c r="BC105">
        <v>174160</v>
      </c>
      <c r="BD105">
        <v>0</v>
      </c>
      <c r="BE105">
        <v>31130</v>
      </c>
      <c r="BF105">
        <v>0</v>
      </c>
      <c r="BG105">
        <v>0</v>
      </c>
      <c r="BH105">
        <v>41327</v>
      </c>
      <c r="BI105">
        <v>64759</v>
      </c>
      <c r="BJ105">
        <v>170321</v>
      </c>
      <c r="BK105">
        <v>0</v>
      </c>
      <c r="BL105">
        <v>0</v>
      </c>
      <c r="BM105">
        <v>555217</v>
      </c>
      <c r="BN105">
        <v>597054</v>
      </c>
      <c r="BO105">
        <v>293897</v>
      </c>
      <c r="BP105">
        <v>0</v>
      </c>
      <c r="BQ105">
        <v>0</v>
      </c>
      <c r="BR105">
        <v>0</v>
      </c>
      <c r="BS105">
        <v>532418</v>
      </c>
      <c r="BT105">
        <v>91303</v>
      </c>
      <c r="BU105">
        <v>0</v>
      </c>
      <c r="BV105">
        <v>81932</v>
      </c>
      <c r="BW105">
        <v>437042</v>
      </c>
      <c r="BX105">
        <v>0</v>
      </c>
      <c r="BY105">
        <v>32837</v>
      </c>
      <c r="BZ105">
        <v>480474</v>
      </c>
      <c r="CA105">
        <v>0</v>
      </c>
      <c r="CB105">
        <v>269515</v>
      </c>
      <c r="CC105">
        <v>266630</v>
      </c>
      <c r="CD105">
        <v>0</v>
      </c>
      <c r="CE105">
        <v>349165</v>
      </c>
      <c r="CF105">
        <v>32604</v>
      </c>
      <c r="CG105">
        <v>0</v>
      </c>
      <c r="CH105">
        <v>80431</v>
      </c>
      <c r="CI105">
        <v>96166</v>
      </c>
      <c r="CJ105">
        <v>0</v>
      </c>
      <c r="CK105">
        <v>667680</v>
      </c>
      <c r="CL105">
        <v>65471</v>
      </c>
      <c r="CM105">
        <v>162231</v>
      </c>
      <c r="CN105">
        <v>7491</v>
      </c>
      <c r="CO105">
        <v>1759782</v>
      </c>
      <c r="CP105">
        <v>53299</v>
      </c>
      <c r="CQ105">
        <v>98493</v>
      </c>
      <c r="CR105">
        <v>418232</v>
      </c>
      <c r="CS105">
        <v>627193</v>
      </c>
    </row>
    <row r="106" spans="1:97" x14ac:dyDescent="0.3">
      <c r="A106" s="155">
        <v>371</v>
      </c>
      <c r="B106" t="s">
        <v>248</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5126185</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89400</v>
      </c>
      <c r="BU106">
        <v>0</v>
      </c>
      <c r="BV106">
        <v>0</v>
      </c>
      <c r="BW106">
        <v>0</v>
      </c>
      <c r="BX106">
        <v>0</v>
      </c>
      <c r="BY106">
        <v>0</v>
      </c>
      <c r="BZ106">
        <v>0</v>
      </c>
      <c r="CA106">
        <v>0</v>
      </c>
      <c r="CB106">
        <v>0</v>
      </c>
      <c r="CC106">
        <v>0</v>
      </c>
      <c r="CD106">
        <v>9334832</v>
      </c>
      <c r="CE106">
        <v>0</v>
      </c>
      <c r="CF106">
        <v>0</v>
      </c>
      <c r="CG106">
        <v>0</v>
      </c>
      <c r="CH106">
        <v>0</v>
      </c>
      <c r="CI106">
        <v>0</v>
      </c>
      <c r="CJ106">
        <v>1910230</v>
      </c>
      <c r="CK106">
        <v>0</v>
      </c>
      <c r="CL106">
        <v>0</v>
      </c>
      <c r="CM106">
        <v>0</v>
      </c>
      <c r="CN106">
        <v>0</v>
      </c>
      <c r="CO106">
        <v>0</v>
      </c>
      <c r="CP106">
        <v>0</v>
      </c>
      <c r="CQ106">
        <v>0</v>
      </c>
      <c r="CR106">
        <v>0</v>
      </c>
      <c r="CS106">
        <v>0</v>
      </c>
    </row>
    <row r="107" spans="1:97" x14ac:dyDescent="0.3">
      <c r="A107" s="155">
        <v>373</v>
      </c>
      <c r="B107" t="s">
        <v>304</v>
      </c>
      <c r="D107">
        <v>85846</v>
      </c>
      <c r="E107">
        <v>2064005</v>
      </c>
      <c r="F107">
        <v>3797737</v>
      </c>
      <c r="G107">
        <v>35578</v>
      </c>
      <c r="H107">
        <v>32158043</v>
      </c>
      <c r="I107">
        <v>1275975</v>
      </c>
      <c r="J107">
        <v>3903152</v>
      </c>
      <c r="K107">
        <v>1084792</v>
      </c>
      <c r="L107">
        <v>1439190</v>
      </c>
      <c r="M107">
        <v>55881788</v>
      </c>
      <c r="N107">
        <v>702764</v>
      </c>
      <c r="O107">
        <v>322876</v>
      </c>
      <c r="P107">
        <v>902258</v>
      </c>
      <c r="Q107">
        <v>1714889</v>
      </c>
      <c r="R107">
        <v>24483</v>
      </c>
      <c r="S107">
        <v>381326</v>
      </c>
      <c r="T107">
        <v>2301405</v>
      </c>
      <c r="U107">
        <v>3939074</v>
      </c>
      <c r="V107">
        <v>5528233</v>
      </c>
      <c r="W107">
        <v>8025701</v>
      </c>
      <c r="X107">
        <v>3750372</v>
      </c>
      <c r="Y107">
        <v>199610</v>
      </c>
      <c r="Z107">
        <v>7029563</v>
      </c>
      <c r="AA107">
        <v>4018475</v>
      </c>
      <c r="AB107">
        <v>78120</v>
      </c>
      <c r="AC107">
        <v>65126038</v>
      </c>
      <c r="AD107">
        <v>1634505</v>
      </c>
      <c r="AE107">
        <v>614689</v>
      </c>
      <c r="AF107">
        <v>210165</v>
      </c>
      <c r="AG107">
        <v>25114079</v>
      </c>
      <c r="AH107">
        <v>1408974</v>
      </c>
      <c r="AI107">
        <v>2333954</v>
      </c>
      <c r="AJ107">
        <v>1202218</v>
      </c>
      <c r="AK107">
        <v>72784</v>
      </c>
      <c r="AL107">
        <v>1040006</v>
      </c>
      <c r="AM107">
        <v>2778741</v>
      </c>
      <c r="AN107">
        <v>3414551</v>
      </c>
      <c r="AO107">
        <v>4325502</v>
      </c>
      <c r="AP107">
        <v>84404</v>
      </c>
      <c r="AQ107">
        <v>65229</v>
      </c>
      <c r="AR107">
        <v>6532604</v>
      </c>
      <c r="AS107">
        <v>5431562</v>
      </c>
      <c r="AT107">
        <v>137371</v>
      </c>
      <c r="AU107">
        <v>291283</v>
      </c>
      <c r="AV107">
        <v>476032</v>
      </c>
      <c r="AW107">
        <v>179973</v>
      </c>
      <c r="AX107">
        <v>465941</v>
      </c>
      <c r="AY107">
        <v>3550532</v>
      </c>
      <c r="AZ107">
        <v>835123</v>
      </c>
      <c r="BA107">
        <v>86227978</v>
      </c>
      <c r="BB107">
        <v>1471867</v>
      </c>
      <c r="BC107">
        <v>5504823</v>
      </c>
      <c r="BD107">
        <v>511588</v>
      </c>
      <c r="BE107">
        <v>495407</v>
      </c>
      <c r="BF107">
        <v>4324947</v>
      </c>
      <c r="BG107">
        <v>91974</v>
      </c>
      <c r="BH107">
        <v>546548</v>
      </c>
      <c r="BI107">
        <v>2429095</v>
      </c>
      <c r="BJ107">
        <v>20002683</v>
      </c>
      <c r="BK107">
        <v>91689</v>
      </c>
      <c r="BL107">
        <v>68316</v>
      </c>
      <c r="BM107">
        <v>35999669</v>
      </c>
      <c r="BN107">
        <v>43204323</v>
      </c>
      <c r="BO107">
        <v>8221024</v>
      </c>
      <c r="BP107">
        <v>168540</v>
      </c>
      <c r="BQ107">
        <v>659872</v>
      </c>
      <c r="BR107">
        <v>3816490</v>
      </c>
      <c r="BS107">
        <v>4855649</v>
      </c>
      <c r="BT107">
        <v>670644</v>
      </c>
      <c r="BU107">
        <v>878547</v>
      </c>
      <c r="BV107">
        <v>4072875</v>
      </c>
      <c r="BW107">
        <v>2739641</v>
      </c>
      <c r="BX107">
        <v>854311</v>
      </c>
      <c r="BY107">
        <v>2303759</v>
      </c>
      <c r="BZ107">
        <v>8220196</v>
      </c>
      <c r="CA107">
        <v>214710</v>
      </c>
      <c r="CB107">
        <v>6641692</v>
      </c>
      <c r="CC107">
        <v>12197120</v>
      </c>
      <c r="CD107">
        <v>233872561</v>
      </c>
      <c r="CE107">
        <v>69015837</v>
      </c>
      <c r="CF107">
        <v>548619</v>
      </c>
      <c r="CG107">
        <v>4199995</v>
      </c>
      <c r="CH107">
        <v>1467767</v>
      </c>
      <c r="CI107">
        <v>2465979</v>
      </c>
      <c r="CJ107">
        <v>286209639</v>
      </c>
      <c r="CK107">
        <v>27351714</v>
      </c>
      <c r="CL107">
        <v>1578189</v>
      </c>
      <c r="CM107">
        <v>2339837</v>
      </c>
      <c r="CN107">
        <v>928344</v>
      </c>
      <c r="CO107">
        <v>9074719</v>
      </c>
      <c r="CP107">
        <v>2828459</v>
      </c>
      <c r="CQ107">
        <v>2023982</v>
      </c>
      <c r="CR107">
        <v>1108774</v>
      </c>
      <c r="CS107">
        <v>19277460</v>
      </c>
    </row>
    <row r="108" spans="1:97" x14ac:dyDescent="0.3">
      <c r="A108" s="155">
        <v>375</v>
      </c>
      <c r="B108" t="s">
        <v>213</v>
      </c>
      <c r="D108">
        <v>0</v>
      </c>
      <c r="E108">
        <v>0</v>
      </c>
      <c r="F108">
        <v>153576</v>
      </c>
      <c r="G108">
        <v>0</v>
      </c>
      <c r="H108">
        <v>0</v>
      </c>
      <c r="I108">
        <v>741874</v>
      </c>
      <c r="J108">
        <v>1272827</v>
      </c>
      <c r="K108">
        <v>2393046</v>
      </c>
      <c r="L108">
        <v>74958</v>
      </c>
      <c r="M108">
        <v>14834545</v>
      </c>
      <c r="N108">
        <v>456515</v>
      </c>
      <c r="O108">
        <v>0</v>
      </c>
      <c r="P108">
        <v>1515474</v>
      </c>
      <c r="Q108">
        <v>125338</v>
      </c>
      <c r="R108">
        <v>0</v>
      </c>
      <c r="S108">
        <v>94276</v>
      </c>
      <c r="T108">
        <v>0</v>
      </c>
      <c r="U108">
        <v>0</v>
      </c>
      <c r="V108">
        <v>0</v>
      </c>
      <c r="W108">
        <v>14049956</v>
      </c>
      <c r="X108">
        <v>0</v>
      </c>
      <c r="Y108">
        <v>2419740</v>
      </c>
      <c r="Z108">
        <v>0</v>
      </c>
      <c r="AA108">
        <v>1847240</v>
      </c>
      <c r="AB108">
        <v>0</v>
      </c>
      <c r="AC108">
        <v>-1361166</v>
      </c>
      <c r="AD108">
        <v>1676945</v>
      </c>
      <c r="AE108">
        <v>-618401</v>
      </c>
      <c r="AF108">
        <v>239819</v>
      </c>
      <c r="AG108">
        <v>11444860</v>
      </c>
      <c r="AH108">
        <v>0</v>
      </c>
      <c r="AI108">
        <v>2137456</v>
      </c>
      <c r="AJ108">
        <v>0</v>
      </c>
      <c r="AK108">
        <v>412511</v>
      </c>
      <c r="AL108">
        <v>365032</v>
      </c>
      <c r="AM108">
        <v>2303054</v>
      </c>
      <c r="AN108">
        <v>625558</v>
      </c>
      <c r="AO108">
        <v>-190360</v>
      </c>
      <c r="AP108">
        <v>71281</v>
      </c>
      <c r="AQ108">
        <v>0</v>
      </c>
      <c r="AR108">
        <v>167894</v>
      </c>
      <c r="AS108">
        <v>1209</v>
      </c>
      <c r="AT108">
        <v>0</v>
      </c>
      <c r="AU108">
        <v>0</v>
      </c>
      <c r="AV108">
        <v>0</v>
      </c>
      <c r="AW108">
        <v>0</v>
      </c>
      <c r="AX108">
        <v>143337</v>
      </c>
      <c r="AY108">
        <v>2514808</v>
      </c>
      <c r="AZ108">
        <v>460063</v>
      </c>
      <c r="BA108">
        <v>0</v>
      </c>
      <c r="BB108">
        <v>208401</v>
      </c>
      <c r="BC108">
        <v>4170283</v>
      </c>
      <c r="BD108">
        <v>0</v>
      </c>
      <c r="BE108">
        <v>1752834</v>
      </c>
      <c r="BF108">
        <v>1067030</v>
      </c>
      <c r="BG108">
        <v>22278</v>
      </c>
      <c r="BH108">
        <v>695732</v>
      </c>
      <c r="BI108">
        <v>2537716</v>
      </c>
      <c r="BJ108">
        <v>6250362</v>
      </c>
      <c r="BK108">
        <v>0</v>
      </c>
      <c r="BL108">
        <v>0</v>
      </c>
      <c r="BM108">
        <v>0</v>
      </c>
      <c r="BN108">
        <v>4331123</v>
      </c>
      <c r="BO108">
        <v>4543062</v>
      </c>
      <c r="BP108">
        <v>0</v>
      </c>
      <c r="BQ108">
        <v>0</v>
      </c>
      <c r="BR108">
        <v>2716674</v>
      </c>
      <c r="BS108">
        <v>0</v>
      </c>
      <c r="BT108">
        <v>0</v>
      </c>
      <c r="BU108">
        <v>0</v>
      </c>
      <c r="BV108">
        <v>908254</v>
      </c>
      <c r="BW108">
        <v>0</v>
      </c>
      <c r="BX108">
        <v>119979</v>
      </c>
      <c r="BY108">
        <v>2804382</v>
      </c>
      <c r="BZ108">
        <v>1748235</v>
      </c>
      <c r="CA108">
        <v>85087</v>
      </c>
      <c r="CB108">
        <v>-507074</v>
      </c>
      <c r="CC108">
        <v>7121617</v>
      </c>
      <c r="CD108">
        <v>0</v>
      </c>
      <c r="CE108">
        <v>13639313</v>
      </c>
      <c r="CF108">
        <v>51187</v>
      </c>
      <c r="CG108">
        <v>1477016</v>
      </c>
      <c r="CH108">
        <v>72388</v>
      </c>
      <c r="CI108">
        <v>1074242</v>
      </c>
      <c r="CJ108">
        <v>115054266</v>
      </c>
      <c r="CK108">
        <v>2583196</v>
      </c>
      <c r="CL108">
        <v>1022159</v>
      </c>
      <c r="CM108">
        <v>0</v>
      </c>
      <c r="CN108">
        <v>657658</v>
      </c>
      <c r="CO108">
        <v>9143059</v>
      </c>
      <c r="CP108">
        <v>3727412</v>
      </c>
      <c r="CQ108">
        <v>2011720</v>
      </c>
      <c r="CR108">
        <v>0</v>
      </c>
      <c r="CS108">
        <v>0</v>
      </c>
    </row>
    <row r="109" spans="1:97" x14ac:dyDescent="0.3">
      <c r="A109" s="155">
        <v>376</v>
      </c>
      <c r="B109" t="s">
        <v>100</v>
      </c>
      <c r="D109">
        <v>0</v>
      </c>
      <c r="E109">
        <v>381933</v>
      </c>
      <c r="F109">
        <v>-43180</v>
      </c>
      <c r="G109">
        <v>0</v>
      </c>
      <c r="H109">
        <v>53114</v>
      </c>
      <c r="I109">
        <v>0</v>
      </c>
      <c r="J109">
        <v>0</v>
      </c>
      <c r="K109">
        <v>0</v>
      </c>
      <c r="L109">
        <v>0</v>
      </c>
      <c r="M109">
        <v>0</v>
      </c>
      <c r="N109">
        <v>0</v>
      </c>
      <c r="O109">
        <v>0</v>
      </c>
      <c r="P109">
        <v>0</v>
      </c>
      <c r="Q109">
        <v>0</v>
      </c>
      <c r="R109">
        <v>0</v>
      </c>
      <c r="S109">
        <v>0</v>
      </c>
      <c r="T109">
        <v>0</v>
      </c>
      <c r="U109">
        <v>0</v>
      </c>
      <c r="V109">
        <v>21601</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781652</v>
      </c>
      <c r="AP109">
        <v>0</v>
      </c>
      <c r="AQ109">
        <v>0</v>
      </c>
      <c r="AR109">
        <v>0</v>
      </c>
      <c r="AS109">
        <v>1221350</v>
      </c>
      <c r="AT109">
        <v>0</v>
      </c>
      <c r="AU109">
        <v>0</v>
      </c>
      <c r="AV109">
        <v>0</v>
      </c>
      <c r="AW109">
        <v>0</v>
      </c>
      <c r="AX109">
        <v>0</v>
      </c>
      <c r="AY109">
        <v>0</v>
      </c>
      <c r="AZ109">
        <v>0</v>
      </c>
      <c r="BA109">
        <v>0</v>
      </c>
      <c r="BB109">
        <v>0</v>
      </c>
      <c r="BC109">
        <v>-3341832</v>
      </c>
      <c r="BD109">
        <v>0</v>
      </c>
      <c r="BE109">
        <v>0</v>
      </c>
      <c r="BF109">
        <v>0</v>
      </c>
      <c r="BG109">
        <v>0</v>
      </c>
      <c r="BH109">
        <v>0</v>
      </c>
      <c r="BI109">
        <v>0</v>
      </c>
      <c r="BJ109">
        <v>0</v>
      </c>
      <c r="BK109">
        <v>19382</v>
      </c>
      <c r="BL109">
        <v>0</v>
      </c>
      <c r="BM109">
        <v>0</v>
      </c>
      <c r="BN109">
        <v>0</v>
      </c>
      <c r="BO109">
        <v>0</v>
      </c>
      <c r="BP109">
        <v>0</v>
      </c>
      <c r="BQ109">
        <v>0</v>
      </c>
      <c r="BR109">
        <v>12116</v>
      </c>
      <c r="BS109">
        <v>0</v>
      </c>
      <c r="BT109">
        <v>0</v>
      </c>
      <c r="BU109">
        <v>0</v>
      </c>
      <c r="BV109">
        <v>0</v>
      </c>
      <c r="BW109">
        <v>43154</v>
      </c>
      <c r="BX109">
        <v>0</v>
      </c>
      <c r="BY109">
        <v>0</v>
      </c>
      <c r="BZ109">
        <v>0</v>
      </c>
      <c r="CA109">
        <v>-1406</v>
      </c>
      <c r="CB109">
        <v>0</v>
      </c>
      <c r="CC109">
        <v>0</v>
      </c>
      <c r="CD109">
        <v>0</v>
      </c>
      <c r="CE109">
        <v>0</v>
      </c>
      <c r="CF109">
        <v>27238</v>
      </c>
      <c r="CG109">
        <v>0</v>
      </c>
      <c r="CH109">
        <v>0</v>
      </c>
      <c r="CI109">
        <v>0</v>
      </c>
      <c r="CJ109">
        <v>0</v>
      </c>
      <c r="CK109">
        <v>0</v>
      </c>
      <c r="CL109">
        <v>0</v>
      </c>
      <c r="CM109">
        <v>0</v>
      </c>
      <c r="CN109">
        <v>0</v>
      </c>
      <c r="CO109">
        <v>0</v>
      </c>
      <c r="CP109">
        <v>0</v>
      </c>
      <c r="CQ109">
        <v>0</v>
      </c>
      <c r="CR109">
        <v>0</v>
      </c>
      <c r="CS109">
        <v>0</v>
      </c>
    </row>
    <row r="110" spans="1:97" x14ac:dyDescent="0.3">
      <c r="A110" s="155">
        <v>377</v>
      </c>
      <c r="B110" t="s">
        <v>101</v>
      </c>
      <c r="D110">
        <v>0</v>
      </c>
      <c r="E110">
        <v>0</v>
      </c>
      <c r="F110">
        <v>43180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71925</v>
      </c>
      <c r="AP110">
        <v>0</v>
      </c>
      <c r="AQ110">
        <v>0</v>
      </c>
      <c r="AR110">
        <v>0</v>
      </c>
      <c r="AS110">
        <v>2283616</v>
      </c>
      <c r="AT110">
        <v>0</v>
      </c>
      <c r="AU110">
        <v>0</v>
      </c>
      <c r="AV110">
        <v>0</v>
      </c>
      <c r="AW110">
        <v>0</v>
      </c>
      <c r="AX110">
        <v>0</v>
      </c>
      <c r="AY110">
        <v>0</v>
      </c>
      <c r="AZ110">
        <v>0</v>
      </c>
      <c r="BA110">
        <v>0</v>
      </c>
      <c r="BB110">
        <v>0</v>
      </c>
      <c r="BC110">
        <v>3375678</v>
      </c>
      <c r="BD110">
        <v>0</v>
      </c>
      <c r="BE110">
        <v>0</v>
      </c>
      <c r="BF110">
        <v>0</v>
      </c>
      <c r="BG110">
        <v>0</v>
      </c>
      <c r="BH110">
        <v>0</v>
      </c>
      <c r="BI110">
        <v>0</v>
      </c>
      <c r="BJ110">
        <v>0</v>
      </c>
      <c r="BK110">
        <v>0</v>
      </c>
      <c r="BL110">
        <v>0</v>
      </c>
      <c r="BM110">
        <v>0</v>
      </c>
      <c r="BN110">
        <v>0</v>
      </c>
      <c r="BO110">
        <v>0</v>
      </c>
      <c r="BP110">
        <v>0</v>
      </c>
      <c r="BQ110">
        <v>0</v>
      </c>
      <c r="BR110">
        <v>34076</v>
      </c>
      <c r="BS110">
        <v>0</v>
      </c>
      <c r="BT110">
        <v>0</v>
      </c>
      <c r="BU110">
        <v>0</v>
      </c>
      <c r="BV110">
        <v>0</v>
      </c>
      <c r="BW110">
        <v>0</v>
      </c>
      <c r="BX110">
        <v>22331</v>
      </c>
      <c r="BY110">
        <v>0</v>
      </c>
      <c r="BZ110">
        <v>0</v>
      </c>
      <c r="CA110">
        <v>0</v>
      </c>
      <c r="CB110">
        <v>0</v>
      </c>
      <c r="CC110">
        <v>0</v>
      </c>
      <c r="CD110">
        <v>0</v>
      </c>
      <c r="CE110">
        <v>0</v>
      </c>
      <c r="CF110">
        <v>0</v>
      </c>
      <c r="CG110">
        <v>0</v>
      </c>
      <c r="CH110">
        <v>-33380</v>
      </c>
      <c r="CI110">
        <v>0</v>
      </c>
      <c r="CJ110">
        <v>0</v>
      </c>
      <c r="CK110">
        <v>0</v>
      </c>
      <c r="CL110">
        <v>0</v>
      </c>
      <c r="CM110">
        <v>0</v>
      </c>
      <c r="CN110">
        <v>0</v>
      </c>
      <c r="CO110">
        <v>-1</v>
      </c>
      <c r="CP110">
        <v>0</v>
      </c>
      <c r="CQ110">
        <v>0</v>
      </c>
      <c r="CR110">
        <v>0</v>
      </c>
      <c r="CS110">
        <v>0</v>
      </c>
    </row>
    <row r="111" spans="1:97" x14ac:dyDescent="0.3">
      <c r="A111" s="155">
        <v>378</v>
      </c>
      <c r="B111" t="s">
        <v>102</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row>
    <row r="112" spans="1:97" x14ac:dyDescent="0.3">
      <c r="A112" s="155">
        <v>379</v>
      </c>
      <c r="B112" t="s">
        <v>110</v>
      </c>
      <c r="D112">
        <v>802798</v>
      </c>
      <c r="E112">
        <v>4118981</v>
      </c>
      <c r="F112">
        <v>1809005</v>
      </c>
      <c r="G112">
        <v>709367</v>
      </c>
      <c r="H112">
        <v>11774172</v>
      </c>
      <c r="I112">
        <v>1304697</v>
      </c>
      <c r="J112">
        <v>2284768</v>
      </c>
      <c r="K112">
        <v>816887</v>
      </c>
      <c r="L112">
        <v>1194375</v>
      </c>
      <c r="M112">
        <v>34238626</v>
      </c>
      <c r="N112">
        <v>691580</v>
      </c>
      <c r="O112">
        <v>546852</v>
      </c>
      <c r="P112">
        <v>3144913</v>
      </c>
      <c r="Q112">
        <v>1130810</v>
      </c>
      <c r="R112">
        <v>354618</v>
      </c>
      <c r="S112">
        <v>427545</v>
      </c>
      <c r="T112">
        <v>1503996</v>
      </c>
      <c r="U112">
        <v>7337663</v>
      </c>
      <c r="V112">
        <v>11049838</v>
      </c>
      <c r="W112">
        <v>10123944</v>
      </c>
      <c r="X112">
        <v>4034858</v>
      </c>
      <c r="Y112">
        <v>3198426</v>
      </c>
      <c r="Z112">
        <v>6472163</v>
      </c>
      <c r="AA112">
        <v>2321082</v>
      </c>
      <c r="AB112">
        <v>100573</v>
      </c>
      <c r="AC112">
        <v>6552879</v>
      </c>
      <c r="AD112">
        <v>1824345</v>
      </c>
      <c r="AE112">
        <v>1033329</v>
      </c>
      <c r="AF112">
        <v>833365</v>
      </c>
      <c r="AG112">
        <v>16406617</v>
      </c>
      <c r="AH112">
        <v>2011789</v>
      </c>
      <c r="AI112">
        <v>3546790</v>
      </c>
      <c r="AJ112">
        <v>2563978</v>
      </c>
      <c r="AK112">
        <v>949819</v>
      </c>
      <c r="AL112">
        <v>10598187</v>
      </c>
      <c r="AM112">
        <v>4519497</v>
      </c>
      <c r="AN112">
        <v>2254511</v>
      </c>
      <c r="AO112">
        <v>2001569</v>
      </c>
      <c r="AP112">
        <v>136889</v>
      </c>
      <c r="AQ112">
        <v>3248558</v>
      </c>
      <c r="AR112">
        <v>5504828</v>
      </c>
      <c r="AS112">
        <v>1002029</v>
      </c>
      <c r="AT112">
        <v>469932</v>
      </c>
      <c r="AU112">
        <v>1785628</v>
      </c>
      <c r="AV112">
        <v>683167</v>
      </c>
      <c r="AW112">
        <v>196509</v>
      </c>
      <c r="AX112">
        <v>344319</v>
      </c>
      <c r="AY112">
        <v>4257580</v>
      </c>
      <c r="AZ112">
        <v>1304131</v>
      </c>
      <c r="BA112">
        <v>25704876</v>
      </c>
      <c r="BB112">
        <v>5481356</v>
      </c>
      <c r="BC112">
        <v>2802072</v>
      </c>
      <c r="BD112">
        <v>3346633</v>
      </c>
      <c r="BE112">
        <v>1672722</v>
      </c>
      <c r="BF112">
        <v>1852391</v>
      </c>
      <c r="BG112">
        <v>288453</v>
      </c>
      <c r="BH112">
        <v>1123376</v>
      </c>
      <c r="BI112">
        <v>2951708</v>
      </c>
      <c r="BJ112">
        <v>8314175</v>
      </c>
      <c r="BK112">
        <v>562440</v>
      </c>
      <c r="BL112">
        <v>311646</v>
      </c>
      <c r="BM112">
        <v>12144757</v>
      </c>
      <c r="BN112">
        <v>12649962</v>
      </c>
      <c r="BO112">
        <v>6805046</v>
      </c>
      <c r="BP112">
        <v>198709</v>
      </c>
      <c r="BQ112">
        <v>4088202</v>
      </c>
      <c r="BR112">
        <v>1889223</v>
      </c>
      <c r="BS112">
        <v>11754705</v>
      </c>
      <c r="BT112">
        <v>1835330</v>
      </c>
      <c r="BU112">
        <v>1779541</v>
      </c>
      <c r="BV112">
        <v>3177157</v>
      </c>
      <c r="BW112">
        <v>3115133</v>
      </c>
      <c r="BX112">
        <v>393327</v>
      </c>
      <c r="BY112">
        <v>1654429</v>
      </c>
      <c r="BZ112">
        <v>3728574</v>
      </c>
      <c r="CA112">
        <v>640204</v>
      </c>
      <c r="CB112">
        <v>2579965</v>
      </c>
      <c r="CC112">
        <v>5499962</v>
      </c>
      <c r="CD112">
        <v>92670061</v>
      </c>
      <c r="CE112">
        <v>33809958</v>
      </c>
      <c r="CF112">
        <v>1597270</v>
      </c>
      <c r="CG112">
        <v>3770382</v>
      </c>
      <c r="CH112">
        <v>332888</v>
      </c>
      <c r="CI112">
        <v>1806084</v>
      </c>
      <c r="CJ112">
        <v>69879327</v>
      </c>
      <c r="CK112">
        <v>12520687</v>
      </c>
      <c r="CL112">
        <v>1210625</v>
      </c>
      <c r="CM112">
        <v>5760460</v>
      </c>
      <c r="CN112">
        <v>1234007</v>
      </c>
      <c r="CO112">
        <v>17482013</v>
      </c>
      <c r="CP112">
        <v>3724335</v>
      </c>
      <c r="CQ112">
        <v>2142967</v>
      </c>
      <c r="CR112">
        <v>3598291</v>
      </c>
      <c r="CS112">
        <v>14871628</v>
      </c>
    </row>
    <row r="113" spans="1:97" x14ac:dyDescent="0.3">
      <c r="A113" s="155">
        <v>380</v>
      </c>
      <c r="B113" t="s">
        <v>113</v>
      </c>
      <c r="D113">
        <v>3854</v>
      </c>
      <c r="E113">
        <v>3452</v>
      </c>
      <c r="F113">
        <v>131773</v>
      </c>
      <c r="G113">
        <v>1434</v>
      </c>
      <c r="H113">
        <v>19555</v>
      </c>
      <c r="I113">
        <v>139939</v>
      </c>
      <c r="J113">
        <v>17681</v>
      </c>
      <c r="K113">
        <v>33643</v>
      </c>
      <c r="L113">
        <v>42139</v>
      </c>
      <c r="M113">
        <v>166751</v>
      </c>
      <c r="N113">
        <v>3271</v>
      </c>
      <c r="O113">
        <v>2254</v>
      </c>
      <c r="P113">
        <v>0</v>
      </c>
      <c r="Q113">
        <v>16010</v>
      </c>
      <c r="R113">
        <v>2320</v>
      </c>
      <c r="S113">
        <v>4143</v>
      </c>
      <c r="T113">
        <v>5037</v>
      </c>
      <c r="U113">
        <v>760</v>
      </c>
      <c r="V113">
        <v>22590</v>
      </c>
      <c r="W113">
        <v>227943</v>
      </c>
      <c r="X113">
        <v>26394</v>
      </c>
      <c r="Y113">
        <v>0</v>
      </c>
      <c r="Z113">
        <v>59902</v>
      </c>
      <c r="AA113">
        <v>74161</v>
      </c>
      <c r="AB113">
        <v>7901</v>
      </c>
      <c r="AC113">
        <v>394856</v>
      </c>
      <c r="AD113">
        <v>17202</v>
      </c>
      <c r="AE113">
        <v>4018</v>
      </c>
      <c r="AF113">
        <v>16744</v>
      </c>
      <c r="AG113">
        <v>638980</v>
      </c>
      <c r="AH113">
        <v>0</v>
      </c>
      <c r="AI113">
        <v>3083</v>
      </c>
      <c r="AJ113">
        <v>236876</v>
      </c>
      <c r="AK113">
        <v>9313</v>
      </c>
      <c r="AL113">
        <v>15536</v>
      </c>
      <c r="AM113">
        <v>31770</v>
      </c>
      <c r="AN113">
        <v>175657</v>
      </c>
      <c r="AO113">
        <v>60935</v>
      </c>
      <c r="AP113">
        <v>292</v>
      </c>
      <c r="AQ113">
        <v>8670</v>
      </c>
      <c r="AR113">
        <v>148367</v>
      </c>
      <c r="AS113">
        <v>22260</v>
      </c>
      <c r="AT113">
        <v>5903</v>
      </c>
      <c r="AU113">
        <v>1285</v>
      </c>
      <c r="AV113">
        <v>4448</v>
      </c>
      <c r="AW113">
        <v>1125</v>
      </c>
      <c r="AX113">
        <v>2892</v>
      </c>
      <c r="AY113">
        <v>455582</v>
      </c>
      <c r="AZ113">
        <v>55463</v>
      </c>
      <c r="BA113">
        <v>211092</v>
      </c>
      <c r="BB113">
        <v>24633</v>
      </c>
      <c r="BC113">
        <v>209845</v>
      </c>
      <c r="BD113">
        <v>7271</v>
      </c>
      <c r="BE113">
        <v>21009</v>
      </c>
      <c r="BF113">
        <v>441</v>
      </c>
      <c r="BG113">
        <v>1757</v>
      </c>
      <c r="BH113">
        <v>29178</v>
      </c>
      <c r="BI113">
        <v>75401</v>
      </c>
      <c r="BJ113">
        <v>371491</v>
      </c>
      <c r="BK113">
        <v>2019</v>
      </c>
      <c r="BL113">
        <v>846</v>
      </c>
      <c r="BM113">
        <v>72841</v>
      </c>
      <c r="BN113">
        <v>600530</v>
      </c>
      <c r="BO113">
        <v>19537</v>
      </c>
      <c r="BP113">
        <v>1449</v>
      </c>
      <c r="BQ113">
        <v>15217</v>
      </c>
      <c r="BR113">
        <v>59606</v>
      </c>
      <c r="BS113">
        <v>0</v>
      </c>
      <c r="BT113">
        <v>0</v>
      </c>
      <c r="BU113">
        <v>234</v>
      </c>
      <c r="BV113">
        <v>38029</v>
      </c>
      <c r="BW113">
        <v>3590</v>
      </c>
      <c r="BX113">
        <v>53284</v>
      </c>
      <c r="BY113">
        <v>48442</v>
      </c>
      <c r="BZ113">
        <v>64437</v>
      </c>
      <c r="CA113">
        <v>1878</v>
      </c>
      <c r="CB113">
        <v>52744</v>
      </c>
      <c r="CC113">
        <v>878382</v>
      </c>
      <c r="CD113">
        <v>2781636</v>
      </c>
      <c r="CE113">
        <v>2339853</v>
      </c>
      <c r="CF113">
        <v>587</v>
      </c>
      <c r="CG113">
        <v>65104</v>
      </c>
      <c r="CH113">
        <v>31492</v>
      </c>
      <c r="CI113">
        <v>4319</v>
      </c>
      <c r="CJ113">
        <v>1420426</v>
      </c>
      <c r="CK113">
        <v>107800</v>
      </c>
      <c r="CL113">
        <v>0</v>
      </c>
      <c r="CM113">
        <v>13177</v>
      </c>
      <c r="CN113">
        <v>44957</v>
      </c>
      <c r="CO113">
        <v>19556</v>
      </c>
      <c r="CP113">
        <v>52542</v>
      </c>
      <c r="CQ113">
        <v>25392</v>
      </c>
      <c r="CR113">
        <v>45623</v>
      </c>
      <c r="CS113">
        <v>123449</v>
      </c>
    </row>
    <row r="114" spans="1:97" x14ac:dyDescent="0.3">
      <c r="A114" s="155">
        <v>381</v>
      </c>
      <c r="B114" t="s">
        <v>105</v>
      </c>
      <c r="D114">
        <v>0</v>
      </c>
      <c r="E114">
        <v>0</v>
      </c>
      <c r="F114">
        <v>6071962</v>
      </c>
      <c r="G114">
        <v>0</v>
      </c>
      <c r="H114">
        <v>0</v>
      </c>
      <c r="I114">
        <v>4404421</v>
      </c>
      <c r="J114">
        <v>15970427</v>
      </c>
      <c r="K114">
        <v>9256007</v>
      </c>
      <c r="L114">
        <v>1181553</v>
      </c>
      <c r="M114">
        <v>90995132</v>
      </c>
      <c r="N114">
        <v>4349865</v>
      </c>
      <c r="O114">
        <v>0</v>
      </c>
      <c r="P114">
        <v>4496853</v>
      </c>
      <c r="Q114">
        <v>8058725</v>
      </c>
      <c r="R114">
        <v>0</v>
      </c>
      <c r="S114">
        <v>4381774</v>
      </c>
      <c r="T114">
        <v>0</v>
      </c>
      <c r="U114">
        <v>0</v>
      </c>
      <c r="V114">
        <v>0</v>
      </c>
      <c r="W114">
        <v>57252783</v>
      </c>
      <c r="X114">
        <v>0</v>
      </c>
      <c r="Y114">
        <v>6066888</v>
      </c>
      <c r="Z114">
        <v>0</v>
      </c>
      <c r="AA114">
        <v>12892140</v>
      </c>
      <c r="AB114">
        <v>0</v>
      </c>
      <c r="AC114">
        <v>15002835</v>
      </c>
      <c r="AD114">
        <v>16601469</v>
      </c>
      <c r="AE114">
        <v>2662100</v>
      </c>
      <c r="AF114">
        <v>2905032</v>
      </c>
      <c r="AG114">
        <v>57728474</v>
      </c>
      <c r="AH114">
        <v>0</v>
      </c>
      <c r="AI114">
        <v>7627343</v>
      </c>
      <c r="AJ114">
        <v>0</v>
      </c>
      <c r="AK114">
        <v>5963185</v>
      </c>
      <c r="AL114">
        <v>25543585</v>
      </c>
      <c r="AM114">
        <v>17196953</v>
      </c>
      <c r="AN114">
        <v>8850212</v>
      </c>
      <c r="AO114">
        <v>6431682</v>
      </c>
      <c r="AP114">
        <v>188022</v>
      </c>
      <c r="AQ114">
        <v>0</v>
      </c>
      <c r="AR114">
        <v>28402514</v>
      </c>
      <c r="AS114">
        <v>3209188</v>
      </c>
      <c r="AT114">
        <v>0</v>
      </c>
      <c r="AU114">
        <v>0</v>
      </c>
      <c r="AV114">
        <v>0</v>
      </c>
      <c r="AW114">
        <v>0</v>
      </c>
      <c r="AX114">
        <v>603538</v>
      </c>
      <c r="AY114">
        <v>15280716</v>
      </c>
      <c r="AZ114">
        <v>3481872</v>
      </c>
      <c r="BA114">
        <v>0</v>
      </c>
      <c r="BB114">
        <v>456225</v>
      </c>
      <c r="BC114">
        <v>23361161</v>
      </c>
      <c r="BD114">
        <v>0</v>
      </c>
      <c r="BE114">
        <v>5146557</v>
      </c>
      <c r="BF114">
        <v>3652621</v>
      </c>
      <c r="BG114">
        <v>1588014</v>
      </c>
      <c r="BH114">
        <v>11173389</v>
      </c>
      <c r="BI114">
        <v>21166198</v>
      </c>
      <c r="BJ114">
        <v>39722413</v>
      </c>
      <c r="BK114">
        <v>0</v>
      </c>
      <c r="BL114">
        <v>0</v>
      </c>
      <c r="BM114">
        <v>0</v>
      </c>
      <c r="BN114">
        <v>26668831</v>
      </c>
      <c r="BO114">
        <v>15482024</v>
      </c>
      <c r="BP114">
        <v>0</v>
      </c>
      <c r="BQ114">
        <v>0</v>
      </c>
      <c r="BR114">
        <v>9634081</v>
      </c>
      <c r="BS114">
        <v>0</v>
      </c>
      <c r="BT114">
        <v>0</v>
      </c>
      <c r="BU114">
        <v>0</v>
      </c>
      <c r="BV114">
        <v>10821056</v>
      </c>
      <c r="BW114">
        <v>0</v>
      </c>
      <c r="BX114">
        <v>2655339</v>
      </c>
      <c r="BY114">
        <v>8959517</v>
      </c>
      <c r="BZ114">
        <v>19984402</v>
      </c>
      <c r="CA114">
        <v>684863</v>
      </c>
      <c r="CB114">
        <v>47824988</v>
      </c>
      <c r="CC114">
        <v>21572364</v>
      </c>
      <c r="CD114">
        <v>0</v>
      </c>
      <c r="CE114">
        <v>169772262</v>
      </c>
      <c r="CF114">
        <v>6685289</v>
      </c>
      <c r="CG114">
        <v>8169891</v>
      </c>
      <c r="CH114">
        <v>4817025</v>
      </c>
      <c r="CI114">
        <v>11006630</v>
      </c>
      <c r="CJ114">
        <v>1148727785</v>
      </c>
      <c r="CK114">
        <v>11803913</v>
      </c>
      <c r="CL114">
        <v>4441098</v>
      </c>
      <c r="CM114">
        <v>0</v>
      </c>
      <c r="CN114">
        <v>2749879</v>
      </c>
      <c r="CO114">
        <v>13893595</v>
      </c>
      <c r="CP114">
        <v>15068013</v>
      </c>
      <c r="CQ114">
        <v>12804784</v>
      </c>
      <c r="CR114">
        <v>0</v>
      </c>
      <c r="CS114">
        <v>0</v>
      </c>
    </row>
    <row r="115" spans="1:97" x14ac:dyDescent="0.3">
      <c r="A115" s="155">
        <v>382</v>
      </c>
      <c r="B115" t="s">
        <v>106</v>
      </c>
      <c r="D115">
        <v>0</v>
      </c>
      <c r="E115">
        <v>0</v>
      </c>
      <c r="F115">
        <v>0</v>
      </c>
      <c r="G115">
        <v>0</v>
      </c>
      <c r="H115">
        <v>0</v>
      </c>
      <c r="I115">
        <v>0</v>
      </c>
      <c r="J115">
        <v>0</v>
      </c>
      <c r="K115">
        <v>5310226</v>
      </c>
      <c r="L115">
        <v>0</v>
      </c>
      <c r="M115">
        <v>91757404</v>
      </c>
      <c r="N115">
        <v>0</v>
      </c>
      <c r="O115">
        <v>0</v>
      </c>
      <c r="P115">
        <v>0</v>
      </c>
      <c r="Q115">
        <v>0</v>
      </c>
      <c r="R115">
        <v>0</v>
      </c>
      <c r="S115">
        <v>0</v>
      </c>
      <c r="T115">
        <v>0</v>
      </c>
      <c r="U115">
        <v>0</v>
      </c>
      <c r="V115">
        <v>0</v>
      </c>
      <c r="W115">
        <v>0</v>
      </c>
      <c r="X115">
        <v>0</v>
      </c>
      <c r="Y115">
        <v>0</v>
      </c>
      <c r="Z115">
        <v>0</v>
      </c>
      <c r="AA115">
        <v>0</v>
      </c>
      <c r="AB115">
        <v>0</v>
      </c>
      <c r="AC115">
        <v>35345790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30943593</v>
      </c>
      <c r="BB115">
        <v>0</v>
      </c>
      <c r="BC115">
        <v>0</v>
      </c>
      <c r="BD115">
        <v>0</v>
      </c>
      <c r="BE115">
        <v>0</v>
      </c>
      <c r="BF115">
        <v>0</v>
      </c>
      <c r="BG115">
        <v>594975</v>
      </c>
      <c r="BH115">
        <v>0</v>
      </c>
      <c r="BI115">
        <v>0</v>
      </c>
      <c r="BJ115">
        <v>57303930</v>
      </c>
      <c r="BK115">
        <v>0</v>
      </c>
      <c r="BL115">
        <v>0</v>
      </c>
      <c r="BM115">
        <v>0</v>
      </c>
      <c r="BN115">
        <v>8314158</v>
      </c>
      <c r="BO115">
        <v>0</v>
      </c>
      <c r="BP115">
        <v>0</v>
      </c>
      <c r="BQ115">
        <v>0</v>
      </c>
      <c r="BR115">
        <v>0</v>
      </c>
      <c r="BS115">
        <v>0</v>
      </c>
      <c r="BT115">
        <v>0</v>
      </c>
      <c r="BU115">
        <v>0</v>
      </c>
      <c r="BV115">
        <v>0</v>
      </c>
      <c r="BW115">
        <v>0</v>
      </c>
      <c r="BX115">
        <v>0</v>
      </c>
      <c r="BY115">
        <v>0</v>
      </c>
      <c r="BZ115">
        <v>0</v>
      </c>
      <c r="CA115">
        <v>0</v>
      </c>
      <c r="CB115">
        <v>0</v>
      </c>
      <c r="CC115">
        <v>0</v>
      </c>
      <c r="CD115">
        <v>0</v>
      </c>
      <c r="CE115">
        <v>151452218</v>
      </c>
      <c r="CF115">
        <v>0</v>
      </c>
      <c r="CG115">
        <v>7092509</v>
      </c>
      <c r="CH115">
        <v>0</v>
      </c>
      <c r="CI115">
        <v>0</v>
      </c>
      <c r="CJ115">
        <v>0</v>
      </c>
      <c r="CK115">
        <v>14447099</v>
      </c>
      <c r="CL115">
        <v>0</v>
      </c>
      <c r="CM115">
        <v>0</v>
      </c>
      <c r="CN115">
        <v>0</v>
      </c>
      <c r="CO115">
        <v>0</v>
      </c>
      <c r="CP115">
        <v>0</v>
      </c>
      <c r="CQ115">
        <v>0</v>
      </c>
      <c r="CR115">
        <v>0</v>
      </c>
      <c r="CS115">
        <v>0</v>
      </c>
    </row>
    <row r="116" spans="1:97" x14ac:dyDescent="0.3">
      <c r="A116" s="155">
        <v>383</v>
      </c>
      <c r="B116" t="s">
        <v>212</v>
      </c>
      <c r="D116">
        <v>0</v>
      </c>
      <c r="E116">
        <v>0</v>
      </c>
      <c r="F116">
        <v>0</v>
      </c>
      <c r="G116">
        <v>0</v>
      </c>
      <c r="H116">
        <v>0</v>
      </c>
      <c r="I116">
        <v>0</v>
      </c>
      <c r="J116">
        <v>0</v>
      </c>
      <c r="K116">
        <v>0</v>
      </c>
      <c r="L116">
        <v>0</v>
      </c>
      <c r="M116">
        <v>0</v>
      </c>
      <c r="N116">
        <v>0</v>
      </c>
      <c r="O116">
        <v>0</v>
      </c>
      <c r="P116">
        <v>0</v>
      </c>
      <c r="Q116">
        <v>0</v>
      </c>
      <c r="R116">
        <v>0</v>
      </c>
      <c r="S116">
        <v>0</v>
      </c>
      <c r="T116">
        <v>0</v>
      </c>
      <c r="U116">
        <v>0</v>
      </c>
      <c r="V116">
        <v>0</v>
      </c>
      <c r="W116">
        <v>16015</v>
      </c>
      <c r="X116">
        <v>0</v>
      </c>
      <c r="Y116">
        <v>0</v>
      </c>
      <c r="Z116">
        <v>0</v>
      </c>
      <c r="AA116">
        <v>0</v>
      </c>
      <c r="AB116">
        <v>0</v>
      </c>
      <c r="AC116">
        <v>0</v>
      </c>
      <c r="AD116">
        <v>0</v>
      </c>
      <c r="AE116">
        <v>0</v>
      </c>
      <c r="AF116">
        <v>0</v>
      </c>
      <c r="AG116">
        <v>52865</v>
      </c>
      <c r="AH116">
        <v>0</v>
      </c>
      <c r="AI116">
        <v>85003</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60032</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7499</v>
      </c>
      <c r="CK116">
        <v>0</v>
      </c>
      <c r="CL116">
        <v>0</v>
      </c>
      <c r="CM116">
        <v>0</v>
      </c>
      <c r="CN116">
        <v>0</v>
      </c>
      <c r="CO116">
        <v>0</v>
      </c>
      <c r="CP116">
        <v>0</v>
      </c>
      <c r="CQ116">
        <v>0</v>
      </c>
      <c r="CR116">
        <v>0</v>
      </c>
      <c r="CS116">
        <v>0</v>
      </c>
    </row>
    <row r="117" spans="1:97" x14ac:dyDescent="0.3">
      <c r="A117" s="155">
        <v>384</v>
      </c>
      <c r="B117" t="s">
        <v>116</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405074</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row>
    <row r="118" spans="1:97" x14ac:dyDescent="0.3">
      <c r="A118" s="155">
        <v>385</v>
      </c>
      <c r="B118" t="s">
        <v>107</v>
      </c>
      <c r="D118">
        <v>886311</v>
      </c>
      <c r="E118">
        <v>10112394</v>
      </c>
      <c r="F118">
        <v>4531857</v>
      </c>
      <c r="G118">
        <v>941009</v>
      </c>
      <c r="H118">
        <v>25873645</v>
      </c>
      <c r="I118">
        <v>2340901</v>
      </c>
      <c r="J118">
        <v>7468973</v>
      </c>
      <c r="K118">
        <v>2312454</v>
      </c>
      <c r="L118">
        <v>2437141</v>
      </c>
      <c r="M118">
        <v>95679481</v>
      </c>
      <c r="N118">
        <v>1882274</v>
      </c>
      <c r="O118">
        <v>1138710</v>
      </c>
      <c r="P118">
        <v>5120429</v>
      </c>
      <c r="Q118">
        <v>2393752</v>
      </c>
      <c r="R118">
        <v>360753</v>
      </c>
      <c r="S118">
        <v>695963</v>
      </c>
      <c r="T118">
        <v>4904583</v>
      </c>
      <c r="U118">
        <v>14612234</v>
      </c>
      <c r="V118">
        <v>31907174</v>
      </c>
      <c r="W118">
        <v>50205793</v>
      </c>
      <c r="X118">
        <v>12430719</v>
      </c>
      <c r="Y118">
        <v>3728120</v>
      </c>
      <c r="Z118">
        <v>21295663</v>
      </c>
      <c r="AA118">
        <v>8312876</v>
      </c>
      <c r="AB118">
        <v>113667</v>
      </c>
      <c r="AC118">
        <v>21685008</v>
      </c>
      <c r="AD118">
        <v>4062388</v>
      </c>
      <c r="AE118">
        <v>2083423</v>
      </c>
      <c r="AF118">
        <v>1034930</v>
      </c>
      <c r="AG118">
        <v>48429787</v>
      </c>
      <c r="AH118">
        <v>3876004</v>
      </c>
      <c r="AI118">
        <v>14254348</v>
      </c>
      <c r="AJ118">
        <v>8414133</v>
      </c>
      <c r="AK118">
        <v>1488431</v>
      </c>
      <c r="AL118">
        <v>13188539</v>
      </c>
      <c r="AM118">
        <v>14292000</v>
      </c>
      <c r="AN118">
        <v>9306741</v>
      </c>
      <c r="AO118">
        <v>6578329</v>
      </c>
      <c r="AP118">
        <v>204263</v>
      </c>
      <c r="AQ118">
        <v>3338253</v>
      </c>
      <c r="AR118">
        <v>15038422</v>
      </c>
      <c r="AS118">
        <v>1521076</v>
      </c>
      <c r="AT118">
        <v>1734466</v>
      </c>
      <c r="AU118">
        <v>2618788</v>
      </c>
      <c r="AV118">
        <v>1613787</v>
      </c>
      <c r="AW118">
        <v>253804</v>
      </c>
      <c r="AX118">
        <v>1255044</v>
      </c>
      <c r="AY118">
        <v>12635118</v>
      </c>
      <c r="AZ118">
        <v>3057778</v>
      </c>
      <c r="BA118">
        <v>333404245</v>
      </c>
      <c r="BB118">
        <v>9502674</v>
      </c>
      <c r="BC118">
        <v>8933045</v>
      </c>
      <c r="BD118">
        <v>7734183</v>
      </c>
      <c r="BE118">
        <v>2986578</v>
      </c>
      <c r="BF118">
        <v>5430787</v>
      </c>
      <c r="BG118">
        <v>344654</v>
      </c>
      <c r="BH118">
        <v>1596171</v>
      </c>
      <c r="BI118">
        <v>5547478</v>
      </c>
      <c r="BJ118">
        <v>43965981</v>
      </c>
      <c r="BK118">
        <v>744672</v>
      </c>
      <c r="BL118">
        <v>339551</v>
      </c>
      <c r="BM118">
        <v>82189596</v>
      </c>
      <c r="BN118">
        <v>39130148</v>
      </c>
      <c r="BO118">
        <v>21751453</v>
      </c>
      <c r="BP118">
        <v>374099</v>
      </c>
      <c r="BQ118">
        <v>6157106</v>
      </c>
      <c r="BR118">
        <v>3456038</v>
      </c>
      <c r="BS118">
        <v>21830079</v>
      </c>
      <c r="BT118">
        <v>6817653</v>
      </c>
      <c r="BU118">
        <v>4300870</v>
      </c>
      <c r="BV118">
        <v>6949315</v>
      </c>
      <c r="BW118">
        <v>11797991</v>
      </c>
      <c r="BX118">
        <v>739275</v>
      </c>
      <c r="BY118">
        <v>4634622</v>
      </c>
      <c r="BZ118">
        <v>14908855</v>
      </c>
      <c r="CA118">
        <v>806987</v>
      </c>
      <c r="CB118">
        <v>12926156</v>
      </c>
      <c r="CC118">
        <v>21203836</v>
      </c>
      <c r="CD118">
        <v>768227888</v>
      </c>
      <c r="CE118">
        <v>163132389</v>
      </c>
      <c r="CF118">
        <v>2872536</v>
      </c>
      <c r="CG118">
        <v>11550475</v>
      </c>
      <c r="CH118">
        <v>1016714</v>
      </c>
      <c r="CI118">
        <v>6419355</v>
      </c>
      <c r="CJ118">
        <v>906002340</v>
      </c>
      <c r="CK118">
        <v>39186113</v>
      </c>
      <c r="CL118">
        <v>1820707</v>
      </c>
      <c r="CM118">
        <v>11185287</v>
      </c>
      <c r="CN118">
        <v>1930047</v>
      </c>
      <c r="CO118">
        <v>41871676</v>
      </c>
      <c r="CP118">
        <v>9592937</v>
      </c>
      <c r="CQ118">
        <v>5643014</v>
      </c>
      <c r="CR118">
        <v>8524363</v>
      </c>
      <c r="CS118">
        <v>63958306</v>
      </c>
    </row>
    <row r="119" spans="1:97" x14ac:dyDescent="0.3">
      <c r="A119" s="155">
        <v>386</v>
      </c>
      <c r="B119" t="s">
        <v>185</v>
      </c>
      <c r="D119">
        <v>0</v>
      </c>
      <c r="E119">
        <v>0</v>
      </c>
      <c r="F119">
        <v>0</v>
      </c>
      <c r="G119">
        <v>0</v>
      </c>
      <c r="H119">
        <v>0</v>
      </c>
      <c r="I119">
        <v>0</v>
      </c>
      <c r="J119">
        <v>0</v>
      </c>
      <c r="K119">
        <v>389573</v>
      </c>
      <c r="L119">
        <v>0</v>
      </c>
      <c r="M119">
        <v>0</v>
      </c>
      <c r="N119">
        <v>0</v>
      </c>
      <c r="O119">
        <v>0</v>
      </c>
      <c r="P119">
        <v>0</v>
      </c>
      <c r="Q119">
        <v>0</v>
      </c>
      <c r="R119">
        <v>0</v>
      </c>
      <c r="S119">
        <v>0</v>
      </c>
      <c r="T119">
        <v>0</v>
      </c>
      <c r="U119">
        <v>0</v>
      </c>
      <c r="V119">
        <v>0</v>
      </c>
      <c r="W119">
        <v>0</v>
      </c>
      <c r="X119">
        <v>0</v>
      </c>
      <c r="Y119">
        <v>0</v>
      </c>
      <c r="Z119">
        <v>0</v>
      </c>
      <c r="AA119">
        <v>0</v>
      </c>
      <c r="AB119">
        <v>0</v>
      </c>
      <c r="AC119">
        <v>1715000</v>
      </c>
      <c r="AD119">
        <v>0</v>
      </c>
      <c r="AE119">
        <v>0</v>
      </c>
      <c r="AF119">
        <v>0</v>
      </c>
      <c r="AG119">
        <v>0</v>
      </c>
      <c r="AH119">
        <v>0</v>
      </c>
      <c r="AI119">
        <v>0</v>
      </c>
      <c r="AJ119">
        <v>0</v>
      </c>
      <c r="AK119">
        <v>91823</v>
      </c>
      <c r="AL119">
        <v>0</v>
      </c>
      <c r="AM119">
        <v>0</v>
      </c>
      <c r="AN119">
        <v>0</v>
      </c>
      <c r="AO119">
        <v>0</v>
      </c>
      <c r="AP119">
        <v>0</v>
      </c>
      <c r="AQ119">
        <v>0</v>
      </c>
      <c r="AR119">
        <v>221000</v>
      </c>
      <c r="AS119">
        <v>0</v>
      </c>
      <c r="AT119">
        <v>0</v>
      </c>
      <c r="AU119">
        <v>0</v>
      </c>
      <c r="AV119">
        <v>0</v>
      </c>
      <c r="AW119">
        <v>0</v>
      </c>
      <c r="AX119">
        <v>0</v>
      </c>
      <c r="AY119">
        <v>112301</v>
      </c>
      <c r="AZ119">
        <v>20000</v>
      </c>
      <c r="BA119">
        <v>0</v>
      </c>
      <c r="BB119">
        <v>0</v>
      </c>
      <c r="BC119">
        <v>156163</v>
      </c>
      <c r="BD119">
        <v>0</v>
      </c>
      <c r="BE119">
        <v>0</v>
      </c>
      <c r="BF119">
        <v>0</v>
      </c>
      <c r="BG119">
        <v>0</v>
      </c>
      <c r="BH119">
        <v>3696</v>
      </c>
      <c r="BI119">
        <v>0</v>
      </c>
      <c r="BJ119">
        <v>2950709</v>
      </c>
      <c r="BK119">
        <v>0</v>
      </c>
      <c r="BL119">
        <v>0</v>
      </c>
      <c r="BM119">
        <v>0</v>
      </c>
      <c r="BN119">
        <v>1275600</v>
      </c>
      <c r="BO119">
        <v>0</v>
      </c>
      <c r="BP119">
        <v>0</v>
      </c>
      <c r="BQ119">
        <v>0</v>
      </c>
      <c r="BR119">
        <v>20766</v>
      </c>
      <c r="BS119">
        <v>0</v>
      </c>
      <c r="BT119">
        <v>0</v>
      </c>
      <c r="BU119">
        <v>0</v>
      </c>
      <c r="BV119">
        <v>0</v>
      </c>
      <c r="BW119">
        <v>0</v>
      </c>
      <c r="BX119">
        <v>0</v>
      </c>
      <c r="BY119">
        <v>0</v>
      </c>
      <c r="BZ119">
        <v>95685</v>
      </c>
      <c r="CA119">
        <v>0</v>
      </c>
      <c r="CB119">
        <v>0</v>
      </c>
      <c r="CC119">
        <v>0</v>
      </c>
      <c r="CD119">
        <v>0</v>
      </c>
      <c r="CE119">
        <v>3513730</v>
      </c>
      <c r="CF119">
        <v>0</v>
      </c>
      <c r="CG119">
        <v>950000</v>
      </c>
      <c r="CH119">
        <v>0</v>
      </c>
      <c r="CI119">
        <v>0</v>
      </c>
      <c r="CJ119">
        <v>0</v>
      </c>
      <c r="CK119">
        <v>650000</v>
      </c>
      <c r="CL119">
        <v>0</v>
      </c>
      <c r="CM119">
        <v>0</v>
      </c>
      <c r="CN119">
        <v>0</v>
      </c>
      <c r="CO119">
        <v>1824706</v>
      </c>
      <c r="CP119">
        <v>0</v>
      </c>
      <c r="CQ119">
        <v>43471</v>
      </c>
      <c r="CR119">
        <v>0</v>
      </c>
      <c r="CS119">
        <v>0</v>
      </c>
    </row>
    <row r="120" spans="1:97" x14ac:dyDescent="0.3">
      <c r="A120" s="155">
        <v>387</v>
      </c>
      <c r="B120" t="s">
        <v>186</v>
      </c>
      <c r="D120">
        <v>0</v>
      </c>
      <c r="E120">
        <v>0</v>
      </c>
      <c r="F120">
        <v>0</v>
      </c>
      <c r="G120">
        <v>0</v>
      </c>
      <c r="H120">
        <v>0</v>
      </c>
      <c r="I120">
        <v>0</v>
      </c>
      <c r="J120">
        <v>0</v>
      </c>
      <c r="K120">
        <v>0</v>
      </c>
      <c r="L120">
        <v>0</v>
      </c>
      <c r="M120">
        <v>119788</v>
      </c>
      <c r="N120">
        <v>0</v>
      </c>
      <c r="O120">
        <v>0</v>
      </c>
      <c r="P120">
        <v>0</v>
      </c>
      <c r="Q120">
        <v>0</v>
      </c>
      <c r="R120">
        <v>0</v>
      </c>
      <c r="S120">
        <v>10007</v>
      </c>
      <c r="T120">
        <v>0</v>
      </c>
      <c r="U120">
        <v>0</v>
      </c>
      <c r="V120">
        <v>0</v>
      </c>
      <c r="W120">
        <v>0</v>
      </c>
      <c r="X120">
        <v>27511</v>
      </c>
      <c r="Y120">
        <v>875000</v>
      </c>
      <c r="Z120">
        <v>0</v>
      </c>
      <c r="AA120">
        <v>98000</v>
      </c>
      <c r="AB120">
        <v>0</v>
      </c>
      <c r="AC120">
        <v>0</v>
      </c>
      <c r="AD120">
        <v>0</v>
      </c>
      <c r="AE120">
        <v>544933</v>
      </c>
      <c r="AF120">
        <v>0</v>
      </c>
      <c r="AG120">
        <v>253042</v>
      </c>
      <c r="AH120">
        <v>0</v>
      </c>
      <c r="AI120">
        <v>0</v>
      </c>
      <c r="AJ120">
        <v>0</v>
      </c>
      <c r="AK120">
        <v>0</v>
      </c>
      <c r="AL120">
        <v>1097775</v>
      </c>
      <c r="AM120">
        <v>0</v>
      </c>
      <c r="AN120">
        <v>0</v>
      </c>
      <c r="AO120">
        <v>0</v>
      </c>
      <c r="AP120">
        <v>0</v>
      </c>
      <c r="AQ120">
        <v>0</v>
      </c>
      <c r="AR120">
        <v>0</v>
      </c>
      <c r="AS120">
        <v>0</v>
      </c>
      <c r="AT120">
        <v>0</v>
      </c>
      <c r="AU120">
        <v>0</v>
      </c>
      <c r="AV120">
        <v>0</v>
      </c>
      <c r="AW120">
        <v>0</v>
      </c>
      <c r="AX120">
        <v>0</v>
      </c>
      <c r="AY120">
        <v>112301</v>
      </c>
      <c r="AZ120">
        <v>0</v>
      </c>
      <c r="BA120">
        <v>0</v>
      </c>
      <c r="BB120">
        <v>0</v>
      </c>
      <c r="BC120">
        <v>0</v>
      </c>
      <c r="BD120">
        <v>0</v>
      </c>
      <c r="BE120">
        <v>0</v>
      </c>
      <c r="BF120">
        <v>0</v>
      </c>
      <c r="BG120">
        <v>0</v>
      </c>
      <c r="BH120">
        <v>0</v>
      </c>
      <c r="BI120">
        <v>0</v>
      </c>
      <c r="BJ120">
        <v>1185863</v>
      </c>
      <c r="BK120">
        <v>0</v>
      </c>
      <c r="BL120">
        <v>0</v>
      </c>
      <c r="BM120">
        <v>0</v>
      </c>
      <c r="BN120">
        <v>110000</v>
      </c>
      <c r="BO120">
        <v>0</v>
      </c>
      <c r="BP120">
        <v>0</v>
      </c>
      <c r="BQ120">
        <v>0</v>
      </c>
      <c r="BR120">
        <v>0</v>
      </c>
      <c r="BS120">
        <v>0</v>
      </c>
      <c r="BT120">
        <v>0</v>
      </c>
      <c r="BU120">
        <v>0</v>
      </c>
      <c r="BV120">
        <v>0</v>
      </c>
      <c r="BW120">
        <v>0</v>
      </c>
      <c r="BX120">
        <v>0</v>
      </c>
      <c r="BY120">
        <v>0</v>
      </c>
      <c r="BZ120">
        <v>0</v>
      </c>
      <c r="CA120">
        <v>0</v>
      </c>
      <c r="CB120">
        <v>0</v>
      </c>
      <c r="CC120">
        <v>0</v>
      </c>
      <c r="CD120">
        <v>2412505</v>
      </c>
      <c r="CE120">
        <v>0</v>
      </c>
      <c r="CF120">
        <v>0</v>
      </c>
      <c r="CG120">
        <v>0</v>
      </c>
      <c r="CH120">
        <v>0</v>
      </c>
      <c r="CI120">
        <v>0</v>
      </c>
      <c r="CJ120">
        <v>520031</v>
      </c>
      <c r="CK120">
        <v>0</v>
      </c>
      <c r="CL120">
        <v>0</v>
      </c>
      <c r="CM120">
        <v>0</v>
      </c>
      <c r="CN120">
        <v>0</v>
      </c>
      <c r="CO120">
        <v>1550853</v>
      </c>
      <c r="CP120">
        <v>0</v>
      </c>
      <c r="CQ120">
        <v>0</v>
      </c>
      <c r="CR120">
        <v>0</v>
      </c>
      <c r="CS120">
        <v>0</v>
      </c>
    </row>
    <row r="121" spans="1:97" x14ac:dyDescent="0.3">
      <c r="A121" s="155">
        <v>388</v>
      </c>
      <c r="B121" t="s">
        <v>180</v>
      </c>
      <c r="D121">
        <v>221319</v>
      </c>
      <c r="E121">
        <v>3003856</v>
      </c>
      <c r="F121">
        <v>3835694</v>
      </c>
      <c r="G121">
        <v>131099</v>
      </c>
      <c r="H121">
        <v>9390740</v>
      </c>
      <c r="I121">
        <v>1046588</v>
      </c>
      <c r="J121">
        <v>3236654</v>
      </c>
      <c r="K121">
        <v>853408</v>
      </c>
      <c r="L121">
        <v>673681</v>
      </c>
      <c r="M121">
        <v>32567433</v>
      </c>
      <c r="N121">
        <v>539154</v>
      </c>
      <c r="O121">
        <v>473657</v>
      </c>
      <c r="P121">
        <v>455795</v>
      </c>
      <c r="Q121">
        <v>1350969</v>
      </c>
      <c r="R121">
        <v>53195</v>
      </c>
      <c r="S121">
        <v>280481</v>
      </c>
      <c r="T121">
        <v>1786995</v>
      </c>
      <c r="U121">
        <v>1365591</v>
      </c>
      <c r="V121">
        <v>7899020</v>
      </c>
      <c r="W121">
        <v>11196218</v>
      </c>
      <c r="X121">
        <v>4160138</v>
      </c>
      <c r="Y121">
        <v>281394</v>
      </c>
      <c r="Z121">
        <v>3764684</v>
      </c>
      <c r="AA121">
        <v>4005837</v>
      </c>
      <c r="AB121">
        <v>39343</v>
      </c>
      <c r="AC121">
        <v>13400072</v>
      </c>
      <c r="AD121">
        <v>2191566</v>
      </c>
      <c r="AE121">
        <v>858165</v>
      </c>
      <c r="AF121">
        <v>237880</v>
      </c>
      <c r="AG121">
        <v>26836701</v>
      </c>
      <c r="AH121">
        <v>805038</v>
      </c>
      <c r="AI121">
        <v>20170574</v>
      </c>
      <c r="AJ121">
        <v>1538474</v>
      </c>
      <c r="AK121">
        <v>190784</v>
      </c>
      <c r="AL121">
        <v>1607318</v>
      </c>
      <c r="AM121">
        <v>3795181</v>
      </c>
      <c r="AN121">
        <v>3801514</v>
      </c>
      <c r="AO121">
        <v>2773057</v>
      </c>
      <c r="AP121">
        <v>374408</v>
      </c>
      <c r="AQ121">
        <v>347033</v>
      </c>
      <c r="AR121">
        <v>5400687</v>
      </c>
      <c r="AS121">
        <v>793171</v>
      </c>
      <c r="AT121">
        <v>124814</v>
      </c>
      <c r="AU121">
        <v>144322</v>
      </c>
      <c r="AV121">
        <v>1049172</v>
      </c>
      <c r="AW121">
        <v>96534</v>
      </c>
      <c r="AX121">
        <v>346032</v>
      </c>
      <c r="AY121">
        <v>5284833</v>
      </c>
      <c r="AZ121">
        <v>361544</v>
      </c>
      <c r="BA121">
        <v>58954986</v>
      </c>
      <c r="BB121">
        <v>1618614</v>
      </c>
      <c r="BC121">
        <v>5347124</v>
      </c>
      <c r="BD121">
        <v>755424</v>
      </c>
      <c r="BE121">
        <v>905089</v>
      </c>
      <c r="BF121">
        <v>1377523</v>
      </c>
      <c r="BG121">
        <v>268489</v>
      </c>
      <c r="BH121">
        <v>1298485</v>
      </c>
      <c r="BI121">
        <v>3398216</v>
      </c>
      <c r="BJ121">
        <v>14659108</v>
      </c>
      <c r="BK121">
        <v>278662</v>
      </c>
      <c r="BL121">
        <v>61379</v>
      </c>
      <c r="BM121">
        <v>13636956</v>
      </c>
      <c r="BN121">
        <v>14596494</v>
      </c>
      <c r="BO121">
        <v>7227000</v>
      </c>
      <c r="BP121">
        <v>106446</v>
      </c>
      <c r="BQ121">
        <v>1941188</v>
      </c>
      <c r="BR121">
        <v>2088069</v>
      </c>
      <c r="BS121">
        <v>9001327</v>
      </c>
      <c r="BT121">
        <v>594538</v>
      </c>
      <c r="BU121">
        <v>679071</v>
      </c>
      <c r="BV121">
        <v>2469141</v>
      </c>
      <c r="BW121">
        <v>3767468</v>
      </c>
      <c r="BX121">
        <v>827540</v>
      </c>
      <c r="BY121">
        <v>2042178</v>
      </c>
      <c r="BZ121">
        <v>5956044</v>
      </c>
      <c r="CA121">
        <v>139651</v>
      </c>
      <c r="CB121">
        <v>7645553</v>
      </c>
      <c r="CC121">
        <v>6800111</v>
      </c>
      <c r="CD121">
        <v>141666225</v>
      </c>
      <c r="CE121">
        <v>60896766</v>
      </c>
      <c r="CF121">
        <v>1414704</v>
      </c>
      <c r="CG121">
        <v>3664879</v>
      </c>
      <c r="CH121">
        <v>618917</v>
      </c>
      <c r="CI121">
        <v>1640895</v>
      </c>
      <c r="CJ121">
        <v>239985839</v>
      </c>
      <c r="CK121">
        <v>10196334</v>
      </c>
      <c r="CL121">
        <v>684045</v>
      </c>
      <c r="CM121">
        <v>4536696</v>
      </c>
      <c r="CN121">
        <v>504917</v>
      </c>
      <c r="CO121">
        <v>11376204</v>
      </c>
      <c r="CP121">
        <v>3012031</v>
      </c>
      <c r="CQ121">
        <v>1050184</v>
      </c>
      <c r="CR121">
        <v>2889696</v>
      </c>
      <c r="CS121">
        <v>11568341</v>
      </c>
    </row>
    <row r="122" spans="1:97" x14ac:dyDescent="0.3">
      <c r="A122" s="155">
        <v>389</v>
      </c>
      <c r="B122" t="s">
        <v>187</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row>
    <row r="123" spans="1:97" x14ac:dyDescent="0.3">
      <c r="A123" s="155">
        <v>391</v>
      </c>
      <c r="B123" t="s">
        <v>192</v>
      </c>
      <c r="D123">
        <v>46524</v>
      </c>
      <c r="E123">
        <v>457854</v>
      </c>
      <c r="F123">
        <v>551957</v>
      </c>
      <c r="G123">
        <v>35314</v>
      </c>
      <c r="H123">
        <v>475157</v>
      </c>
      <c r="I123">
        <v>139939</v>
      </c>
      <c r="J123">
        <v>403832</v>
      </c>
      <c r="K123">
        <v>57237</v>
      </c>
      <c r="L123">
        <v>203316</v>
      </c>
      <c r="M123">
        <v>7085880</v>
      </c>
      <c r="N123">
        <v>76411</v>
      </c>
      <c r="O123">
        <v>45464</v>
      </c>
      <c r="P123">
        <v>95145</v>
      </c>
      <c r="Q123">
        <v>85421</v>
      </c>
      <c r="R123">
        <v>0</v>
      </c>
      <c r="S123">
        <v>43757</v>
      </c>
      <c r="T123">
        <v>86195</v>
      </c>
      <c r="U123">
        <v>189812</v>
      </c>
      <c r="V123">
        <v>713160</v>
      </c>
      <c r="W123">
        <v>4819156</v>
      </c>
      <c r="X123">
        <v>527007</v>
      </c>
      <c r="Y123">
        <v>113162</v>
      </c>
      <c r="Z123">
        <v>294029</v>
      </c>
      <c r="AA123">
        <v>240698</v>
      </c>
      <c r="AB123">
        <v>4084</v>
      </c>
      <c r="AC123">
        <v>1767089</v>
      </c>
      <c r="AD123">
        <v>189178</v>
      </c>
      <c r="AE123">
        <v>67942</v>
      </c>
      <c r="AF123">
        <v>67260</v>
      </c>
      <c r="AG123">
        <v>3890420</v>
      </c>
      <c r="AH123">
        <v>32766</v>
      </c>
      <c r="AI123">
        <v>229914</v>
      </c>
      <c r="AJ123">
        <v>163450</v>
      </c>
      <c r="AK123">
        <v>22497</v>
      </c>
      <c r="AL123">
        <v>2143975</v>
      </c>
      <c r="AM123">
        <v>566240</v>
      </c>
      <c r="AN123">
        <v>527097</v>
      </c>
      <c r="AO123">
        <v>673500</v>
      </c>
      <c r="AP123">
        <v>23526</v>
      </c>
      <c r="AQ123">
        <v>63353</v>
      </c>
      <c r="AR123">
        <v>623792</v>
      </c>
      <c r="AS123">
        <v>125510</v>
      </c>
      <c r="AT123">
        <v>6289</v>
      </c>
      <c r="AU123">
        <v>44452</v>
      </c>
      <c r="AV123">
        <v>82254</v>
      </c>
      <c r="AW123">
        <v>5715</v>
      </c>
      <c r="AX123">
        <v>33654</v>
      </c>
      <c r="AY123">
        <v>817150</v>
      </c>
      <c r="AZ123">
        <v>36379</v>
      </c>
      <c r="BA123">
        <v>6075840</v>
      </c>
      <c r="BB123">
        <v>154823</v>
      </c>
      <c r="BC123">
        <v>802408</v>
      </c>
      <c r="BD123">
        <v>186704</v>
      </c>
      <c r="BE123">
        <v>147488</v>
      </c>
      <c r="BF123">
        <v>139352</v>
      </c>
      <c r="BG123">
        <v>0</v>
      </c>
      <c r="BH123">
        <v>270269</v>
      </c>
      <c r="BI123">
        <v>304736</v>
      </c>
      <c r="BJ123">
        <v>2555461</v>
      </c>
      <c r="BK123">
        <v>33788</v>
      </c>
      <c r="BL123">
        <v>16893</v>
      </c>
      <c r="BM123">
        <v>1972905</v>
      </c>
      <c r="BN123">
        <v>1796142</v>
      </c>
      <c r="BO123">
        <v>936290</v>
      </c>
      <c r="BP123">
        <v>12386</v>
      </c>
      <c r="BQ123">
        <v>196359</v>
      </c>
      <c r="BR123">
        <v>104694</v>
      </c>
      <c r="BS123">
        <v>938411</v>
      </c>
      <c r="BT123">
        <v>167647</v>
      </c>
      <c r="BU123">
        <v>105148</v>
      </c>
      <c r="BV123">
        <v>314777</v>
      </c>
      <c r="BW123">
        <v>294079</v>
      </c>
      <c r="BX123">
        <v>52754</v>
      </c>
      <c r="BY123">
        <v>168204</v>
      </c>
      <c r="BZ123">
        <v>1467582</v>
      </c>
      <c r="CA123">
        <v>18505</v>
      </c>
      <c r="CB123">
        <v>685245</v>
      </c>
      <c r="CC123">
        <v>632729</v>
      </c>
      <c r="CD123">
        <v>17039944</v>
      </c>
      <c r="CE123">
        <v>4302386</v>
      </c>
      <c r="CF123">
        <v>92355</v>
      </c>
      <c r="CG123">
        <v>1836243</v>
      </c>
      <c r="CH123">
        <v>75243</v>
      </c>
      <c r="CI123">
        <v>151256</v>
      </c>
      <c r="CJ123">
        <v>25605419</v>
      </c>
      <c r="CK123">
        <v>1058589</v>
      </c>
      <c r="CL123">
        <v>90436</v>
      </c>
      <c r="CM123">
        <v>417157</v>
      </c>
      <c r="CN123">
        <v>106848</v>
      </c>
      <c r="CO123">
        <v>830154</v>
      </c>
      <c r="CP123">
        <v>403389</v>
      </c>
      <c r="CQ123">
        <v>114450</v>
      </c>
      <c r="CR123">
        <v>490784</v>
      </c>
      <c r="CS123">
        <v>1128627</v>
      </c>
    </row>
    <row r="124" spans="1:97" x14ac:dyDescent="0.3">
      <c r="A124" s="155">
        <v>500</v>
      </c>
      <c r="B124" t="s">
        <v>175</v>
      </c>
      <c r="D124">
        <v>63521</v>
      </c>
      <c r="E124">
        <v>0</v>
      </c>
      <c r="F124">
        <v>145269</v>
      </c>
      <c r="G124">
        <v>270665</v>
      </c>
      <c r="H124">
        <v>622890</v>
      </c>
      <c r="I124">
        <v>35856</v>
      </c>
      <c r="J124">
        <v>411908</v>
      </c>
      <c r="K124">
        <v>189858</v>
      </c>
      <c r="L124">
        <v>150364</v>
      </c>
      <c r="M124">
        <v>740119</v>
      </c>
      <c r="N124">
        <v>15985</v>
      </c>
      <c r="O124">
        <v>70457</v>
      </c>
      <c r="P124">
        <v>4313</v>
      </c>
      <c r="Q124">
        <v>311982</v>
      </c>
      <c r="R124">
        <v>83364</v>
      </c>
      <c r="S124">
        <v>30578</v>
      </c>
      <c r="T124">
        <v>0</v>
      </c>
      <c r="U124">
        <v>2388</v>
      </c>
      <c r="V124">
        <v>137782</v>
      </c>
      <c r="W124">
        <v>4407562</v>
      </c>
      <c r="X124">
        <v>39235</v>
      </c>
      <c r="Y124">
        <v>0</v>
      </c>
      <c r="Z124">
        <v>744657</v>
      </c>
      <c r="AA124">
        <v>1341803</v>
      </c>
      <c r="AB124">
        <v>12689</v>
      </c>
      <c r="AC124">
        <v>1360973</v>
      </c>
      <c r="AD124">
        <v>21409</v>
      </c>
      <c r="AE124">
        <v>204357</v>
      </c>
      <c r="AF124">
        <v>79779</v>
      </c>
      <c r="AG124">
        <v>618668</v>
      </c>
      <c r="AH124">
        <v>566054</v>
      </c>
      <c r="AI124">
        <v>816933</v>
      </c>
      <c r="AJ124">
        <v>398626</v>
      </c>
      <c r="AK124">
        <v>2711</v>
      </c>
      <c r="AL124">
        <v>647417</v>
      </c>
      <c r="AM124">
        <v>1101244</v>
      </c>
      <c r="AN124">
        <v>624901</v>
      </c>
      <c r="AO124">
        <v>559952</v>
      </c>
      <c r="AP124">
        <v>15779</v>
      </c>
      <c r="AQ124">
        <v>0</v>
      </c>
      <c r="AR124">
        <v>176021</v>
      </c>
      <c r="AS124">
        <v>83289</v>
      </c>
      <c r="AT124">
        <v>84998</v>
      </c>
      <c r="AU124">
        <v>0</v>
      </c>
      <c r="AV124">
        <v>0</v>
      </c>
      <c r="AW124">
        <v>117545</v>
      </c>
      <c r="AX124">
        <v>135468</v>
      </c>
      <c r="AY124">
        <v>62193</v>
      </c>
      <c r="AZ124">
        <v>112864</v>
      </c>
      <c r="BA124">
        <v>1976406</v>
      </c>
      <c r="BB124">
        <v>783625</v>
      </c>
      <c r="BC124">
        <v>760</v>
      </c>
      <c r="BD124">
        <v>0</v>
      </c>
      <c r="BE124">
        <v>116235</v>
      </c>
      <c r="BF124">
        <v>55493</v>
      </c>
      <c r="BG124">
        <v>21280</v>
      </c>
      <c r="BH124">
        <v>18826</v>
      </c>
      <c r="BI124">
        <v>77777</v>
      </c>
      <c r="BJ124">
        <v>2073</v>
      </c>
      <c r="BK124">
        <v>73013</v>
      </c>
      <c r="BL124">
        <v>23072</v>
      </c>
      <c r="BM124">
        <v>8866654</v>
      </c>
      <c r="BN124">
        <v>192483</v>
      </c>
      <c r="BO124">
        <v>162314</v>
      </c>
      <c r="BP124">
        <v>0</v>
      </c>
      <c r="BQ124">
        <v>75002</v>
      </c>
      <c r="BR124">
        <v>79550</v>
      </c>
      <c r="BS124">
        <v>2313673</v>
      </c>
      <c r="BT124">
        <v>0</v>
      </c>
      <c r="BU124">
        <v>50817</v>
      </c>
      <c r="BV124">
        <v>605984</v>
      </c>
      <c r="BW124">
        <v>2000</v>
      </c>
      <c r="BX124">
        <v>118552</v>
      </c>
      <c r="BY124">
        <v>257897</v>
      </c>
      <c r="BZ124">
        <v>219489</v>
      </c>
      <c r="CA124">
        <v>0</v>
      </c>
      <c r="CB124">
        <v>314759</v>
      </c>
      <c r="CC124">
        <v>894024</v>
      </c>
      <c r="CD124">
        <v>63577834</v>
      </c>
      <c r="CE124">
        <v>16090924</v>
      </c>
      <c r="CF124">
        <v>185001</v>
      </c>
      <c r="CG124">
        <v>0</v>
      </c>
      <c r="CH124">
        <v>27272</v>
      </c>
      <c r="CI124">
        <v>289726</v>
      </c>
      <c r="CJ124">
        <v>0</v>
      </c>
      <c r="CK124">
        <v>714715</v>
      </c>
      <c r="CL124">
        <v>90384</v>
      </c>
      <c r="CM124">
        <v>2053863</v>
      </c>
      <c r="CN124">
        <v>185978</v>
      </c>
      <c r="CO124">
        <v>173877</v>
      </c>
      <c r="CP124">
        <v>116922</v>
      </c>
      <c r="CQ124">
        <v>306280</v>
      </c>
      <c r="CR124">
        <v>63271</v>
      </c>
      <c r="CS124">
        <v>1730470</v>
      </c>
    </row>
    <row r="125" spans="1:97" x14ac:dyDescent="0.3">
      <c r="A125" s="155">
        <v>502</v>
      </c>
      <c r="B125" t="s">
        <v>177</v>
      </c>
      <c r="D125">
        <v>0</v>
      </c>
      <c r="E125">
        <v>0</v>
      </c>
      <c r="F125">
        <v>488129</v>
      </c>
      <c r="G125">
        <v>0</v>
      </c>
      <c r="H125">
        <v>1252098</v>
      </c>
      <c r="I125">
        <v>723587</v>
      </c>
      <c r="J125">
        <v>1221958</v>
      </c>
      <c r="K125">
        <v>5752477</v>
      </c>
      <c r="L125">
        <v>81342</v>
      </c>
      <c r="M125">
        <v>59488309</v>
      </c>
      <c r="N125">
        <v>512741</v>
      </c>
      <c r="O125">
        <v>0</v>
      </c>
      <c r="P125">
        <v>1537148</v>
      </c>
      <c r="Q125">
        <v>169636</v>
      </c>
      <c r="R125">
        <v>0</v>
      </c>
      <c r="S125">
        <v>83714</v>
      </c>
      <c r="T125">
        <v>151586</v>
      </c>
      <c r="U125">
        <v>0</v>
      </c>
      <c r="V125">
        <v>0</v>
      </c>
      <c r="W125">
        <v>11981147</v>
      </c>
      <c r="X125">
        <v>102698</v>
      </c>
      <c r="Y125">
        <v>2600241</v>
      </c>
      <c r="Z125">
        <v>0</v>
      </c>
      <c r="AA125">
        <v>3010197</v>
      </c>
      <c r="AB125">
        <v>0</v>
      </c>
      <c r="AC125">
        <v>14418757</v>
      </c>
      <c r="AD125">
        <v>2318513</v>
      </c>
      <c r="AE125">
        <v>362668</v>
      </c>
      <c r="AF125">
        <v>302526</v>
      </c>
      <c r="AG125">
        <v>11158530</v>
      </c>
      <c r="AH125">
        <v>0</v>
      </c>
      <c r="AI125">
        <v>1993363</v>
      </c>
      <c r="AJ125">
        <v>0</v>
      </c>
      <c r="AK125">
        <v>391482</v>
      </c>
      <c r="AL125">
        <v>1348107</v>
      </c>
      <c r="AM125">
        <v>1593356</v>
      </c>
      <c r="AN125">
        <v>455348</v>
      </c>
      <c r="AO125">
        <v>0</v>
      </c>
      <c r="AP125">
        <v>62411</v>
      </c>
      <c r="AQ125">
        <v>0</v>
      </c>
      <c r="AR125">
        <v>1381860</v>
      </c>
      <c r="AS125">
        <v>72906</v>
      </c>
      <c r="AT125">
        <v>0</v>
      </c>
      <c r="AU125">
        <v>0</v>
      </c>
      <c r="AV125">
        <v>0</v>
      </c>
      <c r="AW125">
        <v>0</v>
      </c>
      <c r="AX125">
        <v>206599</v>
      </c>
      <c r="AY125">
        <v>2749097</v>
      </c>
      <c r="AZ125">
        <v>454718</v>
      </c>
      <c r="BA125">
        <v>4212913</v>
      </c>
      <c r="BB125">
        <v>0</v>
      </c>
      <c r="BC125">
        <v>2939985</v>
      </c>
      <c r="BD125">
        <v>0</v>
      </c>
      <c r="BE125">
        <v>1668869</v>
      </c>
      <c r="BF125">
        <v>473822</v>
      </c>
      <c r="BG125">
        <v>505480</v>
      </c>
      <c r="BH125">
        <v>447910</v>
      </c>
      <c r="BI125">
        <v>2619043</v>
      </c>
      <c r="BJ125">
        <v>25993051</v>
      </c>
      <c r="BK125">
        <v>0</v>
      </c>
      <c r="BL125">
        <v>0</v>
      </c>
      <c r="BM125">
        <v>0</v>
      </c>
      <c r="BN125">
        <v>7348457</v>
      </c>
      <c r="BO125">
        <v>4737086</v>
      </c>
      <c r="BP125">
        <v>0</v>
      </c>
      <c r="BQ125">
        <v>0</v>
      </c>
      <c r="BR125">
        <v>2689692</v>
      </c>
      <c r="BS125">
        <v>0</v>
      </c>
      <c r="BT125">
        <v>0</v>
      </c>
      <c r="BU125">
        <v>0</v>
      </c>
      <c r="BV125">
        <v>919874</v>
      </c>
      <c r="BW125">
        <v>0</v>
      </c>
      <c r="BX125">
        <v>111326</v>
      </c>
      <c r="BY125">
        <v>2932527</v>
      </c>
      <c r="BZ125">
        <v>2737288</v>
      </c>
      <c r="CA125">
        <v>83006</v>
      </c>
      <c r="CB125">
        <v>602994</v>
      </c>
      <c r="CC125">
        <v>7679887</v>
      </c>
      <c r="CD125">
        <v>42799459</v>
      </c>
      <c r="CE125">
        <v>88059772</v>
      </c>
      <c r="CF125">
        <v>46488</v>
      </c>
      <c r="CG125">
        <v>4504407</v>
      </c>
      <c r="CH125">
        <v>42702</v>
      </c>
      <c r="CI125">
        <v>1072629</v>
      </c>
      <c r="CJ125">
        <v>210154145</v>
      </c>
      <c r="CK125">
        <v>10437654</v>
      </c>
      <c r="CL125">
        <v>1126162</v>
      </c>
      <c r="CM125">
        <v>0</v>
      </c>
      <c r="CN125">
        <v>647779</v>
      </c>
      <c r="CO125">
        <v>8753013</v>
      </c>
      <c r="CP125">
        <v>3515215</v>
      </c>
      <c r="CQ125">
        <v>1910455</v>
      </c>
      <c r="CR125">
        <v>3075889</v>
      </c>
      <c r="CS125">
        <v>0</v>
      </c>
    </row>
    <row r="126" spans="1:97" x14ac:dyDescent="0.3">
      <c r="A126" s="155">
        <v>503</v>
      </c>
      <c r="B126" t="s">
        <v>178</v>
      </c>
      <c r="D126">
        <v>0</v>
      </c>
      <c r="E126">
        <v>0</v>
      </c>
      <c r="F126">
        <v>98439</v>
      </c>
      <c r="G126">
        <v>0</v>
      </c>
      <c r="H126">
        <v>0</v>
      </c>
      <c r="I126">
        <v>22805</v>
      </c>
      <c r="J126">
        <v>328790</v>
      </c>
      <c r="K126">
        <v>217748</v>
      </c>
      <c r="L126">
        <v>1875</v>
      </c>
      <c r="M126">
        <v>6443748</v>
      </c>
      <c r="N126">
        <v>22369</v>
      </c>
      <c r="O126">
        <v>0</v>
      </c>
      <c r="P126">
        <v>87936</v>
      </c>
      <c r="Q126">
        <v>22760</v>
      </c>
      <c r="R126">
        <v>0</v>
      </c>
      <c r="S126">
        <v>264198</v>
      </c>
      <c r="T126">
        <v>0</v>
      </c>
      <c r="U126">
        <v>0</v>
      </c>
      <c r="V126">
        <v>0</v>
      </c>
      <c r="W126">
        <v>2623847</v>
      </c>
      <c r="X126">
        <v>0</v>
      </c>
      <c r="Y126">
        <v>35450</v>
      </c>
      <c r="Z126">
        <v>0</v>
      </c>
      <c r="AA126">
        <v>551599</v>
      </c>
      <c r="AB126">
        <v>0</v>
      </c>
      <c r="AC126">
        <v>592491</v>
      </c>
      <c r="AD126">
        <v>2318</v>
      </c>
      <c r="AE126">
        <v>7000</v>
      </c>
      <c r="AF126">
        <v>0</v>
      </c>
      <c r="AG126">
        <v>393316</v>
      </c>
      <c r="AH126">
        <v>0</v>
      </c>
      <c r="AI126">
        <v>85003</v>
      </c>
      <c r="AJ126">
        <v>0</v>
      </c>
      <c r="AK126">
        <v>3261</v>
      </c>
      <c r="AL126">
        <v>0</v>
      </c>
      <c r="AM126">
        <v>170713</v>
      </c>
      <c r="AN126">
        <v>106093</v>
      </c>
      <c r="AO126">
        <v>131007</v>
      </c>
      <c r="AP126">
        <v>2955</v>
      </c>
      <c r="AQ126">
        <v>0</v>
      </c>
      <c r="AR126">
        <v>79258</v>
      </c>
      <c r="AS126">
        <v>45451</v>
      </c>
      <c r="AT126">
        <v>0</v>
      </c>
      <c r="AU126">
        <v>0</v>
      </c>
      <c r="AV126">
        <v>0</v>
      </c>
      <c r="AW126">
        <v>0</v>
      </c>
      <c r="AX126">
        <v>19093</v>
      </c>
      <c r="AY126">
        <v>1027766</v>
      </c>
      <c r="AZ126">
        <v>26072</v>
      </c>
      <c r="BA126">
        <v>0</v>
      </c>
      <c r="BB126">
        <v>0</v>
      </c>
      <c r="BC126">
        <v>0</v>
      </c>
      <c r="BD126">
        <v>0</v>
      </c>
      <c r="BE126">
        <v>24239</v>
      </c>
      <c r="BF126">
        <v>16400</v>
      </c>
      <c r="BG126">
        <v>21037</v>
      </c>
      <c r="BH126">
        <v>103133</v>
      </c>
      <c r="BI126">
        <v>163032</v>
      </c>
      <c r="BJ126">
        <v>769146</v>
      </c>
      <c r="BK126">
        <v>0</v>
      </c>
      <c r="BL126">
        <v>0</v>
      </c>
      <c r="BM126">
        <v>0</v>
      </c>
      <c r="BN126">
        <v>225123</v>
      </c>
      <c r="BO126">
        <v>31260</v>
      </c>
      <c r="BP126">
        <v>0</v>
      </c>
      <c r="BQ126">
        <v>0</v>
      </c>
      <c r="BR126">
        <v>50336</v>
      </c>
      <c r="BS126">
        <v>0</v>
      </c>
      <c r="BT126">
        <v>0</v>
      </c>
      <c r="BU126">
        <v>0</v>
      </c>
      <c r="BV126">
        <v>55682</v>
      </c>
      <c r="BW126">
        <v>0</v>
      </c>
      <c r="BX126">
        <v>86455</v>
      </c>
      <c r="BY126">
        <v>174740</v>
      </c>
      <c r="BZ126">
        <v>144180</v>
      </c>
      <c r="CA126">
        <v>1603</v>
      </c>
      <c r="CB126">
        <v>66695</v>
      </c>
      <c r="CC126">
        <v>202126</v>
      </c>
      <c r="CD126">
        <v>3967111</v>
      </c>
      <c r="CE126">
        <v>2864485</v>
      </c>
      <c r="CF126">
        <v>0</v>
      </c>
      <c r="CG126">
        <v>114905</v>
      </c>
      <c r="CH126">
        <v>45152</v>
      </c>
      <c r="CI126">
        <v>124850</v>
      </c>
      <c r="CJ126">
        <v>58966155</v>
      </c>
      <c r="CK126">
        <v>542609</v>
      </c>
      <c r="CL126">
        <v>50602</v>
      </c>
      <c r="CM126">
        <v>0</v>
      </c>
      <c r="CN126">
        <v>22725</v>
      </c>
      <c r="CO126">
        <v>0</v>
      </c>
      <c r="CP126">
        <v>50957</v>
      </c>
      <c r="CQ126">
        <v>1790</v>
      </c>
      <c r="CR126">
        <v>63271</v>
      </c>
      <c r="CS126">
        <v>0</v>
      </c>
    </row>
    <row r="127" spans="1:97" x14ac:dyDescent="0.3">
      <c r="A127" s="155">
        <v>504</v>
      </c>
      <c r="B127" t="s">
        <v>182</v>
      </c>
      <c r="D127">
        <v>10161</v>
      </c>
      <c r="E127">
        <v>220935</v>
      </c>
      <c r="F127">
        <v>593789</v>
      </c>
      <c r="G127">
        <v>12870</v>
      </c>
      <c r="H127">
        <v>2112536</v>
      </c>
      <c r="I127">
        <v>0</v>
      </c>
      <c r="J127">
        <v>110170</v>
      </c>
      <c r="K127">
        <v>26234</v>
      </c>
      <c r="L127">
        <v>91125</v>
      </c>
      <c r="M127">
        <v>1794790</v>
      </c>
      <c r="N127">
        <v>31959</v>
      </c>
      <c r="O127">
        <v>39932</v>
      </c>
      <c r="P127">
        <v>0</v>
      </c>
      <c r="Q127">
        <v>232851</v>
      </c>
      <c r="R127">
        <v>6901</v>
      </c>
      <c r="S127">
        <v>18064</v>
      </c>
      <c r="T127">
        <v>101267</v>
      </c>
      <c r="U127">
        <v>0</v>
      </c>
      <c r="V127">
        <v>213009</v>
      </c>
      <c r="W127">
        <v>12921020</v>
      </c>
      <c r="X127">
        <v>584617</v>
      </c>
      <c r="Y127">
        <v>0</v>
      </c>
      <c r="Z127">
        <v>633256</v>
      </c>
      <c r="AA127">
        <v>370407</v>
      </c>
      <c r="AB127">
        <v>5610</v>
      </c>
      <c r="AC127">
        <v>896139</v>
      </c>
      <c r="AD127">
        <v>239582</v>
      </c>
      <c r="AE127">
        <v>76428</v>
      </c>
      <c r="AF127">
        <v>12208</v>
      </c>
      <c r="AG127">
        <v>1430231</v>
      </c>
      <c r="AH127">
        <v>79097</v>
      </c>
      <c r="AI127">
        <v>15281154</v>
      </c>
      <c r="AJ127">
        <v>96855</v>
      </c>
      <c r="AK127">
        <v>63022</v>
      </c>
      <c r="AL127">
        <v>299095</v>
      </c>
      <c r="AM127">
        <v>243372</v>
      </c>
      <c r="AN127">
        <v>549379</v>
      </c>
      <c r="AO127">
        <v>357673</v>
      </c>
      <c r="AP127">
        <v>48940</v>
      </c>
      <c r="AQ127">
        <v>0</v>
      </c>
      <c r="AR127">
        <v>220501</v>
      </c>
      <c r="AS127">
        <v>121563</v>
      </c>
      <c r="AT127">
        <v>54305</v>
      </c>
      <c r="AU127">
        <v>8902</v>
      </c>
      <c r="AV127">
        <v>177217</v>
      </c>
      <c r="AW127">
        <v>16222</v>
      </c>
      <c r="AX127">
        <v>15775</v>
      </c>
      <c r="AY127">
        <v>294514</v>
      </c>
      <c r="AZ127">
        <v>51424</v>
      </c>
      <c r="BA127">
        <v>2948918</v>
      </c>
      <c r="BB127">
        <v>220984</v>
      </c>
      <c r="BC127">
        <v>1436735</v>
      </c>
      <c r="BD127">
        <v>0</v>
      </c>
      <c r="BE127">
        <v>106697</v>
      </c>
      <c r="BF127">
        <v>32184</v>
      </c>
      <c r="BG127">
        <v>32261</v>
      </c>
      <c r="BH127">
        <v>27404</v>
      </c>
      <c r="BI127">
        <v>118655</v>
      </c>
      <c r="BJ127">
        <v>685667</v>
      </c>
      <c r="BK127">
        <v>30981</v>
      </c>
      <c r="BL127">
        <v>8565</v>
      </c>
      <c r="BM127">
        <v>714116</v>
      </c>
      <c r="BN127">
        <v>345474</v>
      </c>
      <c r="BO127">
        <v>207471</v>
      </c>
      <c r="BP127">
        <v>10306</v>
      </c>
      <c r="BQ127">
        <v>0</v>
      </c>
      <c r="BR127">
        <v>94833</v>
      </c>
      <c r="BS127">
        <v>868527</v>
      </c>
      <c r="BT127">
        <v>0</v>
      </c>
      <c r="BU127">
        <v>0</v>
      </c>
      <c r="BV127">
        <v>437530</v>
      </c>
      <c r="BW127">
        <v>126180</v>
      </c>
      <c r="BX127">
        <v>45741</v>
      </c>
      <c r="BY127">
        <v>269070</v>
      </c>
      <c r="BZ127">
        <v>635940</v>
      </c>
      <c r="CA127">
        <v>0</v>
      </c>
      <c r="CB127">
        <v>246241</v>
      </c>
      <c r="CC127">
        <v>886106</v>
      </c>
      <c r="CD127">
        <v>16898636</v>
      </c>
      <c r="CE127">
        <v>2457941</v>
      </c>
      <c r="CF127">
        <v>173700</v>
      </c>
      <c r="CG127">
        <v>1003347</v>
      </c>
      <c r="CH127">
        <v>143374</v>
      </c>
      <c r="CI127">
        <v>129037</v>
      </c>
      <c r="CJ127">
        <v>20451877</v>
      </c>
      <c r="CK127">
        <v>1129987</v>
      </c>
      <c r="CL127">
        <v>21461</v>
      </c>
      <c r="CM127">
        <v>175059</v>
      </c>
      <c r="CN127">
        <v>52548</v>
      </c>
      <c r="CO127">
        <v>774502</v>
      </c>
      <c r="CP127">
        <v>81647</v>
      </c>
      <c r="CQ127">
        <v>271844</v>
      </c>
      <c r="CR127">
        <v>403575</v>
      </c>
      <c r="CS127">
        <v>914211</v>
      </c>
    </row>
    <row r="128" spans="1:97" x14ac:dyDescent="0.3">
      <c r="A128" s="155">
        <v>505</v>
      </c>
      <c r="B128" t="s">
        <v>183</v>
      </c>
      <c r="D128">
        <v>0</v>
      </c>
      <c r="E128">
        <v>0</v>
      </c>
      <c r="F128">
        <v>0</v>
      </c>
      <c r="G128">
        <v>0</v>
      </c>
      <c r="H128">
        <v>0</v>
      </c>
      <c r="I128">
        <v>107729</v>
      </c>
      <c r="J128">
        <v>16358</v>
      </c>
      <c r="K128">
        <v>76416</v>
      </c>
      <c r="L128">
        <v>11592</v>
      </c>
      <c r="M128">
        <v>697582</v>
      </c>
      <c r="N128">
        <v>350211</v>
      </c>
      <c r="O128">
        <v>0</v>
      </c>
      <c r="P128">
        <v>45178</v>
      </c>
      <c r="Q128">
        <v>74000</v>
      </c>
      <c r="R128">
        <v>0</v>
      </c>
      <c r="S128">
        <v>0</v>
      </c>
      <c r="T128">
        <v>0</v>
      </c>
      <c r="U128">
        <v>0</v>
      </c>
      <c r="V128">
        <v>0</v>
      </c>
      <c r="W128">
        <v>0</v>
      </c>
      <c r="X128">
        <v>9474</v>
      </c>
      <c r="Y128">
        <v>0</v>
      </c>
      <c r="Z128">
        <v>0</v>
      </c>
      <c r="AA128">
        <v>2650</v>
      </c>
      <c r="AB128">
        <v>0</v>
      </c>
      <c r="AC128">
        <v>80000</v>
      </c>
      <c r="AD128">
        <v>0</v>
      </c>
      <c r="AE128">
        <v>0</v>
      </c>
      <c r="AF128">
        <v>0</v>
      </c>
      <c r="AG128">
        <v>730072</v>
      </c>
      <c r="AH128">
        <v>0</v>
      </c>
      <c r="AI128">
        <v>0</v>
      </c>
      <c r="AJ128">
        <v>0</v>
      </c>
      <c r="AK128">
        <v>249888</v>
      </c>
      <c r="AL128">
        <v>0</v>
      </c>
      <c r="AM128">
        <v>0</v>
      </c>
      <c r="AN128">
        <v>220836</v>
      </c>
      <c r="AO128">
        <v>14527</v>
      </c>
      <c r="AP128">
        <v>159339</v>
      </c>
      <c r="AQ128">
        <v>0</v>
      </c>
      <c r="AR128">
        <v>331523</v>
      </c>
      <c r="AS128">
        <v>15000</v>
      </c>
      <c r="AT128">
        <v>0</v>
      </c>
      <c r="AU128">
        <v>0</v>
      </c>
      <c r="AV128">
        <v>0</v>
      </c>
      <c r="AW128">
        <v>0</v>
      </c>
      <c r="AX128">
        <v>36516</v>
      </c>
      <c r="AY128">
        <v>541751</v>
      </c>
      <c r="AZ128">
        <v>0</v>
      </c>
      <c r="BA128">
        <v>18075129</v>
      </c>
      <c r="BB128">
        <v>0</v>
      </c>
      <c r="BC128">
        <v>0</v>
      </c>
      <c r="BD128">
        <v>88255</v>
      </c>
      <c r="BE128">
        <v>0</v>
      </c>
      <c r="BF128">
        <v>34000</v>
      </c>
      <c r="BG128">
        <v>0</v>
      </c>
      <c r="BH128">
        <v>44935</v>
      </c>
      <c r="BI128">
        <v>0</v>
      </c>
      <c r="BJ128">
        <v>1054558</v>
      </c>
      <c r="BK128">
        <v>0</v>
      </c>
      <c r="BL128">
        <v>0</v>
      </c>
      <c r="BM128">
        <v>0</v>
      </c>
      <c r="BN128">
        <v>0</v>
      </c>
      <c r="BO128">
        <v>139851</v>
      </c>
      <c r="BP128">
        <v>0</v>
      </c>
      <c r="BQ128">
        <v>15868</v>
      </c>
      <c r="BR128">
        <v>0</v>
      </c>
      <c r="BS128">
        <v>0</v>
      </c>
      <c r="BT128">
        <v>0</v>
      </c>
      <c r="BU128">
        <v>9149</v>
      </c>
      <c r="BV128">
        <v>30785</v>
      </c>
      <c r="BW128">
        <v>2189</v>
      </c>
      <c r="BX128">
        <v>0</v>
      </c>
      <c r="BY128">
        <v>0</v>
      </c>
      <c r="BZ128">
        <v>221086</v>
      </c>
      <c r="CA128">
        <v>0</v>
      </c>
      <c r="CB128">
        <v>0</v>
      </c>
      <c r="CC128">
        <v>90010</v>
      </c>
      <c r="CD128">
        <v>2439909</v>
      </c>
      <c r="CE128">
        <v>862479</v>
      </c>
      <c r="CF128">
        <v>0</v>
      </c>
      <c r="CG128">
        <v>29053</v>
      </c>
      <c r="CH128">
        <v>0</v>
      </c>
      <c r="CI128">
        <v>0</v>
      </c>
      <c r="CJ128">
        <v>806263</v>
      </c>
      <c r="CK128">
        <v>1661369</v>
      </c>
      <c r="CL128">
        <v>0</v>
      </c>
      <c r="CM128">
        <v>35914</v>
      </c>
      <c r="CN128">
        <v>0</v>
      </c>
      <c r="CO128">
        <v>62472</v>
      </c>
      <c r="CP128">
        <v>187042</v>
      </c>
      <c r="CQ128">
        <v>410022</v>
      </c>
      <c r="CR128">
        <v>0</v>
      </c>
      <c r="CS128">
        <v>12915685</v>
      </c>
    </row>
    <row r="129" spans="1:97" x14ac:dyDescent="0.3">
      <c r="A129" s="155">
        <v>506</v>
      </c>
      <c r="B129" t="s">
        <v>189</v>
      </c>
      <c r="D129">
        <v>688898</v>
      </c>
      <c r="E129">
        <v>3587105</v>
      </c>
      <c r="F129">
        <v>980006</v>
      </c>
      <c r="G129">
        <v>468605</v>
      </c>
      <c r="H129">
        <v>10670500</v>
      </c>
      <c r="I129">
        <v>1128902</v>
      </c>
      <c r="J129">
        <v>1442563</v>
      </c>
      <c r="K129">
        <v>536149</v>
      </c>
      <c r="L129">
        <v>798557</v>
      </c>
      <c r="M129">
        <v>28615558</v>
      </c>
      <c r="N129">
        <v>595913</v>
      </c>
      <c r="O129">
        <v>428677</v>
      </c>
      <c r="P129">
        <v>3045455</v>
      </c>
      <c r="Q129">
        <v>683878</v>
      </c>
      <c r="R129">
        <v>268934</v>
      </c>
      <c r="S129">
        <v>340214</v>
      </c>
      <c r="T129">
        <v>1412764</v>
      </c>
      <c r="U129">
        <v>7141459</v>
      </c>
      <c r="V129">
        <v>10134140</v>
      </c>
      <c r="W129">
        <v>4201217</v>
      </c>
      <c r="X129">
        <v>3442222</v>
      </c>
      <c r="Y129">
        <v>3078345</v>
      </c>
      <c r="Z129">
        <v>5373575</v>
      </c>
      <c r="AA129">
        <v>1972580</v>
      </c>
      <c r="AB129">
        <v>75899</v>
      </c>
      <c r="AC129">
        <v>3462508</v>
      </c>
      <c r="AD129">
        <v>1596556</v>
      </c>
      <c r="AE129">
        <v>752423</v>
      </c>
      <c r="AF129">
        <v>669582</v>
      </c>
      <c r="AG129">
        <v>11907488</v>
      </c>
      <c r="AH129">
        <v>1412969</v>
      </c>
      <c r="AI129">
        <v>3253289</v>
      </c>
      <c r="AJ129">
        <v>1765026</v>
      </c>
      <c r="AK129">
        <v>915298</v>
      </c>
      <c r="AL129">
        <v>7791259</v>
      </c>
      <c r="AM129">
        <v>3071166</v>
      </c>
      <c r="AN129">
        <v>968662</v>
      </c>
      <c r="AO129">
        <v>932759</v>
      </c>
      <c r="AP129">
        <v>97292</v>
      </c>
      <c r="AQ129">
        <v>3173637</v>
      </c>
      <c r="AR129">
        <v>4464257</v>
      </c>
      <c r="AS129">
        <v>854259</v>
      </c>
      <c r="AT129">
        <v>372742</v>
      </c>
      <c r="AU129">
        <v>1739891</v>
      </c>
      <c r="AV129">
        <v>521804</v>
      </c>
      <c r="AW129">
        <v>72124</v>
      </c>
      <c r="AX129">
        <v>172305</v>
      </c>
      <c r="AY129">
        <v>2911696</v>
      </c>
      <c r="AZ129">
        <v>1099425</v>
      </c>
      <c r="BA129">
        <v>19128283</v>
      </c>
      <c r="BB129">
        <v>4518275</v>
      </c>
      <c r="BC129">
        <v>1795943</v>
      </c>
      <c r="BD129">
        <v>3152658</v>
      </c>
      <c r="BE129">
        <v>1387990</v>
      </c>
      <c r="BF129">
        <v>1657105</v>
      </c>
      <c r="BG129">
        <v>259112</v>
      </c>
      <c r="BH129">
        <v>797497</v>
      </c>
      <c r="BI129">
        <v>2493794</v>
      </c>
      <c r="BJ129">
        <v>5647371</v>
      </c>
      <c r="BK129">
        <v>446987</v>
      </c>
      <c r="BL129">
        <v>270835</v>
      </c>
      <c r="BM129">
        <v>10063705</v>
      </c>
      <c r="BN129">
        <v>10257067</v>
      </c>
      <c r="BO129">
        <v>5598413</v>
      </c>
      <c r="BP129">
        <v>184874</v>
      </c>
      <c r="BQ129">
        <v>3888640</v>
      </c>
      <c r="BR129">
        <v>1410575</v>
      </c>
      <c r="BS129">
        <v>8453212</v>
      </c>
      <c r="BT129">
        <v>1649221</v>
      </c>
      <c r="BU129">
        <v>1621261</v>
      </c>
      <c r="BV129">
        <v>2218367</v>
      </c>
      <c r="BW129">
        <v>2815464</v>
      </c>
      <c r="BX129">
        <v>144894</v>
      </c>
      <c r="BY129">
        <v>1179886</v>
      </c>
      <c r="BZ129">
        <v>1982466</v>
      </c>
      <c r="CA129">
        <v>619821</v>
      </c>
      <c r="CB129">
        <v>1527217</v>
      </c>
      <c r="CC129">
        <v>3427362</v>
      </c>
      <c r="CD129">
        <v>72665172</v>
      </c>
      <c r="CE129">
        <v>26526875</v>
      </c>
      <c r="CF129">
        <v>1319327</v>
      </c>
      <c r="CG129">
        <v>1846667</v>
      </c>
      <c r="CH129">
        <v>198881</v>
      </c>
      <c r="CI129">
        <v>1347198</v>
      </c>
      <c r="CJ129">
        <v>46295886</v>
      </c>
      <c r="CK129">
        <v>10598752</v>
      </c>
      <c r="CL129">
        <v>1029805</v>
      </c>
      <c r="CM129">
        <v>3518868</v>
      </c>
      <c r="CN129">
        <v>888169</v>
      </c>
      <c r="CO129">
        <v>16141890</v>
      </c>
      <c r="CP129">
        <v>3216045</v>
      </c>
      <c r="CQ129">
        <v>1713671</v>
      </c>
      <c r="CR129">
        <v>2975950</v>
      </c>
      <c r="CS129">
        <v>11962535</v>
      </c>
    </row>
    <row r="130" spans="1:97" x14ac:dyDescent="0.3">
      <c r="A130" s="155">
        <v>507</v>
      </c>
      <c r="B130" t="s">
        <v>925</v>
      </c>
      <c r="D130">
        <v>1</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-18063</v>
      </c>
      <c r="AB130">
        <v>0</v>
      </c>
      <c r="AC130">
        <v>0</v>
      </c>
      <c r="AD130">
        <v>0</v>
      </c>
      <c r="AE130">
        <v>0</v>
      </c>
      <c r="AF130">
        <v>0</v>
      </c>
      <c r="AG130">
        <v>0</v>
      </c>
      <c r="AH130">
        <v>0</v>
      </c>
      <c r="AI130">
        <v>0</v>
      </c>
      <c r="AJ130">
        <v>0</v>
      </c>
      <c r="AK130">
        <v>0</v>
      </c>
      <c r="AL130">
        <v>0</v>
      </c>
      <c r="AM130">
        <v>0</v>
      </c>
      <c r="AN130">
        <v>0</v>
      </c>
      <c r="AO130">
        <v>27248</v>
      </c>
      <c r="AP130">
        <v>0</v>
      </c>
      <c r="AQ130">
        <v>0</v>
      </c>
      <c r="AR130">
        <v>1</v>
      </c>
      <c r="AS130">
        <v>906584</v>
      </c>
      <c r="AT130">
        <v>0</v>
      </c>
      <c r="AU130">
        <v>0</v>
      </c>
      <c r="AV130">
        <v>2</v>
      </c>
      <c r="AW130">
        <v>0</v>
      </c>
      <c r="AX130">
        <v>0</v>
      </c>
      <c r="AY130">
        <v>0</v>
      </c>
      <c r="AZ130">
        <v>0</v>
      </c>
      <c r="BA130">
        <v>0</v>
      </c>
      <c r="BB130">
        <v>0</v>
      </c>
      <c r="BC130">
        <v>-990022</v>
      </c>
      <c r="BD130">
        <v>-1</v>
      </c>
      <c r="BE130">
        <v>0</v>
      </c>
      <c r="BF130">
        <v>0</v>
      </c>
      <c r="BG130">
        <v>0</v>
      </c>
      <c r="BH130">
        <v>0</v>
      </c>
      <c r="BI130">
        <v>0</v>
      </c>
      <c r="BJ130">
        <v>0</v>
      </c>
      <c r="BK130">
        <v>22707</v>
      </c>
      <c r="BL130">
        <v>0</v>
      </c>
      <c r="BM130">
        <v>0</v>
      </c>
      <c r="BN130">
        <v>0</v>
      </c>
      <c r="BO130">
        <v>0</v>
      </c>
      <c r="BP130">
        <v>0</v>
      </c>
      <c r="BQ130">
        <v>0</v>
      </c>
      <c r="BR130">
        <v>37576</v>
      </c>
      <c r="BS130">
        <v>0</v>
      </c>
      <c r="BT130">
        <v>0</v>
      </c>
      <c r="BU130">
        <v>0</v>
      </c>
      <c r="BV130">
        <v>0</v>
      </c>
      <c r="BW130">
        <v>43154</v>
      </c>
      <c r="BX130">
        <v>0</v>
      </c>
      <c r="BY130">
        <v>0</v>
      </c>
      <c r="BZ130">
        <v>0</v>
      </c>
      <c r="CA130">
        <v>0</v>
      </c>
      <c r="CB130">
        <v>0</v>
      </c>
      <c r="CC130">
        <v>-2871</v>
      </c>
      <c r="CD130">
        <v>-109812</v>
      </c>
      <c r="CE130">
        <v>0</v>
      </c>
      <c r="CF130">
        <v>27238</v>
      </c>
      <c r="CG130">
        <v>0</v>
      </c>
      <c r="CH130">
        <v>0</v>
      </c>
      <c r="CI130">
        <v>-1</v>
      </c>
      <c r="CJ130">
        <v>0</v>
      </c>
      <c r="CK130">
        <v>0</v>
      </c>
      <c r="CL130">
        <v>0</v>
      </c>
      <c r="CM130">
        <v>-84095</v>
      </c>
      <c r="CN130">
        <v>0</v>
      </c>
      <c r="CO130">
        <v>0</v>
      </c>
      <c r="CP130">
        <v>0</v>
      </c>
      <c r="CQ130">
        <v>0</v>
      </c>
      <c r="CR130">
        <v>0</v>
      </c>
      <c r="CS130">
        <v>0</v>
      </c>
    </row>
    <row r="131" spans="1:97" x14ac:dyDescent="0.3">
      <c r="A131" s="155">
        <v>508</v>
      </c>
      <c r="B131" t="s">
        <v>204</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65280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row>
    <row r="132" spans="1:97" x14ac:dyDescent="0.3">
      <c r="A132" s="155">
        <v>509</v>
      </c>
      <c r="B132" t="s">
        <v>205</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row>
    <row r="133" spans="1:97" x14ac:dyDescent="0.3">
      <c r="A133" s="155">
        <v>510</v>
      </c>
      <c r="B133" t="s">
        <v>211</v>
      </c>
      <c r="D133">
        <v>0</v>
      </c>
      <c r="E133">
        <v>0</v>
      </c>
      <c r="F133">
        <v>17781</v>
      </c>
      <c r="G133">
        <v>0</v>
      </c>
      <c r="H133">
        <v>0</v>
      </c>
      <c r="I133">
        <v>0</v>
      </c>
      <c r="J133">
        <v>0</v>
      </c>
      <c r="K133">
        <v>9060</v>
      </c>
      <c r="L133">
        <v>0</v>
      </c>
      <c r="M133">
        <v>220662</v>
      </c>
      <c r="N133">
        <v>0</v>
      </c>
      <c r="O133">
        <v>0</v>
      </c>
      <c r="P133">
        <v>0</v>
      </c>
      <c r="Q133">
        <v>0</v>
      </c>
      <c r="R133">
        <v>0</v>
      </c>
      <c r="S133">
        <v>0</v>
      </c>
      <c r="T133">
        <v>0</v>
      </c>
      <c r="U133">
        <v>0</v>
      </c>
      <c r="V133">
        <v>0</v>
      </c>
      <c r="W133">
        <v>0</v>
      </c>
      <c r="X133">
        <v>0</v>
      </c>
      <c r="Y133">
        <v>4105</v>
      </c>
      <c r="Z133">
        <v>0</v>
      </c>
      <c r="AA133">
        <v>0</v>
      </c>
      <c r="AB133">
        <v>0</v>
      </c>
      <c r="AC133">
        <v>78583</v>
      </c>
      <c r="AD133">
        <v>0</v>
      </c>
      <c r="AE133">
        <v>0</v>
      </c>
      <c r="AF133">
        <v>0</v>
      </c>
      <c r="AG133">
        <v>353342</v>
      </c>
      <c r="AH133">
        <v>0</v>
      </c>
      <c r="AI133">
        <v>0</v>
      </c>
      <c r="AJ133">
        <v>0</v>
      </c>
      <c r="AK133">
        <v>0</v>
      </c>
      <c r="AL133">
        <v>0</v>
      </c>
      <c r="AM133">
        <v>0</v>
      </c>
      <c r="AN133">
        <v>43953</v>
      </c>
      <c r="AO133">
        <v>64646</v>
      </c>
      <c r="AP133">
        <v>0</v>
      </c>
      <c r="AQ133">
        <v>0</v>
      </c>
      <c r="AR133">
        <v>193809</v>
      </c>
      <c r="AS133">
        <v>0</v>
      </c>
      <c r="AT133">
        <v>0</v>
      </c>
      <c r="AU133">
        <v>0</v>
      </c>
      <c r="AV133">
        <v>0</v>
      </c>
      <c r="AW133">
        <v>0</v>
      </c>
      <c r="AX133">
        <v>0</v>
      </c>
      <c r="AY133">
        <v>151899</v>
      </c>
      <c r="AZ133">
        <v>0</v>
      </c>
      <c r="BA133">
        <v>0</v>
      </c>
      <c r="BB133">
        <v>0</v>
      </c>
      <c r="BC133">
        <v>50186</v>
      </c>
      <c r="BD133">
        <v>0</v>
      </c>
      <c r="BE133">
        <v>9820</v>
      </c>
      <c r="BF133">
        <v>0</v>
      </c>
      <c r="BG133">
        <v>0</v>
      </c>
      <c r="BH133">
        <v>93588</v>
      </c>
      <c r="BI133">
        <v>0</v>
      </c>
      <c r="BJ133">
        <v>148566</v>
      </c>
      <c r="BK133">
        <v>0</v>
      </c>
      <c r="BL133">
        <v>0</v>
      </c>
      <c r="BM133">
        <v>0</v>
      </c>
      <c r="BN133">
        <v>187023</v>
      </c>
      <c r="BO133">
        <v>0</v>
      </c>
      <c r="BP133">
        <v>0</v>
      </c>
      <c r="BQ133">
        <v>0</v>
      </c>
      <c r="BR133">
        <v>76549</v>
      </c>
      <c r="BS133">
        <v>0</v>
      </c>
      <c r="BT133">
        <v>0</v>
      </c>
      <c r="BU133">
        <v>0</v>
      </c>
      <c r="BV133">
        <v>0</v>
      </c>
      <c r="BW133">
        <v>0</v>
      </c>
      <c r="BX133">
        <v>0</v>
      </c>
      <c r="BY133">
        <v>6820</v>
      </c>
      <c r="BZ133">
        <v>0</v>
      </c>
      <c r="CA133">
        <v>0</v>
      </c>
      <c r="CB133">
        <v>506298</v>
      </c>
      <c r="CC133">
        <v>0</v>
      </c>
      <c r="CD133">
        <v>0</v>
      </c>
      <c r="CE133">
        <v>179450</v>
      </c>
      <c r="CF133">
        <v>0</v>
      </c>
      <c r="CG133">
        <v>10088</v>
      </c>
      <c r="CH133">
        <v>0</v>
      </c>
      <c r="CI133">
        <v>0</v>
      </c>
      <c r="CJ133">
        <v>4496297</v>
      </c>
      <c r="CK133">
        <v>82153</v>
      </c>
      <c r="CL133">
        <v>8190</v>
      </c>
      <c r="CM133">
        <v>0</v>
      </c>
      <c r="CN133">
        <v>0</v>
      </c>
      <c r="CO133">
        <v>119749</v>
      </c>
      <c r="CP133">
        <v>124385</v>
      </c>
      <c r="CQ133">
        <v>0</v>
      </c>
      <c r="CR133">
        <v>0</v>
      </c>
      <c r="CS133">
        <v>0</v>
      </c>
    </row>
    <row r="134" spans="1:97" x14ac:dyDescent="0.3">
      <c r="A134" s="155">
        <v>511</v>
      </c>
      <c r="B134" t="s">
        <v>216</v>
      </c>
      <c r="D134">
        <v>0</v>
      </c>
      <c r="E134">
        <v>0</v>
      </c>
      <c r="F134">
        <v>0</v>
      </c>
      <c r="G134">
        <v>0</v>
      </c>
      <c r="H134">
        <v>0</v>
      </c>
      <c r="I134">
        <v>0</v>
      </c>
      <c r="J134">
        <v>0</v>
      </c>
      <c r="K134">
        <v>166122</v>
      </c>
      <c r="L134">
        <v>0</v>
      </c>
      <c r="M134">
        <v>1913157</v>
      </c>
      <c r="N134">
        <v>0</v>
      </c>
      <c r="O134">
        <v>0</v>
      </c>
      <c r="P134">
        <v>0</v>
      </c>
      <c r="Q134">
        <v>0</v>
      </c>
      <c r="R134">
        <v>0</v>
      </c>
      <c r="S134">
        <v>0</v>
      </c>
      <c r="T134">
        <v>0</v>
      </c>
      <c r="U134">
        <v>0</v>
      </c>
      <c r="V134">
        <v>0</v>
      </c>
      <c r="W134">
        <v>0</v>
      </c>
      <c r="X134">
        <v>0</v>
      </c>
      <c r="Y134">
        <v>0</v>
      </c>
      <c r="Z134">
        <v>0</v>
      </c>
      <c r="AA134">
        <v>0</v>
      </c>
      <c r="AB134">
        <v>0</v>
      </c>
      <c r="AC134">
        <v>1360108</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1936596</v>
      </c>
      <c r="BB134">
        <v>0</v>
      </c>
      <c r="BC134">
        <v>0</v>
      </c>
      <c r="BD134">
        <v>0</v>
      </c>
      <c r="BE134">
        <v>0</v>
      </c>
      <c r="BF134">
        <v>0</v>
      </c>
      <c r="BG134">
        <v>0</v>
      </c>
      <c r="BH134">
        <v>0</v>
      </c>
      <c r="BI134">
        <v>0</v>
      </c>
      <c r="BJ134">
        <v>969990</v>
      </c>
      <c r="BK134">
        <v>0</v>
      </c>
      <c r="BL134">
        <v>0</v>
      </c>
      <c r="BM134">
        <v>0</v>
      </c>
      <c r="BN134">
        <v>304385</v>
      </c>
      <c r="BO134">
        <v>0</v>
      </c>
      <c r="BP134">
        <v>0</v>
      </c>
      <c r="BQ134">
        <v>0</v>
      </c>
      <c r="BR134">
        <v>0</v>
      </c>
      <c r="BS134">
        <v>0</v>
      </c>
      <c r="BT134">
        <v>0</v>
      </c>
      <c r="BU134">
        <v>0</v>
      </c>
      <c r="BV134">
        <v>0</v>
      </c>
      <c r="BW134">
        <v>0</v>
      </c>
      <c r="BX134">
        <v>0</v>
      </c>
      <c r="BY134">
        <v>0</v>
      </c>
      <c r="BZ134">
        <v>0</v>
      </c>
      <c r="CA134">
        <v>0</v>
      </c>
      <c r="CB134">
        <v>0</v>
      </c>
      <c r="CC134">
        <v>0</v>
      </c>
      <c r="CD134">
        <v>0</v>
      </c>
      <c r="CE134">
        <v>2180726</v>
      </c>
      <c r="CF134">
        <v>0</v>
      </c>
      <c r="CG134">
        <v>121241</v>
      </c>
      <c r="CH134">
        <v>0</v>
      </c>
      <c r="CI134">
        <v>0</v>
      </c>
      <c r="CJ134">
        <v>0</v>
      </c>
      <c r="CK134">
        <v>690440</v>
      </c>
      <c r="CL134">
        <v>0</v>
      </c>
      <c r="CM134">
        <v>0</v>
      </c>
      <c r="CN134">
        <v>0</v>
      </c>
      <c r="CO134">
        <v>0</v>
      </c>
      <c r="CP134">
        <v>0</v>
      </c>
      <c r="CQ134">
        <v>0</v>
      </c>
      <c r="CR134">
        <v>0</v>
      </c>
      <c r="CS134">
        <v>0</v>
      </c>
    </row>
    <row r="135" spans="1:97" x14ac:dyDescent="0.3">
      <c r="A135" s="155">
        <v>512</v>
      </c>
      <c r="B135" t="s">
        <v>243</v>
      </c>
      <c r="D135">
        <v>0</v>
      </c>
      <c r="E135">
        <v>0</v>
      </c>
      <c r="F135">
        <v>0</v>
      </c>
      <c r="G135">
        <v>0</v>
      </c>
      <c r="H135">
        <v>0</v>
      </c>
      <c r="I135">
        <v>0</v>
      </c>
      <c r="J135">
        <v>0</v>
      </c>
      <c r="K135">
        <v>0</v>
      </c>
      <c r="L135">
        <v>0</v>
      </c>
      <c r="M135">
        <v>0</v>
      </c>
      <c r="N135">
        <v>0</v>
      </c>
      <c r="O135">
        <v>0</v>
      </c>
      <c r="P135">
        <v>0</v>
      </c>
      <c r="Q135">
        <v>0</v>
      </c>
      <c r="R135">
        <v>0</v>
      </c>
      <c r="S135">
        <v>0</v>
      </c>
      <c r="T135">
        <v>0</v>
      </c>
      <c r="U135">
        <v>0</v>
      </c>
      <c r="V135">
        <v>0</v>
      </c>
      <c r="W135">
        <v>4681</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3664816</v>
      </c>
      <c r="CE135">
        <v>0</v>
      </c>
      <c r="CF135">
        <v>0</v>
      </c>
      <c r="CG135">
        <v>0</v>
      </c>
      <c r="CH135">
        <v>0</v>
      </c>
      <c r="CI135">
        <v>0</v>
      </c>
      <c r="CJ135">
        <v>311397063</v>
      </c>
      <c r="CK135">
        <v>0</v>
      </c>
      <c r="CL135">
        <v>0</v>
      </c>
      <c r="CM135">
        <v>0</v>
      </c>
      <c r="CN135">
        <v>0</v>
      </c>
      <c r="CO135">
        <v>0</v>
      </c>
      <c r="CP135">
        <v>0</v>
      </c>
      <c r="CQ135">
        <v>0</v>
      </c>
      <c r="CR135">
        <v>0</v>
      </c>
      <c r="CS135">
        <v>0</v>
      </c>
    </row>
    <row r="136" spans="1:97" x14ac:dyDescent="0.3">
      <c r="A136" s="155">
        <v>513</v>
      </c>
      <c r="B136" t="s">
        <v>249</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row>
    <row r="137" spans="1:97" x14ac:dyDescent="0.3">
      <c r="A137" s="155">
        <v>514</v>
      </c>
      <c r="B137" t="s">
        <v>250</v>
      </c>
      <c r="D137">
        <v>0</v>
      </c>
      <c r="E137">
        <v>0</v>
      </c>
      <c r="F137">
        <v>0</v>
      </c>
      <c r="G137">
        <v>0</v>
      </c>
      <c r="H137">
        <v>0</v>
      </c>
      <c r="I137">
        <v>0</v>
      </c>
      <c r="J137">
        <v>0</v>
      </c>
      <c r="K137">
        <v>389573</v>
      </c>
      <c r="L137">
        <v>0</v>
      </c>
      <c r="M137">
        <v>1652670</v>
      </c>
      <c r="N137">
        <v>0</v>
      </c>
      <c r="O137">
        <v>0</v>
      </c>
      <c r="P137">
        <v>0</v>
      </c>
      <c r="Q137">
        <v>0</v>
      </c>
      <c r="R137">
        <v>0</v>
      </c>
      <c r="S137">
        <v>0</v>
      </c>
      <c r="T137">
        <v>0</v>
      </c>
      <c r="U137">
        <v>0</v>
      </c>
      <c r="V137">
        <v>0</v>
      </c>
      <c r="W137">
        <v>0</v>
      </c>
      <c r="X137">
        <v>0</v>
      </c>
      <c r="Y137">
        <v>0</v>
      </c>
      <c r="Z137">
        <v>0</v>
      </c>
      <c r="AA137">
        <v>0</v>
      </c>
      <c r="AB137">
        <v>0</v>
      </c>
      <c r="AC137">
        <v>1715000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1684341</v>
      </c>
      <c r="BK137">
        <v>0</v>
      </c>
      <c r="BL137">
        <v>0</v>
      </c>
      <c r="BM137">
        <v>0</v>
      </c>
      <c r="BN137">
        <v>1275600</v>
      </c>
      <c r="BO137">
        <v>0</v>
      </c>
      <c r="BP137">
        <v>0</v>
      </c>
      <c r="BQ137">
        <v>0</v>
      </c>
      <c r="BR137">
        <v>0</v>
      </c>
      <c r="BS137">
        <v>0</v>
      </c>
      <c r="BT137">
        <v>0</v>
      </c>
      <c r="BU137">
        <v>0</v>
      </c>
      <c r="BV137">
        <v>0</v>
      </c>
      <c r="BW137">
        <v>0</v>
      </c>
      <c r="BX137">
        <v>0</v>
      </c>
      <c r="BY137">
        <v>0</v>
      </c>
      <c r="BZ137">
        <v>0</v>
      </c>
      <c r="CA137">
        <v>0</v>
      </c>
      <c r="CB137">
        <v>0</v>
      </c>
      <c r="CC137">
        <v>0</v>
      </c>
      <c r="CD137">
        <v>0</v>
      </c>
      <c r="CE137">
        <v>2350160</v>
      </c>
      <c r="CF137">
        <v>0</v>
      </c>
      <c r="CG137">
        <v>950000</v>
      </c>
      <c r="CH137">
        <v>0</v>
      </c>
      <c r="CI137">
        <v>0</v>
      </c>
      <c r="CJ137">
        <v>0</v>
      </c>
      <c r="CK137">
        <v>650000</v>
      </c>
      <c r="CL137">
        <v>0</v>
      </c>
      <c r="CM137">
        <v>0</v>
      </c>
      <c r="CN137">
        <v>0</v>
      </c>
      <c r="CO137">
        <v>0</v>
      </c>
      <c r="CP137">
        <v>0</v>
      </c>
      <c r="CQ137">
        <v>0</v>
      </c>
      <c r="CR137">
        <v>0</v>
      </c>
      <c r="CS137">
        <v>0</v>
      </c>
    </row>
    <row r="138" spans="1:97" x14ac:dyDescent="0.3">
      <c r="A138" s="155">
        <v>515</v>
      </c>
      <c r="B138" t="s">
        <v>262</v>
      </c>
      <c r="D138">
        <v>0</v>
      </c>
      <c r="E138">
        <v>0</v>
      </c>
      <c r="F138">
        <v>118993</v>
      </c>
      <c r="G138">
        <v>0</v>
      </c>
      <c r="H138">
        <v>0</v>
      </c>
      <c r="I138">
        <v>0</v>
      </c>
      <c r="J138">
        <v>50876</v>
      </c>
      <c r="K138">
        <v>36853</v>
      </c>
      <c r="L138">
        <v>0</v>
      </c>
      <c r="M138">
        <v>0</v>
      </c>
      <c r="N138">
        <v>0</v>
      </c>
      <c r="O138">
        <v>0</v>
      </c>
      <c r="P138">
        <v>0</v>
      </c>
      <c r="Q138">
        <v>0</v>
      </c>
      <c r="R138">
        <v>0</v>
      </c>
      <c r="S138">
        <v>10803</v>
      </c>
      <c r="T138">
        <v>0</v>
      </c>
      <c r="U138">
        <v>0</v>
      </c>
      <c r="V138">
        <v>0</v>
      </c>
      <c r="W138">
        <v>0</v>
      </c>
      <c r="X138">
        <v>0</v>
      </c>
      <c r="Y138">
        <v>0</v>
      </c>
      <c r="Z138">
        <v>0</v>
      </c>
      <c r="AA138">
        <v>0</v>
      </c>
      <c r="AB138">
        <v>0</v>
      </c>
      <c r="AC138">
        <v>0</v>
      </c>
      <c r="AD138">
        <v>152945</v>
      </c>
      <c r="AE138">
        <v>0</v>
      </c>
      <c r="AF138">
        <v>0</v>
      </c>
      <c r="AG138">
        <v>7582068</v>
      </c>
      <c r="AH138">
        <v>0</v>
      </c>
      <c r="AI138">
        <v>5000</v>
      </c>
      <c r="AJ138">
        <v>0</v>
      </c>
      <c r="AK138">
        <v>0</v>
      </c>
      <c r="AL138">
        <v>4367</v>
      </c>
      <c r="AM138">
        <v>374517</v>
      </c>
      <c r="AN138">
        <v>2935237</v>
      </c>
      <c r="AO138">
        <v>105011</v>
      </c>
      <c r="AP138">
        <v>0</v>
      </c>
      <c r="AQ138">
        <v>0</v>
      </c>
      <c r="AR138">
        <v>0</v>
      </c>
      <c r="AS138">
        <v>0</v>
      </c>
      <c r="AT138">
        <v>0</v>
      </c>
      <c r="AU138">
        <v>0</v>
      </c>
      <c r="AV138">
        <v>0</v>
      </c>
      <c r="AW138">
        <v>0</v>
      </c>
      <c r="AX138">
        <v>0</v>
      </c>
      <c r="AY138">
        <v>0</v>
      </c>
      <c r="AZ138">
        <v>0</v>
      </c>
      <c r="BA138">
        <v>0</v>
      </c>
      <c r="BB138">
        <v>0</v>
      </c>
      <c r="BC138">
        <v>91344</v>
      </c>
      <c r="BD138">
        <v>0</v>
      </c>
      <c r="BE138">
        <v>0</v>
      </c>
      <c r="BF138">
        <v>0</v>
      </c>
      <c r="BG138">
        <v>0</v>
      </c>
      <c r="BH138">
        <v>0</v>
      </c>
      <c r="BI138">
        <v>0</v>
      </c>
      <c r="BJ138">
        <v>9744404</v>
      </c>
      <c r="BK138">
        <v>0</v>
      </c>
      <c r="BL138">
        <v>0</v>
      </c>
      <c r="BM138">
        <v>0</v>
      </c>
      <c r="BN138">
        <v>10522228</v>
      </c>
      <c r="BO138">
        <v>0</v>
      </c>
      <c r="BP138">
        <v>0</v>
      </c>
      <c r="BQ138">
        <v>0</v>
      </c>
      <c r="BR138">
        <v>116102</v>
      </c>
      <c r="BS138">
        <v>0</v>
      </c>
      <c r="BT138">
        <v>0</v>
      </c>
      <c r="BU138">
        <v>0</v>
      </c>
      <c r="BV138">
        <v>0</v>
      </c>
      <c r="BW138">
        <v>0</v>
      </c>
      <c r="BX138">
        <v>3436</v>
      </c>
      <c r="BY138">
        <v>0</v>
      </c>
      <c r="BZ138">
        <v>0</v>
      </c>
      <c r="CA138">
        <v>0</v>
      </c>
      <c r="CB138">
        <v>0</v>
      </c>
      <c r="CC138">
        <v>241512</v>
      </c>
      <c r="CD138">
        <v>0</v>
      </c>
      <c r="CE138">
        <v>11335426</v>
      </c>
      <c r="CF138">
        <v>0</v>
      </c>
      <c r="CG138">
        <v>0</v>
      </c>
      <c r="CH138">
        <v>0</v>
      </c>
      <c r="CI138">
        <v>1249236</v>
      </c>
      <c r="CJ138">
        <v>281346328</v>
      </c>
      <c r="CK138">
        <v>0</v>
      </c>
      <c r="CL138">
        <v>21286</v>
      </c>
      <c r="CM138">
        <v>0</v>
      </c>
      <c r="CN138">
        <v>0</v>
      </c>
      <c r="CO138">
        <v>0</v>
      </c>
      <c r="CP138">
        <v>0</v>
      </c>
      <c r="CQ138">
        <v>627039</v>
      </c>
      <c r="CR138">
        <v>0</v>
      </c>
      <c r="CS138">
        <v>0</v>
      </c>
    </row>
    <row r="139" spans="1:97" x14ac:dyDescent="0.3">
      <c r="A139" s="155">
        <v>516</v>
      </c>
      <c r="B139" t="s">
        <v>263</v>
      </c>
      <c r="D139">
        <v>0</v>
      </c>
      <c r="E139">
        <v>0</v>
      </c>
      <c r="F139">
        <v>6940047</v>
      </c>
      <c r="G139">
        <v>0</v>
      </c>
      <c r="H139">
        <v>0</v>
      </c>
      <c r="I139">
        <v>5958984</v>
      </c>
      <c r="J139">
        <v>21136505</v>
      </c>
      <c r="K139">
        <v>11114875</v>
      </c>
      <c r="L139">
        <v>4646326</v>
      </c>
      <c r="M139">
        <v>121265952</v>
      </c>
      <c r="N139">
        <v>7563798</v>
      </c>
      <c r="O139">
        <v>0</v>
      </c>
      <c r="P139">
        <v>4601210</v>
      </c>
      <c r="Q139">
        <v>10608739</v>
      </c>
      <c r="R139">
        <v>0</v>
      </c>
      <c r="S139">
        <v>5562154</v>
      </c>
      <c r="T139">
        <v>0</v>
      </c>
      <c r="U139">
        <v>0</v>
      </c>
      <c r="V139">
        <v>0</v>
      </c>
      <c r="W139">
        <v>52672954</v>
      </c>
      <c r="X139">
        <v>0</v>
      </c>
      <c r="Y139">
        <v>3319205</v>
      </c>
      <c r="Z139">
        <v>0</v>
      </c>
      <c r="AA139">
        <v>15430906</v>
      </c>
      <c r="AB139">
        <v>0</v>
      </c>
      <c r="AC139">
        <v>39328939</v>
      </c>
      <c r="AD139">
        <v>17782323</v>
      </c>
      <c r="AE139">
        <v>1507187</v>
      </c>
      <c r="AF139">
        <v>4342728</v>
      </c>
      <c r="AG139">
        <v>38211904</v>
      </c>
      <c r="AH139">
        <v>0</v>
      </c>
      <c r="AI139">
        <v>5826567</v>
      </c>
      <c r="AJ139">
        <v>0</v>
      </c>
      <c r="AK139">
        <v>5317219</v>
      </c>
      <c r="AL139">
        <v>30799951</v>
      </c>
      <c r="AM139">
        <v>21478720</v>
      </c>
      <c r="AN139">
        <v>13246550</v>
      </c>
      <c r="AO139">
        <v>13997408</v>
      </c>
      <c r="AP139">
        <v>0</v>
      </c>
      <c r="AQ139">
        <v>0</v>
      </c>
      <c r="AR139">
        <v>46362919</v>
      </c>
      <c r="AS139">
        <v>6416245</v>
      </c>
      <c r="AT139">
        <v>0</v>
      </c>
      <c r="AU139">
        <v>0</v>
      </c>
      <c r="AV139">
        <v>0</v>
      </c>
      <c r="AW139">
        <v>0</v>
      </c>
      <c r="AX139">
        <v>1063713</v>
      </c>
      <c r="AY139">
        <v>20613102</v>
      </c>
      <c r="AZ139">
        <v>0</v>
      </c>
      <c r="BA139">
        <v>0</v>
      </c>
      <c r="BB139">
        <v>0</v>
      </c>
      <c r="BC139">
        <v>30319818</v>
      </c>
      <c r="BD139">
        <v>0</v>
      </c>
      <c r="BE139">
        <v>6334340</v>
      </c>
      <c r="BF139">
        <v>4006906</v>
      </c>
      <c r="BG139">
        <v>2460688</v>
      </c>
      <c r="BH139">
        <v>6023025</v>
      </c>
      <c r="BI139">
        <v>24467012</v>
      </c>
      <c r="BJ139">
        <v>59714910</v>
      </c>
      <c r="BK139">
        <v>0</v>
      </c>
      <c r="BL139">
        <v>0</v>
      </c>
      <c r="BM139">
        <v>0</v>
      </c>
      <c r="BN139">
        <v>35523424</v>
      </c>
      <c r="BO139">
        <v>16217205</v>
      </c>
      <c r="BP139">
        <v>0</v>
      </c>
      <c r="BQ139">
        <v>0</v>
      </c>
      <c r="BR139">
        <v>12872854</v>
      </c>
      <c r="BS139">
        <v>0</v>
      </c>
      <c r="BT139">
        <v>0</v>
      </c>
      <c r="BU139">
        <v>0</v>
      </c>
      <c r="BV139">
        <v>15870990</v>
      </c>
      <c r="BW139">
        <v>0</v>
      </c>
      <c r="BX139">
        <v>3463983</v>
      </c>
      <c r="BY139">
        <v>7064379</v>
      </c>
      <c r="BZ139">
        <v>25680104</v>
      </c>
      <c r="CA139">
        <v>688680</v>
      </c>
      <c r="CB139">
        <v>44697103</v>
      </c>
      <c r="CC139">
        <v>29485879</v>
      </c>
      <c r="CD139">
        <v>0</v>
      </c>
      <c r="CE139">
        <v>194810468</v>
      </c>
      <c r="CF139">
        <v>6683482</v>
      </c>
      <c r="CG139">
        <v>11024843</v>
      </c>
      <c r="CH139">
        <v>7788988</v>
      </c>
      <c r="CI139">
        <v>10007504</v>
      </c>
      <c r="CJ139">
        <v>1022588812</v>
      </c>
      <c r="CK139">
        <v>11972174</v>
      </c>
      <c r="CL139">
        <v>7246427</v>
      </c>
      <c r="CM139">
        <v>0</v>
      </c>
      <c r="CN139">
        <v>2449910</v>
      </c>
      <c r="CO139">
        <v>9768894</v>
      </c>
      <c r="CP139">
        <v>22698461</v>
      </c>
      <c r="CQ139">
        <v>15743848</v>
      </c>
      <c r="CR139">
        <v>0</v>
      </c>
      <c r="CS139">
        <v>0</v>
      </c>
    </row>
    <row r="140" spans="1:97" x14ac:dyDescent="0.3">
      <c r="A140" s="155">
        <v>517</v>
      </c>
      <c r="B140" t="s">
        <v>264</v>
      </c>
      <c r="D140">
        <v>0</v>
      </c>
      <c r="E140">
        <v>0</v>
      </c>
      <c r="F140">
        <v>0</v>
      </c>
      <c r="G140">
        <v>0</v>
      </c>
      <c r="H140">
        <v>0</v>
      </c>
      <c r="I140">
        <v>0</v>
      </c>
      <c r="J140">
        <v>0</v>
      </c>
      <c r="K140">
        <v>0</v>
      </c>
      <c r="L140">
        <v>0</v>
      </c>
      <c r="M140">
        <v>0</v>
      </c>
      <c r="N140">
        <v>0</v>
      </c>
      <c r="O140">
        <v>0</v>
      </c>
      <c r="P140">
        <v>0</v>
      </c>
      <c r="Q140">
        <v>0</v>
      </c>
      <c r="R140">
        <v>0</v>
      </c>
      <c r="S140">
        <v>5890</v>
      </c>
      <c r="T140">
        <v>0</v>
      </c>
      <c r="U140">
        <v>0</v>
      </c>
      <c r="V140">
        <v>0</v>
      </c>
      <c r="W140">
        <v>0</v>
      </c>
      <c r="X140">
        <v>0</v>
      </c>
      <c r="Y140">
        <v>0</v>
      </c>
      <c r="Z140">
        <v>0</v>
      </c>
      <c r="AA140">
        <v>0</v>
      </c>
      <c r="AB140">
        <v>0</v>
      </c>
      <c r="AC140">
        <v>0</v>
      </c>
      <c r="AD140">
        <v>0</v>
      </c>
      <c r="AE140">
        <v>0</v>
      </c>
      <c r="AF140">
        <v>0</v>
      </c>
      <c r="AG140">
        <v>61119750</v>
      </c>
      <c r="AH140">
        <v>0</v>
      </c>
      <c r="AI140">
        <v>0</v>
      </c>
      <c r="AJ140">
        <v>0</v>
      </c>
      <c r="AK140">
        <v>0</v>
      </c>
      <c r="AL140">
        <v>0</v>
      </c>
      <c r="AM140">
        <v>0</v>
      </c>
      <c r="AN140">
        <v>0</v>
      </c>
      <c r="AO140">
        <v>0</v>
      </c>
      <c r="AP140">
        <v>0</v>
      </c>
      <c r="AQ140">
        <v>0</v>
      </c>
      <c r="AR140">
        <v>0</v>
      </c>
      <c r="AS140">
        <v>436679</v>
      </c>
      <c r="AT140">
        <v>0</v>
      </c>
      <c r="AU140">
        <v>0</v>
      </c>
      <c r="AV140">
        <v>0</v>
      </c>
      <c r="AW140">
        <v>0</v>
      </c>
      <c r="AX140">
        <v>0</v>
      </c>
      <c r="AY140">
        <v>0</v>
      </c>
      <c r="AZ140">
        <v>4757339</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1069686</v>
      </c>
      <c r="CJ140">
        <v>0</v>
      </c>
      <c r="CK140">
        <v>0</v>
      </c>
      <c r="CL140">
        <v>0</v>
      </c>
      <c r="CM140">
        <v>0</v>
      </c>
      <c r="CN140">
        <v>0</v>
      </c>
      <c r="CO140">
        <v>0</v>
      </c>
      <c r="CP140">
        <v>0</v>
      </c>
      <c r="CQ140">
        <v>0</v>
      </c>
      <c r="CR140">
        <v>0</v>
      </c>
      <c r="CS140">
        <v>0</v>
      </c>
    </row>
    <row r="141" spans="1:97" x14ac:dyDescent="0.3">
      <c r="A141" s="155">
        <v>518</v>
      </c>
      <c r="B141" t="s">
        <v>265</v>
      </c>
      <c r="D141">
        <v>0</v>
      </c>
      <c r="E141">
        <v>0</v>
      </c>
      <c r="F141">
        <v>995143</v>
      </c>
      <c r="G141">
        <v>0</v>
      </c>
      <c r="H141">
        <v>0</v>
      </c>
      <c r="I141">
        <v>0</v>
      </c>
      <c r="J141">
        <v>462696</v>
      </c>
      <c r="K141">
        <v>511336</v>
      </c>
      <c r="L141">
        <v>252950</v>
      </c>
      <c r="M141">
        <v>6003993</v>
      </c>
      <c r="N141">
        <v>46643</v>
      </c>
      <c r="O141">
        <v>0</v>
      </c>
      <c r="P141">
        <v>9000</v>
      </c>
      <c r="Q141">
        <v>725347</v>
      </c>
      <c r="R141">
        <v>0</v>
      </c>
      <c r="S141">
        <v>165341</v>
      </c>
      <c r="T141">
        <v>0</v>
      </c>
      <c r="U141">
        <v>0</v>
      </c>
      <c r="V141">
        <v>0</v>
      </c>
      <c r="W141">
        <v>833619</v>
      </c>
      <c r="X141">
        <v>0</v>
      </c>
      <c r="Y141">
        <v>115924</v>
      </c>
      <c r="Z141">
        <v>0</v>
      </c>
      <c r="AA141">
        <v>114194</v>
      </c>
      <c r="AB141">
        <v>0</v>
      </c>
      <c r="AC141">
        <v>2803678</v>
      </c>
      <c r="AD141">
        <v>1458654</v>
      </c>
      <c r="AE141">
        <v>9619</v>
      </c>
      <c r="AF141">
        <v>30988</v>
      </c>
      <c r="AG141">
        <v>4856336</v>
      </c>
      <c r="AH141">
        <v>0</v>
      </c>
      <c r="AI141">
        <v>326525</v>
      </c>
      <c r="AJ141">
        <v>0</v>
      </c>
      <c r="AK141">
        <v>10314</v>
      </c>
      <c r="AL141">
        <v>149037</v>
      </c>
      <c r="AM141">
        <v>1464859</v>
      </c>
      <c r="AN141">
        <v>2058741</v>
      </c>
      <c r="AO141">
        <v>1698678</v>
      </c>
      <c r="AP141">
        <v>568799</v>
      </c>
      <c r="AQ141">
        <v>0</v>
      </c>
      <c r="AR141">
        <v>2052254</v>
      </c>
      <c r="AS141">
        <v>137572</v>
      </c>
      <c r="AT141">
        <v>0</v>
      </c>
      <c r="AU141">
        <v>0</v>
      </c>
      <c r="AV141">
        <v>0</v>
      </c>
      <c r="AW141">
        <v>0</v>
      </c>
      <c r="AX141">
        <v>3513</v>
      </c>
      <c r="AY141">
        <v>1469727</v>
      </c>
      <c r="AZ141">
        <v>108055</v>
      </c>
      <c r="BA141">
        <v>0</v>
      </c>
      <c r="BB141">
        <v>0</v>
      </c>
      <c r="BC141">
        <v>1909874</v>
      </c>
      <c r="BD141">
        <v>0</v>
      </c>
      <c r="BE141">
        <v>614978</v>
      </c>
      <c r="BF141">
        <v>0</v>
      </c>
      <c r="BG141">
        <v>73206</v>
      </c>
      <c r="BH141">
        <v>5532874</v>
      </c>
      <c r="BI141">
        <v>486279</v>
      </c>
      <c r="BJ141">
        <v>7970202</v>
      </c>
      <c r="BK141">
        <v>0</v>
      </c>
      <c r="BL141">
        <v>0</v>
      </c>
      <c r="BM141">
        <v>0</v>
      </c>
      <c r="BN141">
        <v>2892519</v>
      </c>
      <c r="BO141">
        <v>1764307</v>
      </c>
      <c r="BP141">
        <v>0</v>
      </c>
      <c r="BQ141">
        <v>0</v>
      </c>
      <c r="BR141">
        <v>1215334</v>
      </c>
      <c r="BS141">
        <v>0</v>
      </c>
      <c r="BT141">
        <v>0</v>
      </c>
      <c r="BU141">
        <v>0</v>
      </c>
      <c r="BV141">
        <v>966091</v>
      </c>
      <c r="BW141">
        <v>0</v>
      </c>
      <c r="BX141">
        <v>0</v>
      </c>
      <c r="BY141">
        <v>761318</v>
      </c>
      <c r="BZ141">
        <v>1779820</v>
      </c>
      <c r="CA141">
        <v>0</v>
      </c>
      <c r="CB141">
        <v>4407507</v>
      </c>
      <c r="CC141">
        <v>1211314</v>
      </c>
      <c r="CD141">
        <v>0</v>
      </c>
      <c r="CE141">
        <v>16998851</v>
      </c>
      <c r="CF141">
        <v>0</v>
      </c>
      <c r="CG141">
        <v>203523</v>
      </c>
      <c r="CH141">
        <v>27590</v>
      </c>
      <c r="CI141">
        <v>687255</v>
      </c>
      <c r="CJ141">
        <v>27367689</v>
      </c>
      <c r="CK141">
        <v>955420</v>
      </c>
      <c r="CL141">
        <v>284804</v>
      </c>
      <c r="CM141">
        <v>0</v>
      </c>
      <c r="CN141">
        <v>1563725</v>
      </c>
      <c r="CO141">
        <v>1431804</v>
      </c>
      <c r="CP141">
        <v>3129449</v>
      </c>
      <c r="CQ141">
        <v>1108018</v>
      </c>
      <c r="CR141">
        <v>0</v>
      </c>
      <c r="CS141">
        <v>0</v>
      </c>
    </row>
    <row r="142" spans="1:97" x14ac:dyDescent="0.3">
      <c r="A142" s="155">
        <v>519</v>
      </c>
      <c r="B142" t="s">
        <v>266</v>
      </c>
      <c r="D142">
        <v>0</v>
      </c>
      <c r="E142">
        <v>0</v>
      </c>
      <c r="F142">
        <v>621</v>
      </c>
      <c r="G142">
        <v>0</v>
      </c>
      <c r="H142">
        <v>0</v>
      </c>
      <c r="I142">
        <v>0</v>
      </c>
      <c r="J142">
        <v>1030</v>
      </c>
      <c r="K142">
        <v>925</v>
      </c>
      <c r="L142">
        <v>0</v>
      </c>
      <c r="M142">
        <v>0</v>
      </c>
      <c r="N142">
        <v>0</v>
      </c>
      <c r="O142">
        <v>0</v>
      </c>
      <c r="P142">
        <v>0</v>
      </c>
      <c r="Q142">
        <v>0</v>
      </c>
      <c r="R142">
        <v>0</v>
      </c>
      <c r="S142">
        <v>400</v>
      </c>
      <c r="T142">
        <v>0</v>
      </c>
      <c r="U142">
        <v>0</v>
      </c>
      <c r="V142">
        <v>0</v>
      </c>
      <c r="W142">
        <v>0</v>
      </c>
      <c r="X142">
        <v>0</v>
      </c>
      <c r="Y142">
        <v>0</v>
      </c>
      <c r="Z142">
        <v>0</v>
      </c>
      <c r="AA142">
        <v>0</v>
      </c>
      <c r="AB142">
        <v>0</v>
      </c>
      <c r="AC142">
        <v>0</v>
      </c>
      <c r="AD142">
        <v>8686</v>
      </c>
      <c r="AE142">
        <v>0</v>
      </c>
      <c r="AF142">
        <v>0</v>
      </c>
      <c r="AG142">
        <v>58000</v>
      </c>
      <c r="AH142">
        <v>0</v>
      </c>
      <c r="AI142">
        <v>67</v>
      </c>
      <c r="AJ142">
        <v>0</v>
      </c>
      <c r="AK142">
        <v>0</v>
      </c>
      <c r="AL142">
        <v>146</v>
      </c>
      <c r="AM142">
        <v>9572</v>
      </c>
      <c r="AN142">
        <v>62744</v>
      </c>
      <c r="AO142">
        <v>1574</v>
      </c>
      <c r="AP142">
        <v>0</v>
      </c>
      <c r="AQ142">
        <v>0</v>
      </c>
      <c r="AR142">
        <v>0</v>
      </c>
      <c r="AS142">
        <v>0</v>
      </c>
      <c r="AT142">
        <v>0</v>
      </c>
      <c r="AU142">
        <v>0</v>
      </c>
      <c r="AV142">
        <v>0</v>
      </c>
      <c r="AW142">
        <v>0</v>
      </c>
      <c r="AX142">
        <v>0</v>
      </c>
      <c r="AY142">
        <v>0</v>
      </c>
      <c r="AZ142">
        <v>0</v>
      </c>
      <c r="BA142">
        <v>0</v>
      </c>
      <c r="BB142">
        <v>0</v>
      </c>
      <c r="BC142">
        <v>3189</v>
      </c>
      <c r="BD142">
        <v>0</v>
      </c>
      <c r="BE142">
        <v>0</v>
      </c>
      <c r="BF142">
        <v>0</v>
      </c>
      <c r="BG142">
        <v>0</v>
      </c>
      <c r="BH142">
        <v>0</v>
      </c>
      <c r="BI142">
        <v>0</v>
      </c>
      <c r="BJ142">
        <v>193424</v>
      </c>
      <c r="BK142">
        <v>0</v>
      </c>
      <c r="BL142">
        <v>0</v>
      </c>
      <c r="BM142">
        <v>0</v>
      </c>
      <c r="BN142">
        <v>205213</v>
      </c>
      <c r="BO142">
        <v>0</v>
      </c>
      <c r="BP142">
        <v>0</v>
      </c>
      <c r="BQ142">
        <v>0</v>
      </c>
      <c r="BR142">
        <v>3607</v>
      </c>
      <c r="BS142">
        <v>0</v>
      </c>
      <c r="BT142">
        <v>0</v>
      </c>
      <c r="BU142">
        <v>0</v>
      </c>
      <c r="BV142">
        <v>0</v>
      </c>
      <c r="BW142">
        <v>0</v>
      </c>
      <c r="BX142">
        <v>0</v>
      </c>
      <c r="BY142">
        <v>0</v>
      </c>
      <c r="BZ142">
        <v>0</v>
      </c>
      <c r="CA142">
        <v>0</v>
      </c>
      <c r="CB142">
        <v>0</v>
      </c>
      <c r="CC142">
        <v>7907</v>
      </c>
      <c r="CD142">
        <v>0</v>
      </c>
      <c r="CE142">
        <v>198585</v>
      </c>
      <c r="CF142">
        <v>0</v>
      </c>
      <c r="CG142">
        <v>0</v>
      </c>
      <c r="CH142">
        <v>0</v>
      </c>
      <c r="CI142">
        <v>31321</v>
      </c>
      <c r="CJ142">
        <v>6574218</v>
      </c>
      <c r="CK142">
        <v>0</v>
      </c>
      <c r="CL142">
        <v>0</v>
      </c>
      <c r="CM142">
        <v>0</v>
      </c>
      <c r="CN142">
        <v>0</v>
      </c>
      <c r="CO142">
        <v>0</v>
      </c>
      <c r="CP142">
        <v>0</v>
      </c>
      <c r="CQ142">
        <v>12523</v>
      </c>
      <c r="CR142">
        <v>0</v>
      </c>
      <c r="CS142">
        <v>0</v>
      </c>
    </row>
    <row r="143" spans="1:97" x14ac:dyDescent="0.3">
      <c r="A143" s="155">
        <v>520</v>
      </c>
      <c r="B143" t="s">
        <v>267</v>
      </c>
      <c r="D143">
        <v>0</v>
      </c>
      <c r="E143">
        <v>0</v>
      </c>
      <c r="F143">
        <v>155197</v>
      </c>
      <c r="G143">
        <v>0</v>
      </c>
      <c r="H143">
        <v>0</v>
      </c>
      <c r="I143">
        <v>128244</v>
      </c>
      <c r="J143">
        <v>477491</v>
      </c>
      <c r="K143">
        <v>295621</v>
      </c>
      <c r="L143">
        <v>33654</v>
      </c>
      <c r="M143">
        <v>3461021</v>
      </c>
      <c r="N143">
        <v>173468</v>
      </c>
      <c r="O143">
        <v>0</v>
      </c>
      <c r="P143">
        <v>114912</v>
      </c>
      <c r="Q143">
        <v>245052</v>
      </c>
      <c r="R143">
        <v>0</v>
      </c>
      <c r="S143">
        <v>82554</v>
      </c>
      <c r="T143">
        <v>0</v>
      </c>
      <c r="U143">
        <v>0</v>
      </c>
      <c r="V143">
        <v>0</v>
      </c>
      <c r="W143">
        <v>1066863</v>
      </c>
      <c r="X143">
        <v>0</v>
      </c>
      <c r="Y143">
        <v>106264</v>
      </c>
      <c r="Z143">
        <v>0</v>
      </c>
      <c r="AA143">
        <v>328630</v>
      </c>
      <c r="AB143">
        <v>0</v>
      </c>
      <c r="AC143">
        <v>995401</v>
      </c>
      <c r="AD143">
        <v>555510</v>
      </c>
      <c r="AE143">
        <v>39474</v>
      </c>
      <c r="AF143">
        <v>108994</v>
      </c>
      <c r="AG143">
        <v>1679723</v>
      </c>
      <c r="AH143">
        <v>0</v>
      </c>
      <c r="AI143">
        <v>133559</v>
      </c>
      <c r="AJ143">
        <v>0</v>
      </c>
      <c r="AK143">
        <v>132931</v>
      </c>
      <c r="AL143">
        <v>769301</v>
      </c>
      <c r="AM143">
        <v>420144</v>
      </c>
      <c r="AN143">
        <v>121621</v>
      </c>
      <c r="AO143">
        <v>216755</v>
      </c>
      <c r="AP143">
        <v>0</v>
      </c>
      <c r="AQ143">
        <v>0</v>
      </c>
      <c r="AR143">
        <v>1016946</v>
      </c>
      <c r="AS143">
        <v>153191</v>
      </c>
      <c r="AT143">
        <v>0</v>
      </c>
      <c r="AU143">
        <v>0</v>
      </c>
      <c r="AV143">
        <v>0</v>
      </c>
      <c r="AW143">
        <v>0</v>
      </c>
      <c r="AX143">
        <v>26593</v>
      </c>
      <c r="AY143">
        <v>265602</v>
      </c>
      <c r="AZ143">
        <v>0</v>
      </c>
      <c r="BA143">
        <v>0</v>
      </c>
      <c r="BB143">
        <v>0</v>
      </c>
      <c r="BC143">
        <v>584397</v>
      </c>
      <c r="BD143">
        <v>0</v>
      </c>
      <c r="BE143">
        <v>109481</v>
      </c>
      <c r="BF143">
        <v>123448</v>
      </c>
      <c r="BG143">
        <v>55968</v>
      </c>
      <c r="BH143">
        <v>231744</v>
      </c>
      <c r="BI143">
        <v>611675</v>
      </c>
      <c r="BJ143">
        <v>1145078</v>
      </c>
      <c r="BK143">
        <v>0</v>
      </c>
      <c r="BL143">
        <v>0</v>
      </c>
      <c r="BM143">
        <v>0</v>
      </c>
      <c r="BN143">
        <v>738400</v>
      </c>
      <c r="BO143">
        <v>329145</v>
      </c>
      <c r="BP143">
        <v>0</v>
      </c>
      <c r="BQ143">
        <v>0</v>
      </c>
      <c r="BR143">
        <v>236089</v>
      </c>
      <c r="BS143">
        <v>0</v>
      </c>
      <c r="BT143">
        <v>0</v>
      </c>
      <c r="BU143">
        <v>0</v>
      </c>
      <c r="BV143">
        <v>301706</v>
      </c>
      <c r="BW143">
        <v>0</v>
      </c>
      <c r="BX143">
        <v>71275</v>
      </c>
      <c r="BY143">
        <v>134331</v>
      </c>
      <c r="BZ143">
        <v>423670</v>
      </c>
      <c r="CA143">
        <v>17217</v>
      </c>
      <c r="CB143">
        <v>832274</v>
      </c>
      <c r="CC143">
        <v>839300</v>
      </c>
      <c r="CD143">
        <v>0</v>
      </c>
      <c r="CE143">
        <v>2716267</v>
      </c>
      <c r="CF143">
        <v>165196</v>
      </c>
      <c r="CG143">
        <v>229913</v>
      </c>
      <c r="CH143">
        <v>154072</v>
      </c>
      <c r="CI143">
        <v>201396</v>
      </c>
      <c r="CJ143">
        <v>22694167</v>
      </c>
      <c r="CK143">
        <v>489603</v>
      </c>
      <c r="CL143">
        <v>127085</v>
      </c>
      <c r="CM143">
        <v>0</v>
      </c>
      <c r="CN143">
        <v>60305</v>
      </c>
      <c r="CO143">
        <v>185040</v>
      </c>
      <c r="CP143">
        <v>538607</v>
      </c>
      <c r="CQ143">
        <v>302438</v>
      </c>
      <c r="CR143">
        <v>0</v>
      </c>
      <c r="CS143">
        <v>0</v>
      </c>
    </row>
    <row r="144" spans="1:97" x14ac:dyDescent="0.3">
      <c r="A144" s="155">
        <v>521</v>
      </c>
      <c r="B144" t="s">
        <v>268</v>
      </c>
      <c r="D144">
        <v>0</v>
      </c>
      <c r="E144">
        <v>0</v>
      </c>
      <c r="F144">
        <v>0</v>
      </c>
      <c r="G144">
        <v>0</v>
      </c>
      <c r="H144">
        <v>0</v>
      </c>
      <c r="I144">
        <v>0</v>
      </c>
      <c r="J144">
        <v>0</v>
      </c>
      <c r="K144">
        <v>0</v>
      </c>
      <c r="L144">
        <v>0</v>
      </c>
      <c r="M144">
        <v>0</v>
      </c>
      <c r="N144">
        <v>0</v>
      </c>
      <c r="O144">
        <v>0</v>
      </c>
      <c r="P144">
        <v>0</v>
      </c>
      <c r="Q144">
        <v>0</v>
      </c>
      <c r="R144">
        <v>0</v>
      </c>
      <c r="S144">
        <v>125</v>
      </c>
      <c r="T144">
        <v>0</v>
      </c>
      <c r="U144">
        <v>0</v>
      </c>
      <c r="V144">
        <v>0</v>
      </c>
      <c r="W144">
        <v>0</v>
      </c>
      <c r="X144">
        <v>0</v>
      </c>
      <c r="Y144">
        <v>0</v>
      </c>
      <c r="Z144">
        <v>0</v>
      </c>
      <c r="AA144">
        <v>0</v>
      </c>
      <c r="AB144">
        <v>0</v>
      </c>
      <c r="AC144">
        <v>0</v>
      </c>
      <c r="AD144">
        <v>0</v>
      </c>
      <c r="AE144">
        <v>0</v>
      </c>
      <c r="AF144">
        <v>0</v>
      </c>
      <c r="AG144">
        <v>1689686</v>
      </c>
      <c r="AH144">
        <v>0</v>
      </c>
      <c r="AI144">
        <v>0</v>
      </c>
      <c r="AJ144">
        <v>0</v>
      </c>
      <c r="AK144">
        <v>0</v>
      </c>
      <c r="AL144">
        <v>0</v>
      </c>
      <c r="AM144">
        <v>0</v>
      </c>
      <c r="AN144">
        <v>0</v>
      </c>
      <c r="AO144">
        <v>0</v>
      </c>
      <c r="AP144">
        <v>0</v>
      </c>
      <c r="AQ144">
        <v>0</v>
      </c>
      <c r="AR144">
        <v>0</v>
      </c>
      <c r="AS144">
        <v>9799</v>
      </c>
      <c r="AT144">
        <v>0</v>
      </c>
      <c r="AU144">
        <v>0</v>
      </c>
      <c r="AV144">
        <v>0</v>
      </c>
      <c r="AW144">
        <v>0</v>
      </c>
      <c r="AX144">
        <v>0</v>
      </c>
      <c r="AY144">
        <v>0</v>
      </c>
      <c r="AZ144">
        <v>93348</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852513</v>
      </c>
      <c r="CF144">
        <v>0</v>
      </c>
      <c r="CG144">
        <v>0</v>
      </c>
      <c r="CH144">
        <v>0</v>
      </c>
      <c r="CI144">
        <v>14084</v>
      </c>
      <c r="CJ144">
        <v>0</v>
      </c>
      <c r="CK144">
        <v>0</v>
      </c>
      <c r="CL144">
        <v>0</v>
      </c>
      <c r="CM144">
        <v>0</v>
      </c>
      <c r="CN144">
        <v>0</v>
      </c>
      <c r="CO144">
        <v>0</v>
      </c>
      <c r="CP144">
        <v>0</v>
      </c>
      <c r="CQ144">
        <v>0</v>
      </c>
      <c r="CR144">
        <v>0</v>
      </c>
      <c r="CS144">
        <v>0</v>
      </c>
    </row>
    <row r="145" spans="1:97" x14ac:dyDescent="0.3">
      <c r="A145" s="155">
        <v>522</v>
      </c>
      <c r="B145" t="s">
        <v>269</v>
      </c>
      <c r="D145">
        <v>0</v>
      </c>
      <c r="E145">
        <v>0</v>
      </c>
      <c r="F145">
        <v>14803</v>
      </c>
      <c r="G145">
        <v>0</v>
      </c>
      <c r="H145">
        <v>0</v>
      </c>
      <c r="I145">
        <v>0</v>
      </c>
      <c r="J145">
        <v>25642</v>
      </c>
      <c r="K145">
        <v>34124</v>
      </c>
      <c r="L145">
        <v>8441</v>
      </c>
      <c r="M145">
        <v>338934</v>
      </c>
      <c r="N145">
        <v>4799</v>
      </c>
      <c r="O145">
        <v>0</v>
      </c>
      <c r="P145">
        <v>1800</v>
      </c>
      <c r="Q145">
        <v>38629</v>
      </c>
      <c r="R145">
        <v>0</v>
      </c>
      <c r="S145">
        <v>4256</v>
      </c>
      <c r="T145">
        <v>0</v>
      </c>
      <c r="U145">
        <v>0</v>
      </c>
      <c r="V145">
        <v>0</v>
      </c>
      <c r="W145">
        <v>64748</v>
      </c>
      <c r="X145">
        <v>0</v>
      </c>
      <c r="Y145">
        <v>3094</v>
      </c>
      <c r="Z145">
        <v>0</v>
      </c>
      <c r="AA145">
        <v>11695</v>
      </c>
      <c r="AB145">
        <v>0</v>
      </c>
      <c r="AC145">
        <v>105669</v>
      </c>
      <c r="AD145">
        <v>50354</v>
      </c>
      <c r="AE145">
        <v>0</v>
      </c>
      <c r="AF145">
        <v>0</v>
      </c>
      <c r="AG145">
        <v>328048</v>
      </c>
      <c r="AH145">
        <v>0</v>
      </c>
      <c r="AI145">
        <v>10818</v>
      </c>
      <c r="AJ145">
        <v>0</v>
      </c>
      <c r="AK145">
        <v>1031</v>
      </c>
      <c r="AL145">
        <v>17538</v>
      </c>
      <c r="AM145">
        <v>61227</v>
      </c>
      <c r="AN145">
        <v>79944</v>
      </c>
      <c r="AO145">
        <v>49936</v>
      </c>
      <c r="AP145">
        <v>10761</v>
      </c>
      <c r="AQ145">
        <v>0</v>
      </c>
      <c r="AR145">
        <v>103989</v>
      </c>
      <c r="AS145">
        <v>4788</v>
      </c>
      <c r="AT145">
        <v>0</v>
      </c>
      <c r="AU145">
        <v>0</v>
      </c>
      <c r="AV145">
        <v>0</v>
      </c>
      <c r="AW145">
        <v>0</v>
      </c>
      <c r="AX145">
        <v>615</v>
      </c>
      <c r="AY145">
        <v>85280</v>
      </c>
      <c r="AZ145">
        <v>5561</v>
      </c>
      <c r="BA145">
        <v>0</v>
      </c>
      <c r="BB145">
        <v>0</v>
      </c>
      <c r="BC145">
        <v>124554</v>
      </c>
      <c r="BD145">
        <v>0</v>
      </c>
      <c r="BE145">
        <v>17137</v>
      </c>
      <c r="BF145">
        <v>0</v>
      </c>
      <c r="BG145">
        <v>8694</v>
      </c>
      <c r="BH145">
        <v>152091</v>
      </c>
      <c r="BI145">
        <v>23974</v>
      </c>
      <c r="BJ145">
        <v>387481</v>
      </c>
      <c r="BK145">
        <v>0</v>
      </c>
      <c r="BL145">
        <v>0</v>
      </c>
      <c r="BM145">
        <v>0</v>
      </c>
      <c r="BN145">
        <v>170924</v>
      </c>
      <c r="BO145">
        <v>99417</v>
      </c>
      <c r="BP145">
        <v>0</v>
      </c>
      <c r="BQ145">
        <v>0</v>
      </c>
      <c r="BR145">
        <v>38281</v>
      </c>
      <c r="BS145">
        <v>0</v>
      </c>
      <c r="BT145">
        <v>0</v>
      </c>
      <c r="BU145">
        <v>0</v>
      </c>
      <c r="BV145">
        <v>23942</v>
      </c>
      <c r="BW145">
        <v>0</v>
      </c>
      <c r="BX145">
        <v>0</v>
      </c>
      <c r="BY145">
        <v>27615</v>
      </c>
      <c r="BZ145">
        <v>64973</v>
      </c>
      <c r="CA145">
        <v>0</v>
      </c>
      <c r="CB145">
        <v>196947</v>
      </c>
      <c r="CC145">
        <v>52386</v>
      </c>
      <c r="CD145">
        <v>0</v>
      </c>
      <c r="CE145">
        <v>802578</v>
      </c>
      <c r="CF145">
        <v>0</v>
      </c>
      <c r="CG145">
        <v>17501</v>
      </c>
      <c r="CH145">
        <v>0</v>
      </c>
      <c r="CI145">
        <v>17327</v>
      </c>
      <c r="CJ145">
        <v>1751995</v>
      </c>
      <c r="CK145">
        <v>18033</v>
      </c>
      <c r="CL145">
        <v>5374</v>
      </c>
      <c r="CM145">
        <v>0</v>
      </c>
      <c r="CN145">
        <v>58039</v>
      </c>
      <c r="CO145">
        <v>61137</v>
      </c>
      <c r="CP145">
        <v>102797</v>
      </c>
      <c r="CQ145">
        <v>28864</v>
      </c>
      <c r="CR145">
        <v>0</v>
      </c>
      <c r="CS145">
        <v>0</v>
      </c>
    </row>
    <row r="146" spans="1:97" x14ac:dyDescent="0.3">
      <c r="A146" s="155">
        <v>523</v>
      </c>
      <c r="B146" t="s">
        <v>270</v>
      </c>
      <c r="D146">
        <v>0</v>
      </c>
      <c r="E146">
        <v>0</v>
      </c>
      <c r="F146">
        <v>68998</v>
      </c>
      <c r="G146">
        <v>0</v>
      </c>
      <c r="H146">
        <v>0</v>
      </c>
      <c r="I146">
        <v>0</v>
      </c>
      <c r="J146">
        <v>30153</v>
      </c>
      <c r="K146">
        <v>10238</v>
      </c>
      <c r="L146">
        <v>0</v>
      </c>
      <c r="M146">
        <v>0</v>
      </c>
      <c r="N146">
        <v>0</v>
      </c>
      <c r="O146">
        <v>0</v>
      </c>
      <c r="P146">
        <v>0</v>
      </c>
      <c r="Q146">
        <v>0</v>
      </c>
      <c r="R146">
        <v>0</v>
      </c>
      <c r="S146">
        <v>7064</v>
      </c>
      <c r="T146">
        <v>0</v>
      </c>
      <c r="U146">
        <v>0</v>
      </c>
      <c r="V146">
        <v>0</v>
      </c>
      <c r="W146">
        <v>0</v>
      </c>
      <c r="X146">
        <v>0</v>
      </c>
      <c r="Y146">
        <v>0</v>
      </c>
      <c r="Z146">
        <v>0</v>
      </c>
      <c r="AA146">
        <v>0</v>
      </c>
      <c r="AB146">
        <v>0</v>
      </c>
      <c r="AC146">
        <v>0</v>
      </c>
      <c r="AD146">
        <v>86079</v>
      </c>
      <c r="AE146">
        <v>0</v>
      </c>
      <c r="AF146">
        <v>0</v>
      </c>
      <c r="AG146">
        <v>7379657</v>
      </c>
      <c r="AH146">
        <v>0</v>
      </c>
      <c r="AI146">
        <v>5000</v>
      </c>
      <c r="AJ146">
        <v>0</v>
      </c>
      <c r="AK146">
        <v>0</v>
      </c>
      <c r="AL146">
        <v>729</v>
      </c>
      <c r="AM146">
        <v>119108</v>
      </c>
      <c r="AN146">
        <v>2200170</v>
      </c>
      <c r="AO146">
        <v>89178</v>
      </c>
      <c r="AP146">
        <v>0</v>
      </c>
      <c r="AQ146">
        <v>0</v>
      </c>
      <c r="AR146">
        <v>0</v>
      </c>
      <c r="AS146">
        <v>0</v>
      </c>
      <c r="AT146">
        <v>0</v>
      </c>
      <c r="AU146">
        <v>0</v>
      </c>
      <c r="AV146">
        <v>0</v>
      </c>
      <c r="AW146">
        <v>0</v>
      </c>
      <c r="AX146">
        <v>0</v>
      </c>
      <c r="AY146">
        <v>0</v>
      </c>
      <c r="AZ146">
        <v>0</v>
      </c>
      <c r="BA146">
        <v>0</v>
      </c>
      <c r="BB146">
        <v>0</v>
      </c>
      <c r="BC146">
        <v>79067</v>
      </c>
      <c r="BD146">
        <v>0</v>
      </c>
      <c r="BE146">
        <v>0</v>
      </c>
      <c r="BF146">
        <v>0</v>
      </c>
      <c r="BG146">
        <v>0</v>
      </c>
      <c r="BH146">
        <v>0</v>
      </c>
      <c r="BI146">
        <v>0</v>
      </c>
      <c r="BJ146">
        <v>6932023</v>
      </c>
      <c r="BK146">
        <v>0</v>
      </c>
      <c r="BL146">
        <v>0</v>
      </c>
      <c r="BM146">
        <v>0</v>
      </c>
      <c r="BN146">
        <v>8911611</v>
      </c>
      <c r="BO146">
        <v>0</v>
      </c>
      <c r="BP146">
        <v>0</v>
      </c>
      <c r="BQ146">
        <v>0</v>
      </c>
      <c r="BR146">
        <v>105280</v>
      </c>
      <c r="BS146">
        <v>0</v>
      </c>
      <c r="BT146">
        <v>0</v>
      </c>
      <c r="BU146">
        <v>0</v>
      </c>
      <c r="BV146">
        <v>0</v>
      </c>
      <c r="BW146">
        <v>0</v>
      </c>
      <c r="BX146">
        <v>3435</v>
      </c>
      <c r="BY146">
        <v>0</v>
      </c>
      <c r="BZ146">
        <v>0</v>
      </c>
      <c r="CA146">
        <v>0</v>
      </c>
      <c r="CB146">
        <v>0</v>
      </c>
      <c r="CC146">
        <v>168652</v>
      </c>
      <c r="CD146">
        <v>0</v>
      </c>
      <c r="CE146">
        <v>5212132</v>
      </c>
      <c r="CF146">
        <v>0</v>
      </c>
      <c r="CG146">
        <v>0</v>
      </c>
      <c r="CH146">
        <v>0</v>
      </c>
      <c r="CI146">
        <v>152208</v>
      </c>
      <c r="CJ146">
        <v>125463437</v>
      </c>
      <c r="CK146">
        <v>0</v>
      </c>
      <c r="CL146">
        <v>21286</v>
      </c>
      <c r="CM146">
        <v>0</v>
      </c>
      <c r="CN146">
        <v>0</v>
      </c>
      <c r="CO146">
        <v>0</v>
      </c>
      <c r="CP146">
        <v>0</v>
      </c>
      <c r="CQ146">
        <v>280758</v>
      </c>
      <c r="CR146">
        <v>0</v>
      </c>
      <c r="CS146">
        <v>0</v>
      </c>
    </row>
    <row r="147" spans="1:97" x14ac:dyDescent="0.3">
      <c r="A147" s="155">
        <v>524</v>
      </c>
      <c r="B147" t="s">
        <v>271</v>
      </c>
      <c r="D147">
        <v>0</v>
      </c>
      <c r="E147">
        <v>0</v>
      </c>
      <c r="F147">
        <v>2601499</v>
      </c>
      <c r="G147">
        <v>0</v>
      </c>
      <c r="H147">
        <v>0</v>
      </c>
      <c r="I147">
        <v>2366218</v>
      </c>
      <c r="J147">
        <v>7930392</v>
      </c>
      <c r="K147">
        <v>4728812</v>
      </c>
      <c r="L147">
        <v>3785576</v>
      </c>
      <c r="M147">
        <v>64141127</v>
      </c>
      <c r="N147">
        <v>3826197</v>
      </c>
      <c r="O147">
        <v>0</v>
      </c>
      <c r="P147">
        <v>1788784</v>
      </c>
      <c r="Q147">
        <v>3351904</v>
      </c>
      <c r="R147">
        <v>0</v>
      </c>
      <c r="S147">
        <v>1763138</v>
      </c>
      <c r="T147">
        <v>0</v>
      </c>
      <c r="U147">
        <v>0</v>
      </c>
      <c r="V147">
        <v>0</v>
      </c>
      <c r="W147">
        <v>17419871</v>
      </c>
      <c r="X147">
        <v>0</v>
      </c>
      <c r="Y147">
        <v>1707016</v>
      </c>
      <c r="Z147">
        <v>0</v>
      </c>
      <c r="AA147">
        <v>5739199</v>
      </c>
      <c r="AB147">
        <v>0</v>
      </c>
      <c r="AC147">
        <v>29436423</v>
      </c>
      <c r="AD147">
        <v>8783027</v>
      </c>
      <c r="AE147">
        <v>1031519</v>
      </c>
      <c r="AF147">
        <v>1774023</v>
      </c>
      <c r="AG147">
        <v>22907824</v>
      </c>
      <c r="AH147">
        <v>0</v>
      </c>
      <c r="AI147">
        <v>1906368</v>
      </c>
      <c r="AJ147">
        <v>0</v>
      </c>
      <c r="AK147">
        <v>347158</v>
      </c>
      <c r="AL147">
        <v>7498561</v>
      </c>
      <c r="AM147">
        <v>7593843</v>
      </c>
      <c r="AN147">
        <v>7966107</v>
      </c>
      <c r="AO147">
        <v>8666872</v>
      </c>
      <c r="AP147">
        <v>0</v>
      </c>
      <c r="AQ147">
        <v>0</v>
      </c>
      <c r="AR147">
        <v>24621194</v>
      </c>
      <c r="AS147">
        <v>3517230</v>
      </c>
      <c r="AT147">
        <v>0</v>
      </c>
      <c r="AU147">
        <v>0</v>
      </c>
      <c r="AV147">
        <v>0</v>
      </c>
      <c r="AW147">
        <v>0</v>
      </c>
      <c r="AX147">
        <v>738149</v>
      </c>
      <c r="AY147">
        <v>10906006</v>
      </c>
      <c r="AZ147">
        <v>0</v>
      </c>
      <c r="BA147">
        <v>0</v>
      </c>
      <c r="BB147">
        <v>0</v>
      </c>
      <c r="BC147">
        <v>15789954</v>
      </c>
      <c r="BD147">
        <v>0</v>
      </c>
      <c r="BE147">
        <v>3403057</v>
      </c>
      <c r="BF147">
        <v>1528772</v>
      </c>
      <c r="BG147">
        <v>1115863</v>
      </c>
      <c r="BH147">
        <v>3924503</v>
      </c>
      <c r="BI147">
        <v>9305476</v>
      </c>
      <c r="BJ147">
        <v>33574694</v>
      </c>
      <c r="BK147">
        <v>0</v>
      </c>
      <c r="BL147">
        <v>0</v>
      </c>
      <c r="BM147">
        <v>0</v>
      </c>
      <c r="BN147">
        <v>20649424</v>
      </c>
      <c r="BO147">
        <v>6966341</v>
      </c>
      <c r="BP147">
        <v>0</v>
      </c>
      <c r="BQ147">
        <v>0</v>
      </c>
      <c r="BR147">
        <v>6884236</v>
      </c>
      <c r="BS147">
        <v>0</v>
      </c>
      <c r="BT147">
        <v>0</v>
      </c>
      <c r="BU147">
        <v>0</v>
      </c>
      <c r="BV147">
        <v>6529003</v>
      </c>
      <c r="BW147">
        <v>0</v>
      </c>
      <c r="BX147">
        <v>1304118</v>
      </c>
      <c r="BY147">
        <v>3409826</v>
      </c>
      <c r="BZ147">
        <v>10774269</v>
      </c>
      <c r="CA147">
        <v>152084</v>
      </c>
      <c r="CB147">
        <v>14916735</v>
      </c>
      <c r="CC147">
        <v>16846152</v>
      </c>
      <c r="CD147">
        <v>0</v>
      </c>
      <c r="CE147">
        <v>70068552</v>
      </c>
      <c r="CF147">
        <v>407397</v>
      </c>
      <c r="CG147">
        <v>5888709</v>
      </c>
      <c r="CH147">
        <v>3098323</v>
      </c>
      <c r="CI147">
        <v>2937523</v>
      </c>
      <c r="CJ147">
        <v>423140115</v>
      </c>
      <c r="CK147">
        <v>5617899</v>
      </c>
      <c r="CL147">
        <v>4294075</v>
      </c>
      <c r="CM147">
        <v>0</v>
      </c>
      <c r="CN147">
        <v>1826421</v>
      </c>
      <c r="CO147">
        <v>6457327</v>
      </c>
      <c r="CP147">
        <v>13459634</v>
      </c>
      <c r="CQ147">
        <v>6212087</v>
      </c>
      <c r="CR147">
        <v>0</v>
      </c>
      <c r="CS147">
        <v>0</v>
      </c>
    </row>
    <row r="148" spans="1:97" x14ac:dyDescent="0.3">
      <c r="A148" s="155">
        <v>525</v>
      </c>
      <c r="B148" t="s">
        <v>272</v>
      </c>
      <c r="D148">
        <v>0</v>
      </c>
      <c r="E148">
        <v>0</v>
      </c>
      <c r="F148">
        <v>0</v>
      </c>
      <c r="G148">
        <v>0</v>
      </c>
      <c r="H148">
        <v>0</v>
      </c>
      <c r="I148">
        <v>0</v>
      </c>
      <c r="J148">
        <v>0</v>
      </c>
      <c r="K148">
        <v>0</v>
      </c>
      <c r="L148">
        <v>0</v>
      </c>
      <c r="M148">
        <v>0</v>
      </c>
      <c r="N148">
        <v>0</v>
      </c>
      <c r="O148">
        <v>0</v>
      </c>
      <c r="P148">
        <v>0</v>
      </c>
      <c r="Q148">
        <v>0</v>
      </c>
      <c r="R148">
        <v>0</v>
      </c>
      <c r="S148">
        <v>2314</v>
      </c>
      <c r="T148">
        <v>0</v>
      </c>
      <c r="U148">
        <v>0</v>
      </c>
      <c r="V148">
        <v>0</v>
      </c>
      <c r="W148">
        <v>0</v>
      </c>
      <c r="X148">
        <v>0</v>
      </c>
      <c r="Y148">
        <v>0</v>
      </c>
      <c r="Z148">
        <v>0</v>
      </c>
      <c r="AA148">
        <v>0</v>
      </c>
      <c r="AB148">
        <v>0</v>
      </c>
      <c r="AC148">
        <v>0</v>
      </c>
      <c r="AD148">
        <v>0</v>
      </c>
      <c r="AE148">
        <v>0</v>
      </c>
      <c r="AF148">
        <v>0</v>
      </c>
      <c r="AG148">
        <v>42921642</v>
      </c>
      <c r="AH148">
        <v>0</v>
      </c>
      <c r="AI148">
        <v>0</v>
      </c>
      <c r="AJ148">
        <v>0</v>
      </c>
      <c r="AK148">
        <v>0</v>
      </c>
      <c r="AL148">
        <v>0</v>
      </c>
      <c r="AM148">
        <v>0</v>
      </c>
      <c r="AN148">
        <v>0</v>
      </c>
      <c r="AO148">
        <v>0</v>
      </c>
      <c r="AP148">
        <v>0</v>
      </c>
      <c r="AQ148">
        <v>0</v>
      </c>
      <c r="AR148">
        <v>0</v>
      </c>
      <c r="AS148">
        <v>372982</v>
      </c>
      <c r="AT148">
        <v>0</v>
      </c>
      <c r="AU148">
        <v>0</v>
      </c>
      <c r="AV148">
        <v>0</v>
      </c>
      <c r="AW148">
        <v>0</v>
      </c>
      <c r="AX148">
        <v>0</v>
      </c>
      <c r="AY148">
        <v>0</v>
      </c>
      <c r="AZ148">
        <v>1796187</v>
      </c>
      <c r="BA148">
        <v>0</v>
      </c>
      <c r="BB148">
        <v>0</v>
      </c>
      <c r="BC148">
        <v>0</v>
      </c>
      <c r="BD148">
        <v>0</v>
      </c>
      <c r="BE148">
        <v>580439</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18687806</v>
      </c>
      <c r="CF148">
        <v>0</v>
      </c>
      <c r="CG148">
        <v>0</v>
      </c>
      <c r="CH148">
        <v>0</v>
      </c>
      <c r="CI148">
        <v>20889</v>
      </c>
      <c r="CJ148">
        <v>0</v>
      </c>
      <c r="CK148">
        <v>0</v>
      </c>
      <c r="CL148">
        <v>0</v>
      </c>
      <c r="CM148">
        <v>0</v>
      </c>
      <c r="CN148">
        <v>0</v>
      </c>
      <c r="CO148">
        <v>0</v>
      </c>
      <c r="CP148">
        <v>0</v>
      </c>
      <c r="CQ148">
        <v>0</v>
      </c>
      <c r="CR148">
        <v>0</v>
      </c>
      <c r="CS148">
        <v>0</v>
      </c>
    </row>
    <row r="149" spans="1:97" x14ac:dyDescent="0.3">
      <c r="A149" s="155">
        <v>526</v>
      </c>
      <c r="B149" t="s">
        <v>273</v>
      </c>
      <c r="D149">
        <v>0</v>
      </c>
      <c r="E149">
        <v>0</v>
      </c>
      <c r="F149">
        <v>710279</v>
      </c>
      <c r="G149">
        <v>0</v>
      </c>
      <c r="H149">
        <v>0</v>
      </c>
      <c r="I149">
        <v>0</v>
      </c>
      <c r="J149">
        <v>379691</v>
      </c>
      <c r="K149">
        <v>315437</v>
      </c>
      <c r="L149">
        <v>210878</v>
      </c>
      <c r="M149">
        <v>3716280</v>
      </c>
      <c r="N149">
        <v>40546</v>
      </c>
      <c r="O149">
        <v>0</v>
      </c>
      <c r="P149">
        <v>8100</v>
      </c>
      <c r="Q149">
        <v>251918</v>
      </c>
      <c r="R149">
        <v>0</v>
      </c>
      <c r="S149">
        <v>152470</v>
      </c>
      <c r="T149">
        <v>0</v>
      </c>
      <c r="U149">
        <v>0</v>
      </c>
      <c r="V149">
        <v>0</v>
      </c>
      <c r="W149">
        <v>548185</v>
      </c>
      <c r="X149">
        <v>0</v>
      </c>
      <c r="Y149">
        <v>54555</v>
      </c>
      <c r="Z149">
        <v>0</v>
      </c>
      <c r="AA149">
        <v>91275</v>
      </c>
      <c r="AB149">
        <v>0</v>
      </c>
      <c r="AC149">
        <v>1995204</v>
      </c>
      <c r="AD149">
        <v>879649</v>
      </c>
      <c r="AE149">
        <v>9619</v>
      </c>
      <c r="AF149">
        <v>30988</v>
      </c>
      <c r="AG149">
        <v>3408835</v>
      </c>
      <c r="AH149">
        <v>0</v>
      </c>
      <c r="AI149">
        <v>297235</v>
      </c>
      <c r="AJ149">
        <v>0</v>
      </c>
      <c r="AK149">
        <v>9539</v>
      </c>
      <c r="AL149">
        <v>119886</v>
      </c>
      <c r="AM149">
        <v>1339786</v>
      </c>
      <c r="AN149">
        <v>1427080</v>
      </c>
      <c r="AO149">
        <v>1511523</v>
      </c>
      <c r="AP149">
        <v>458538</v>
      </c>
      <c r="AQ149">
        <v>0</v>
      </c>
      <c r="AR149">
        <v>1645738</v>
      </c>
      <c r="AS149">
        <v>123233</v>
      </c>
      <c r="AT149">
        <v>0</v>
      </c>
      <c r="AU149">
        <v>0</v>
      </c>
      <c r="AV149">
        <v>0</v>
      </c>
      <c r="AW149">
        <v>0</v>
      </c>
      <c r="AX149">
        <v>1361</v>
      </c>
      <c r="AY149">
        <v>1096979</v>
      </c>
      <c r="AZ149">
        <v>98471</v>
      </c>
      <c r="BA149">
        <v>0</v>
      </c>
      <c r="BB149">
        <v>0</v>
      </c>
      <c r="BC149">
        <v>1548939</v>
      </c>
      <c r="BD149">
        <v>0</v>
      </c>
      <c r="BE149">
        <v>0</v>
      </c>
      <c r="BF149">
        <v>0</v>
      </c>
      <c r="BG149">
        <v>53090</v>
      </c>
      <c r="BH149">
        <v>849739</v>
      </c>
      <c r="BI149">
        <v>361480</v>
      </c>
      <c r="BJ149">
        <v>6131694</v>
      </c>
      <c r="BK149">
        <v>0</v>
      </c>
      <c r="BL149">
        <v>0</v>
      </c>
      <c r="BM149">
        <v>0</v>
      </c>
      <c r="BN149">
        <v>1991871</v>
      </c>
      <c r="BO149">
        <v>1199542</v>
      </c>
      <c r="BP149">
        <v>0</v>
      </c>
      <c r="BQ149">
        <v>0</v>
      </c>
      <c r="BR149">
        <v>731642</v>
      </c>
      <c r="BS149">
        <v>0</v>
      </c>
      <c r="BT149">
        <v>0</v>
      </c>
      <c r="BU149">
        <v>0</v>
      </c>
      <c r="BV149">
        <v>722667</v>
      </c>
      <c r="BW149">
        <v>0</v>
      </c>
      <c r="BX149">
        <v>0</v>
      </c>
      <c r="BY149">
        <v>578033</v>
      </c>
      <c r="BZ149">
        <v>1474057</v>
      </c>
      <c r="CA149">
        <v>0</v>
      </c>
      <c r="CB149">
        <v>3069672</v>
      </c>
      <c r="CC149">
        <v>922116</v>
      </c>
      <c r="CD149">
        <v>0</v>
      </c>
      <c r="CE149">
        <v>11347439</v>
      </c>
      <c r="CF149">
        <v>0</v>
      </c>
      <c r="CG149">
        <v>118186</v>
      </c>
      <c r="CH149">
        <v>27590</v>
      </c>
      <c r="CI149">
        <v>617282</v>
      </c>
      <c r="CJ149">
        <v>18522453</v>
      </c>
      <c r="CK149">
        <v>517861</v>
      </c>
      <c r="CL149">
        <v>250064</v>
      </c>
      <c r="CM149">
        <v>0</v>
      </c>
      <c r="CN149">
        <v>342405</v>
      </c>
      <c r="CO149">
        <v>1083446</v>
      </c>
      <c r="CP149">
        <v>2594981</v>
      </c>
      <c r="CQ149">
        <v>746053</v>
      </c>
      <c r="CR149">
        <v>0</v>
      </c>
      <c r="CS149">
        <v>0</v>
      </c>
    </row>
    <row r="150" spans="1:97" x14ac:dyDescent="0.3">
      <c r="A150" s="155">
        <v>527</v>
      </c>
      <c r="B150" t="s">
        <v>274</v>
      </c>
      <c r="D150">
        <v>0</v>
      </c>
      <c r="E150">
        <v>0</v>
      </c>
      <c r="F150">
        <v>0</v>
      </c>
      <c r="G150">
        <v>0</v>
      </c>
      <c r="H150">
        <v>0</v>
      </c>
      <c r="I150">
        <v>0</v>
      </c>
      <c r="J150">
        <v>0</v>
      </c>
      <c r="K150">
        <v>20836</v>
      </c>
      <c r="L150">
        <v>0</v>
      </c>
      <c r="M150">
        <v>4767865</v>
      </c>
      <c r="N150">
        <v>0</v>
      </c>
      <c r="O150">
        <v>0</v>
      </c>
      <c r="P150">
        <v>0</v>
      </c>
      <c r="Q150">
        <v>0</v>
      </c>
      <c r="R150">
        <v>0</v>
      </c>
      <c r="S150">
        <v>0</v>
      </c>
      <c r="T150">
        <v>0</v>
      </c>
      <c r="U150">
        <v>0</v>
      </c>
      <c r="V150">
        <v>0</v>
      </c>
      <c r="W150">
        <v>0</v>
      </c>
      <c r="X150">
        <v>0</v>
      </c>
      <c r="Y150">
        <v>0</v>
      </c>
      <c r="Z150">
        <v>0</v>
      </c>
      <c r="AA150">
        <v>0</v>
      </c>
      <c r="AB150">
        <v>0</v>
      </c>
      <c r="AC150">
        <v>858368</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1451949</v>
      </c>
      <c r="BB150">
        <v>0</v>
      </c>
      <c r="BC150">
        <v>0</v>
      </c>
      <c r="BD150">
        <v>0</v>
      </c>
      <c r="BE150">
        <v>0</v>
      </c>
      <c r="BF150">
        <v>0</v>
      </c>
      <c r="BG150">
        <v>0</v>
      </c>
      <c r="BH150">
        <v>0</v>
      </c>
      <c r="BI150">
        <v>0</v>
      </c>
      <c r="BJ150">
        <v>2401611</v>
      </c>
      <c r="BK150">
        <v>0</v>
      </c>
      <c r="BL150">
        <v>0</v>
      </c>
      <c r="BM150">
        <v>0</v>
      </c>
      <c r="BN150">
        <v>230058</v>
      </c>
      <c r="BO150">
        <v>0</v>
      </c>
      <c r="BP150">
        <v>0</v>
      </c>
      <c r="BQ150">
        <v>0</v>
      </c>
      <c r="BR150">
        <v>0</v>
      </c>
      <c r="BS150">
        <v>0</v>
      </c>
      <c r="BT150">
        <v>0</v>
      </c>
      <c r="BU150">
        <v>0</v>
      </c>
      <c r="BV150">
        <v>0</v>
      </c>
      <c r="BW150">
        <v>0</v>
      </c>
      <c r="BX150">
        <v>0</v>
      </c>
      <c r="BY150">
        <v>0</v>
      </c>
      <c r="BZ150">
        <v>0</v>
      </c>
      <c r="CA150">
        <v>0</v>
      </c>
      <c r="CB150">
        <v>0</v>
      </c>
      <c r="CC150">
        <v>0</v>
      </c>
      <c r="CD150">
        <v>0</v>
      </c>
      <c r="CE150">
        <v>6664809</v>
      </c>
      <c r="CF150">
        <v>0</v>
      </c>
      <c r="CG150">
        <v>16525</v>
      </c>
      <c r="CH150">
        <v>0</v>
      </c>
      <c r="CI150">
        <v>0</v>
      </c>
      <c r="CJ150">
        <v>0</v>
      </c>
      <c r="CK150">
        <v>146013</v>
      </c>
      <c r="CL150">
        <v>0</v>
      </c>
      <c r="CM150">
        <v>0</v>
      </c>
      <c r="CN150">
        <v>0</v>
      </c>
      <c r="CO150">
        <v>0</v>
      </c>
      <c r="CP150">
        <v>0</v>
      </c>
      <c r="CQ150">
        <v>0</v>
      </c>
      <c r="CR150">
        <v>0</v>
      </c>
      <c r="CS150">
        <v>0</v>
      </c>
    </row>
    <row r="151" spans="1:97" x14ac:dyDescent="0.3">
      <c r="A151" s="155">
        <v>528</v>
      </c>
      <c r="B151" t="s">
        <v>257</v>
      </c>
      <c r="D151">
        <v>21754</v>
      </c>
      <c r="E151">
        <v>1173420</v>
      </c>
      <c r="F151">
        <v>1451891</v>
      </c>
      <c r="G151">
        <v>25528</v>
      </c>
      <c r="H151">
        <v>3738044</v>
      </c>
      <c r="I151">
        <v>399631</v>
      </c>
      <c r="J151">
        <v>1651310</v>
      </c>
      <c r="K151">
        <v>171324</v>
      </c>
      <c r="L151">
        <v>279411</v>
      </c>
      <c r="M151">
        <v>17246149</v>
      </c>
      <c r="N151">
        <v>292644</v>
      </c>
      <c r="O151">
        <v>294285</v>
      </c>
      <c r="P151">
        <v>0</v>
      </c>
      <c r="Q151">
        <v>540290</v>
      </c>
      <c r="R151">
        <v>32061</v>
      </c>
      <c r="S151">
        <v>73502</v>
      </c>
      <c r="T151">
        <v>1265120</v>
      </c>
      <c r="U151">
        <v>403885</v>
      </c>
      <c r="V151">
        <v>2726275</v>
      </c>
      <c r="W151">
        <v>6060581</v>
      </c>
      <c r="X151">
        <v>1683310</v>
      </c>
      <c r="Y151">
        <v>0</v>
      </c>
      <c r="Z151">
        <v>1841983</v>
      </c>
      <c r="AA151">
        <v>970969</v>
      </c>
      <c r="AB151">
        <v>23676</v>
      </c>
      <c r="AC151">
        <v>3504454</v>
      </c>
      <c r="AD151">
        <v>723520</v>
      </c>
      <c r="AE151">
        <v>588779</v>
      </c>
      <c r="AF151">
        <v>103003</v>
      </c>
      <c r="AG151">
        <v>10663039</v>
      </c>
      <c r="AH151">
        <v>92324</v>
      </c>
      <c r="AI151">
        <v>2109036</v>
      </c>
      <c r="AJ151">
        <v>925246</v>
      </c>
      <c r="AK151">
        <v>50603</v>
      </c>
      <c r="AL151">
        <v>578689</v>
      </c>
      <c r="AM151">
        <v>2978842</v>
      </c>
      <c r="AN151">
        <v>1091230</v>
      </c>
      <c r="AO151">
        <v>806621</v>
      </c>
      <c r="AP151">
        <v>24717</v>
      </c>
      <c r="AQ151">
        <v>103342</v>
      </c>
      <c r="AR151">
        <v>2113692</v>
      </c>
      <c r="AS151">
        <v>259052</v>
      </c>
      <c r="AT151">
        <v>49407</v>
      </c>
      <c r="AU151">
        <v>23806</v>
      </c>
      <c r="AV151">
        <v>457337</v>
      </c>
      <c r="AW151">
        <v>25791</v>
      </c>
      <c r="AX151">
        <v>123565</v>
      </c>
      <c r="AY151">
        <v>1758769</v>
      </c>
      <c r="AZ151">
        <v>158824</v>
      </c>
      <c r="BA151">
        <v>30911616</v>
      </c>
      <c r="BB151">
        <v>971626</v>
      </c>
      <c r="BC151">
        <v>1448150</v>
      </c>
      <c r="BD151">
        <v>130982</v>
      </c>
      <c r="BE151">
        <v>485250</v>
      </c>
      <c r="BF151">
        <v>742826</v>
      </c>
      <c r="BG151">
        <v>55490</v>
      </c>
      <c r="BH151">
        <v>438823</v>
      </c>
      <c r="BI151">
        <v>1207742</v>
      </c>
      <c r="BJ151">
        <v>4271969</v>
      </c>
      <c r="BK151">
        <v>145557</v>
      </c>
      <c r="BL151">
        <v>4047</v>
      </c>
      <c r="BM151">
        <v>8616632</v>
      </c>
      <c r="BN151">
        <v>5736059</v>
      </c>
      <c r="BO151">
        <v>3374502</v>
      </c>
      <c r="BP151">
        <v>79989</v>
      </c>
      <c r="BQ151">
        <v>1198759</v>
      </c>
      <c r="BR151">
        <v>545786</v>
      </c>
      <c r="BS151">
        <v>4754404</v>
      </c>
      <c r="BT151">
        <v>0</v>
      </c>
      <c r="BU151">
        <v>169347</v>
      </c>
      <c r="BV151">
        <v>1649669</v>
      </c>
      <c r="BW151">
        <v>2450907</v>
      </c>
      <c r="BX151">
        <v>225603</v>
      </c>
      <c r="BY151">
        <v>746367</v>
      </c>
      <c r="BZ151">
        <v>2231099</v>
      </c>
      <c r="CA151">
        <v>82632</v>
      </c>
      <c r="CB151">
        <v>3156990</v>
      </c>
      <c r="CC151">
        <v>3028677</v>
      </c>
      <c r="CD151">
        <v>73991542</v>
      </c>
      <c r="CE151">
        <v>22552511</v>
      </c>
      <c r="CF151">
        <v>741237</v>
      </c>
      <c r="CG151">
        <v>168947</v>
      </c>
      <c r="CH151">
        <v>190094</v>
      </c>
      <c r="CI151">
        <v>497989</v>
      </c>
      <c r="CJ151">
        <v>136239539</v>
      </c>
      <c r="CK151">
        <v>3916506</v>
      </c>
      <c r="CL151">
        <v>197620</v>
      </c>
      <c r="CM151">
        <v>2936274</v>
      </c>
      <c r="CN151">
        <v>199907</v>
      </c>
      <c r="CO151">
        <v>3397809</v>
      </c>
      <c r="CP151">
        <v>1142570</v>
      </c>
      <c r="CQ151">
        <v>315631</v>
      </c>
      <c r="CR151">
        <v>1760381</v>
      </c>
      <c r="CS151">
        <v>7293482</v>
      </c>
    </row>
    <row r="152" spans="1:97" x14ac:dyDescent="0.3">
      <c r="A152" s="155">
        <v>529</v>
      </c>
      <c r="B152" t="s">
        <v>258</v>
      </c>
      <c r="D152">
        <v>2304</v>
      </c>
      <c r="E152">
        <v>78026</v>
      </c>
      <c r="F152">
        <v>124641</v>
      </c>
      <c r="G152">
        <v>4346</v>
      </c>
      <c r="H152">
        <v>451504</v>
      </c>
      <c r="I152">
        <v>69297</v>
      </c>
      <c r="J152">
        <v>191441</v>
      </c>
      <c r="K152">
        <v>36608</v>
      </c>
      <c r="L152">
        <v>36415</v>
      </c>
      <c r="M152">
        <v>1358215</v>
      </c>
      <c r="N152">
        <v>54254</v>
      </c>
      <c r="O152">
        <v>36816</v>
      </c>
      <c r="P152">
        <v>0</v>
      </c>
      <c r="Q152">
        <v>76187</v>
      </c>
      <c r="R152">
        <v>4342</v>
      </c>
      <c r="S152">
        <v>14154</v>
      </c>
      <c r="T152">
        <v>36366</v>
      </c>
      <c r="U152">
        <v>45931</v>
      </c>
      <c r="V152">
        <v>117929</v>
      </c>
      <c r="W152">
        <v>214937</v>
      </c>
      <c r="X152">
        <v>147837</v>
      </c>
      <c r="Y152">
        <v>0</v>
      </c>
      <c r="Z152">
        <v>98257</v>
      </c>
      <c r="AA152">
        <v>102877</v>
      </c>
      <c r="AB152">
        <v>3506</v>
      </c>
      <c r="AC152">
        <v>428412</v>
      </c>
      <c r="AD152">
        <v>52634</v>
      </c>
      <c r="AE152">
        <v>38739</v>
      </c>
      <c r="AF152">
        <v>20262</v>
      </c>
      <c r="AG152">
        <v>1151110</v>
      </c>
      <c r="AH152">
        <v>20610</v>
      </c>
      <c r="AI152">
        <v>27906</v>
      </c>
      <c r="AJ152">
        <v>106785</v>
      </c>
      <c r="AK152">
        <v>14066</v>
      </c>
      <c r="AL152">
        <v>78625</v>
      </c>
      <c r="AM152">
        <v>245712</v>
      </c>
      <c r="AN152">
        <v>104190</v>
      </c>
      <c r="AO152">
        <v>106320</v>
      </c>
      <c r="AP152">
        <v>4429</v>
      </c>
      <c r="AQ152">
        <v>18334</v>
      </c>
      <c r="AR152">
        <v>202534</v>
      </c>
      <c r="AS152">
        <v>39800</v>
      </c>
      <c r="AT152">
        <v>4641</v>
      </c>
      <c r="AU152">
        <v>3789</v>
      </c>
      <c r="AV152">
        <v>54632</v>
      </c>
      <c r="AW152">
        <v>4832</v>
      </c>
      <c r="AX152">
        <v>18433</v>
      </c>
      <c r="AY152">
        <v>217536</v>
      </c>
      <c r="AZ152">
        <v>34401</v>
      </c>
      <c r="BA152">
        <v>2841888</v>
      </c>
      <c r="BB152">
        <v>114799</v>
      </c>
      <c r="BC152">
        <v>173456</v>
      </c>
      <c r="BD152">
        <v>17948</v>
      </c>
      <c r="BE152">
        <v>48890</v>
      </c>
      <c r="BF152">
        <v>84558</v>
      </c>
      <c r="BG152">
        <v>9709</v>
      </c>
      <c r="BH152">
        <v>38161</v>
      </c>
      <c r="BI152">
        <v>105646</v>
      </c>
      <c r="BJ152">
        <v>505371</v>
      </c>
      <c r="BK152">
        <v>15513</v>
      </c>
      <c r="BL152">
        <v>220</v>
      </c>
      <c r="BM152">
        <v>976024</v>
      </c>
      <c r="BN152">
        <v>498204</v>
      </c>
      <c r="BO152">
        <v>188084</v>
      </c>
      <c r="BP152">
        <v>6649</v>
      </c>
      <c r="BQ152">
        <v>115455</v>
      </c>
      <c r="BR152">
        <v>92769</v>
      </c>
      <c r="BS152">
        <v>475367</v>
      </c>
      <c r="BT152">
        <v>0</v>
      </c>
      <c r="BU152">
        <v>22054</v>
      </c>
      <c r="BV152">
        <v>51488</v>
      </c>
      <c r="BW152">
        <v>218270</v>
      </c>
      <c r="BX152">
        <v>33578</v>
      </c>
      <c r="BY152">
        <v>37873</v>
      </c>
      <c r="BZ152">
        <v>239897</v>
      </c>
      <c r="CA152">
        <v>10223</v>
      </c>
      <c r="CB152">
        <v>254296</v>
      </c>
      <c r="CC152">
        <v>347970</v>
      </c>
      <c r="CD152">
        <v>5944927</v>
      </c>
      <c r="CE152">
        <v>2682891</v>
      </c>
      <c r="CF152">
        <v>106022</v>
      </c>
      <c r="CG152">
        <v>37237</v>
      </c>
      <c r="CH152">
        <v>25796</v>
      </c>
      <c r="CI152">
        <v>86158</v>
      </c>
      <c r="CJ152">
        <v>13734529</v>
      </c>
      <c r="CK152">
        <v>592729</v>
      </c>
      <c r="CL152">
        <v>35052</v>
      </c>
      <c r="CM152">
        <v>215237</v>
      </c>
      <c r="CN152">
        <v>25029</v>
      </c>
      <c r="CO152">
        <v>61486</v>
      </c>
      <c r="CP152">
        <v>131974</v>
      </c>
      <c r="CQ152">
        <v>21431</v>
      </c>
      <c r="CR152">
        <v>205641</v>
      </c>
      <c r="CS152">
        <v>375105</v>
      </c>
    </row>
    <row r="153" spans="1:97" x14ac:dyDescent="0.3">
      <c r="A153" s="155">
        <v>530</v>
      </c>
      <c r="B153" t="s">
        <v>259</v>
      </c>
      <c r="D153">
        <v>2119</v>
      </c>
      <c r="E153">
        <v>2397</v>
      </c>
      <c r="F153">
        <v>54880</v>
      </c>
      <c r="G153">
        <v>403</v>
      </c>
      <c r="H153">
        <v>4264</v>
      </c>
      <c r="I153">
        <v>7694</v>
      </c>
      <c r="J153">
        <v>14528</v>
      </c>
      <c r="K153">
        <v>4152</v>
      </c>
      <c r="L153">
        <v>10884</v>
      </c>
      <c r="M153">
        <v>161356</v>
      </c>
      <c r="N153">
        <v>2053</v>
      </c>
      <c r="O153">
        <v>1776</v>
      </c>
      <c r="P153">
        <v>0</v>
      </c>
      <c r="Q153">
        <v>10218</v>
      </c>
      <c r="R153">
        <v>959</v>
      </c>
      <c r="S153">
        <v>2547</v>
      </c>
      <c r="T153">
        <v>7641</v>
      </c>
      <c r="U153">
        <v>984</v>
      </c>
      <c r="V153">
        <v>15058</v>
      </c>
      <c r="W153">
        <v>102431</v>
      </c>
      <c r="X153">
        <v>12171</v>
      </c>
      <c r="Y153">
        <v>0</v>
      </c>
      <c r="Z153">
        <v>40893</v>
      </c>
      <c r="AA153">
        <v>29932</v>
      </c>
      <c r="AB153">
        <v>820</v>
      </c>
      <c r="AC153">
        <v>109896</v>
      </c>
      <c r="AD153">
        <v>16598</v>
      </c>
      <c r="AE153">
        <v>2027</v>
      </c>
      <c r="AF153">
        <v>9572</v>
      </c>
      <c r="AG153">
        <v>191706</v>
      </c>
      <c r="AH153">
        <v>1174</v>
      </c>
      <c r="AI153">
        <v>2979</v>
      </c>
      <c r="AJ153">
        <v>1643</v>
      </c>
      <c r="AK153">
        <v>2725</v>
      </c>
      <c r="AL153">
        <v>4337</v>
      </c>
      <c r="AM153">
        <v>20536</v>
      </c>
      <c r="AN153">
        <v>23295</v>
      </c>
      <c r="AO153">
        <v>28462</v>
      </c>
      <c r="AP153">
        <v>250</v>
      </c>
      <c r="AQ153">
        <v>2130</v>
      </c>
      <c r="AR153">
        <v>50558</v>
      </c>
      <c r="AS153">
        <v>8940</v>
      </c>
      <c r="AT153">
        <v>2324</v>
      </c>
      <c r="AU153">
        <v>686</v>
      </c>
      <c r="AV153">
        <v>3184</v>
      </c>
      <c r="AW153">
        <v>802</v>
      </c>
      <c r="AX153">
        <v>2393</v>
      </c>
      <c r="AY153">
        <v>122545</v>
      </c>
      <c r="AZ153">
        <v>12919</v>
      </c>
      <c r="BA153">
        <v>74252</v>
      </c>
      <c r="BB153">
        <v>8764</v>
      </c>
      <c r="BC153">
        <v>93617</v>
      </c>
      <c r="BD153">
        <v>2640</v>
      </c>
      <c r="BE153">
        <v>12727</v>
      </c>
      <c r="BF153">
        <v>439</v>
      </c>
      <c r="BG153">
        <v>1106</v>
      </c>
      <c r="BH153">
        <v>10719</v>
      </c>
      <c r="BI153">
        <v>28002</v>
      </c>
      <c r="BJ153">
        <v>58874</v>
      </c>
      <c r="BK153">
        <v>3209</v>
      </c>
      <c r="BL153">
        <v>401</v>
      </c>
      <c r="BM153">
        <v>752</v>
      </c>
      <c r="BN153">
        <v>161973</v>
      </c>
      <c r="BO153">
        <v>50535</v>
      </c>
      <c r="BP153">
        <v>1083</v>
      </c>
      <c r="BQ153">
        <v>5819</v>
      </c>
      <c r="BR153">
        <v>25446</v>
      </c>
      <c r="BS153">
        <v>18842</v>
      </c>
      <c r="BT153">
        <v>0</v>
      </c>
      <c r="BU153">
        <v>108</v>
      </c>
      <c r="BV153">
        <v>22433</v>
      </c>
      <c r="BW153">
        <v>1987</v>
      </c>
      <c r="BX153">
        <v>11789</v>
      </c>
      <c r="BY153">
        <v>18161</v>
      </c>
      <c r="BZ153">
        <v>42548</v>
      </c>
      <c r="CA153">
        <v>871</v>
      </c>
      <c r="CB153">
        <v>11312</v>
      </c>
      <c r="CC153">
        <v>164213</v>
      </c>
      <c r="CD153">
        <v>766862</v>
      </c>
      <c r="CE153">
        <v>323160</v>
      </c>
      <c r="CF153">
        <v>1936</v>
      </c>
      <c r="CG153">
        <v>3117</v>
      </c>
      <c r="CH153">
        <v>8576</v>
      </c>
      <c r="CI153">
        <v>4319</v>
      </c>
      <c r="CJ153">
        <v>936073</v>
      </c>
      <c r="CK153">
        <v>21155</v>
      </c>
      <c r="CL153">
        <v>8840</v>
      </c>
      <c r="CM153">
        <v>7877</v>
      </c>
      <c r="CN153">
        <v>22652</v>
      </c>
      <c r="CO153">
        <v>5770</v>
      </c>
      <c r="CP153">
        <v>24639</v>
      </c>
      <c r="CQ153">
        <v>6700</v>
      </c>
      <c r="CR153">
        <v>21475</v>
      </c>
      <c r="CS153">
        <v>26111</v>
      </c>
    </row>
    <row r="154" spans="1:97" x14ac:dyDescent="0.3">
      <c r="A154" s="155">
        <v>531</v>
      </c>
      <c r="B154" t="s">
        <v>260</v>
      </c>
      <c r="D154">
        <v>0</v>
      </c>
      <c r="E154">
        <v>0</v>
      </c>
      <c r="F154">
        <v>408</v>
      </c>
      <c r="G154">
        <v>0</v>
      </c>
      <c r="H154">
        <v>2650</v>
      </c>
      <c r="I154">
        <v>166</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9974</v>
      </c>
      <c r="AH154">
        <v>0</v>
      </c>
      <c r="AI154">
        <v>0</v>
      </c>
      <c r="AJ154">
        <v>0</v>
      </c>
      <c r="AK154">
        <v>0</v>
      </c>
      <c r="AL154">
        <v>0</v>
      </c>
      <c r="AM154">
        <v>0</v>
      </c>
      <c r="AN154">
        <v>373</v>
      </c>
      <c r="AO154">
        <v>0</v>
      </c>
      <c r="AP154">
        <v>0</v>
      </c>
      <c r="AQ154">
        <v>0</v>
      </c>
      <c r="AR154">
        <v>0</v>
      </c>
      <c r="AS154">
        <v>0</v>
      </c>
      <c r="AT154">
        <v>0</v>
      </c>
      <c r="AU154">
        <v>0</v>
      </c>
      <c r="AV154">
        <v>0</v>
      </c>
      <c r="AW154">
        <v>7</v>
      </c>
      <c r="AX154">
        <v>0</v>
      </c>
      <c r="AY154">
        <v>0</v>
      </c>
      <c r="AZ154">
        <v>0</v>
      </c>
      <c r="BA154">
        <v>16354</v>
      </c>
      <c r="BB154">
        <v>0</v>
      </c>
      <c r="BC154">
        <v>0</v>
      </c>
      <c r="BD154">
        <v>0</v>
      </c>
      <c r="BE154">
        <v>0</v>
      </c>
      <c r="BF154">
        <v>0</v>
      </c>
      <c r="BG154">
        <v>0</v>
      </c>
      <c r="BH154">
        <v>352</v>
      </c>
      <c r="BI154">
        <v>0</v>
      </c>
      <c r="BJ154">
        <v>0</v>
      </c>
      <c r="BK154">
        <v>3</v>
      </c>
      <c r="BL154">
        <v>0</v>
      </c>
      <c r="BM154">
        <v>0</v>
      </c>
      <c r="BN154">
        <v>0</v>
      </c>
      <c r="BO154">
        <v>0</v>
      </c>
      <c r="BP154">
        <v>0</v>
      </c>
      <c r="BQ154">
        <v>0</v>
      </c>
      <c r="BR154">
        <v>92</v>
      </c>
      <c r="BS154">
        <v>0</v>
      </c>
      <c r="BT154">
        <v>0</v>
      </c>
      <c r="BU154">
        <v>0</v>
      </c>
      <c r="BV154">
        <v>0</v>
      </c>
      <c r="BW154">
        <v>0</v>
      </c>
      <c r="BX154">
        <v>54</v>
      </c>
      <c r="BY154">
        <v>0</v>
      </c>
      <c r="BZ154">
        <v>0</v>
      </c>
      <c r="CA154">
        <v>0</v>
      </c>
      <c r="CB154">
        <v>0</v>
      </c>
      <c r="CC154">
        <v>0</v>
      </c>
      <c r="CD154">
        <v>0</v>
      </c>
      <c r="CE154">
        <v>7834</v>
      </c>
      <c r="CF154">
        <v>0</v>
      </c>
      <c r="CG154">
        <v>82</v>
      </c>
      <c r="CH154">
        <v>0</v>
      </c>
      <c r="CI154">
        <v>0</v>
      </c>
      <c r="CJ154">
        <v>0</v>
      </c>
      <c r="CK154">
        <v>0</v>
      </c>
      <c r="CL154">
        <v>0</v>
      </c>
      <c r="CM154">
        <v>0</v>
      </c>
      <c r="CN154">
        <v>0</v>
      </c>
      <c r="CO154">
        <v>0</v>
      </c>
      <c r="CP154">
        <v>0</v>
      </c>
      <c r="CQ154">
        <v>0</v>
      </c>
      <c r="CR154">
        <v>0</v>
      </c>
      <c r="CS154">
        <v>8391</v>
      </c>
    </row>
    <row r="155" spans="1:97" x14ac:dyDescent="0.3">
      <c r="A155" s="155">
        <v>532</v>
      </c>
      <c r="B155" t="s">
        <v>926</v>
      </c>
      <c r="D155">
        <v>219249</v>
      </c>
      <c r="E155">
        <v>3118459</v>
      </c>
      <c r="F155">
        <v>4106428</v>
      </c>
      <c r="G155">
        <v>122995</v>
      </c>
      <c r="H155">
        <v>8317395</v>
      </c>
      <c r="I155">
        <v>986813</v>
      </c>
      <c r="J155">
        <v>3204160</v>
      </c>
      <c r="K155">
        <v>851409</v>
      </c>
      <c r="L155">
        <v>648657</v>
      </c>
      <c r="M155">
        <v>35328927</v>
      </c>
      <c r="N155">
        <v>1089769</v>
      </c>
      <c r="O155">
        <v>453493</v>
      </c>
      <c r="P155">
        <v>372016</v>
      </c>
      <c r="Q155">
        <v>1441184</v>
      </c>
      <c r="R155">
        <v>50941</v>
      </c>
      <c r="S155">
        <v>255094</v>
      </c>
      <c r="T155">
        <v>1798970</v>
      </c>
      <c r="U155">
        <v>1379946</v>
      </c>
      <c r="V155">
        <v>8005521</v>
      </c>
      <c r="W155">
        <v>10876541</v>
      </c>
      <c r="X155">
        <v>4057911</v>
      </c>
      <c r="Y155">
        <v>270494</v>
      </c>
      <c r="Z155">
        <v>3542399</v>
      </c>
      <c r="AA155">
        <v>2981595</v>
      </c>
      <c r="AB155">
        <v>37290</v>
      </c>
      <c r="AC155">
        <v>10156224</v>
      </c>
      <c r="AD155">
        <v>2007687</v>
      </c>
      <c r="AE155">
        <v>751652</v>
      </c>
      <c r="AF155">
        <v>222225</v>
      </c>
      <c r="AG155">
        <v>23699467</v>
      </c>
      <c r="AH155">
        <v>742528</v>
      </c>
      <c r="AI155">
        <v>3456425</v>
      </c>
      <c r="AJ155">
        <v>2530593</v>
      </c>
      <c r="AK155">
        <v>182217</v>
      </c>
      <c r="AL155">
        <v>1482792</v>
      </c>
      <c r="AM155">
        <v>4360196</v>
      </c>
      <c r="AN155">
        <v>3773952</v>
      </c>
      <c r="AO155">
        <v>2024019</v>
      </c>
      <c r="AP155">
        <v>370369</v>
      </c>
      <c r="AQ155">
        <v>352042</v>
      </c>
      <c r="AR155">
        <v>4589002</v>
      </c>
      <c r="AS155">
        <v>825797</v>
      </c>
      <c r="AT155">
        <v>185224</v>
      </c>
      <c r="AU155">
        <v>133230</v>
      </c>
      <c r="AV155">
        <v>994578</v>
      </c>
      <c r="AW155">
        <v>91390</v>
      </c>
      <c r="AX155">
        <v>338439</v>
      </c>
      <c r="AY155">
        <v>4783928</v>
      </c>
      <c r="AZ155">
        <v>303367</v>
      </c>
      <c r="BA155">
        <v>46363684</v>
      </c>
      <c r="BB155">
        <v>1603944</v>
      </c>
      <c r="BC155">
        <v>4616908</v>
      </c>
      <c r="BD155">
        <v>929604</v>
      </c>
      <c r="BE155">
        <v>1000166</v>
      </c>
      <c r="BF155">
        <v>1155028</v>
      </c>
      <c r="BG155">
        <v>258532</v>
      </c>
      <c r="BH155">
        <v>1113827</v>
      </c>
      <c r="BI155">
        <v>3170655</v>
      </c>
      <c r="BJ155">
        <v>13463430</v>
      </c>
      <c r="BK155">
        <v>279753</v>
      </c>
      <c r="BL155">
        <v>79472</v>
      </c>
      <c r="BM155">
        <v>10415159</v>
      </c>
      <c r="BN155">
        <v>14030678</v>
      </c>
      <c r="BO155">
        <v>6988450</v>
      </c>
      <c r="BP155">
        <v>96807</v>
      </c>
      <c r="BQ155">
        <v>1938857</v>
      </c>
      <c r="BR155">
        <v>1544606</v>
      </c>
      <c r="BS155">
        <v>10327657</v>
      </c>
      <c r="BT155">
        <v>605116</v>
      </c>
      <c r="BU155">
        <v>644117</v>
      </c>
      <c r="BV155">
        <v>2458532</v>
      </c>
      <c r="BW155">
        <v>3764752</v>
      </c>
      <c r="BX155">
        <v>801296</v>
      </c>
      <c r="BY155">
        <v>1821540</v>
      </c>
      <c r="BZ155">
        <v>5125152</v>
      </c>
      <c r="CA155">
        <v>150927</v>
      </c>
      <c r="CB155">
        <v>7059608</v>
      </c>
      <c r="CC155">
        <v>6618543</v>
      </c>
      <c r="CD155">
        <v>100778541</v>
      </c>
      <c r="CE155">
        <v>51742557</v>
      </c>
      <c r="CF155">
        <v>1407750</v>
      </c>
      <c r="CG155">
        <v>2853753</v>
      </c>
      <c r="CH155">
        <v>624189</v>
      </c>
      <c r="CI155">
        <v>1428239</v>
      </c>
      <c r="CJ155">
        <v>201225279</v>
      </c>
      <c r="CK155">
        <v>9021452</v>
      </c>
      <c r="CL155">
        <v>549015</v>
      </c>
      <c r="CM155">
        <v>4302858</v>
      </c>
      <c r="CN155">
        <v>453544</v>
      </c>
      <c r="CO155">
        <v>12177097</v>
      </c>
      <c r="CP155">
        <v>2880745</v>
      </c>
      <c r="CQ155">
        <v>1304338</v>
      </c>
      <c r="CR155">
        <v>5365943</v>
      </c>
      <c r="CS155">
        <v>10890892</v>
      </c>
    </row>
    <row r="156" spans="1:97" x14ac:dyDescent="0.3">
      <c r="A156" s="155">
        <v>533</v>
      </c>
      <c r="B156" t="s">
        <v>927</v>
      </c>
      <c r="D156">
        <v>0</v>
      </c>
      <c r="E156">
        <v>0</v>
      </c>
      <c r="F156">
        <v>327856</v>
      </c>
      <c r="G156">
        <v>0</v>
      </c>
      <c r="H156">
        <v>0</v>
      </c>
      <c r="I156">
        <v>0</v>
      </c>
      <c r="J156">
        <v>0</v>
      </c>
      <c r="K156">
        <v>0</v>
      </c>
      <c r="L156">
        <v>0</v>
      </c>
      <c r="M156">
        <v>0</v>
      </c>
      <c r="N156">
        <v>134000</v>
      </c>
      <c r="O156">
        <v>0</v>
      </c>
      <c r="P156">
        <v>0</v>
      </c>
      <c r="Q156">
        <v>60000</v>
      </c>
      <c r="R156">
        <v>0</v>
      </c>
      <c r="S156">
        <v>0</v>
      </c>
      <c r="T156">
        <v>0</v>
      </c>
      <c r="U156">
        <v>0</v>
      </c>
      <c r="V156">
        <v>572216</v>
      </c>
      <c r="W156">
        <v>0</v>
      </c>
      <c r="X156">
        <v>110700</v>
      </c>
      <c r="Y156">
        <v>0</v>
      </c>
      <c r="Z156">
        <v>0</v>
      </c>
      <c r="AA156">
        <v>0</v>
      </c>
      <c r="AB156">
        <v>0</v>
      </c>
      <c r="AC156">
        <v>0</v>
      </c>
      <c r="AD156">
        <v>0</v>
      </c>
      <c r="AE156">
        <v>0</v>
      </c>
      <c r="AF156">
        <v>0</v>
      </c>
      <c r="AG156">
        <v>0</v>
      </c>
      <c r="AH156">
        <v>0</v>
      </c>
      <c r="AI156">
        <v>0</v>
      </c>
      <c r="AJ156">
        <v>0</v>
      </c>
      <c r="AK156">
        <v>0</v>
      </c>
      <c r="AL156">
        <v>0</v>
      </c>
      <c r="AM156">
        <v>1110000</v>
      </c>
      <c r="AN156">
        <v>325000</v>
      </c>
      <c r="AO156">
        <v>0</v>
      </c>
      <c r="AP156">
        <v>0</v>
      </c>
      <c r="AQ156">
        <v>0</v>
      </c>
      <c r="AR156">
        <v>0</v>
      </c>
      <c r="AS156">
        <v>35871</v>
      </c>
      <c r="AT156">
        <v>0</v>
      </c>
      <c r="AU156">
        <v>0</v>
      </c>
      <c r="AV156">
        <v>0</v>
      </c>
      <c r="AW156">
        <v>0</v>
      </c>
      <c r="AX156">
        <v>0</v>
      </c>
      <c r="AY156">
        <v>0</v>
      </c>
      <c r="AZ156">
        <v>0</v>
      </c>
      <c r="BA156">
        <v>2282992</v>
      </c>
      <c r="BB156">
        <v>0</v>
      </c>
      <c r="BC156">
        <v>121840</v>
      </c>
      <c r="BD156">
        <v>0</v>
      </c>
      <c r="BE156">
        <v>0</v>
      </c>
      <c r="BF156">
        <v>0</v>
      </c>
      <c r="BG156">
        <v>0</v>
      </c>
      <c r="BH156">
        <v>0</v>
      </c>
      <c r="BI156">
        <v>0</v>
      </c>
      <c r="BJ156">
        <v>0</v>
      </c>
      <c r="BK156">
        <v>0</v>
      </c>
      <c r="BL156">
        <v>0</v>
      </c>
      <c r="BM156">
        <v>405479</v>
      </c>
      <c r="BN156">
        <v>0</v>
      </c>
      <c r="BO156">
        <v>0</v>
      </c>
      <c r="BP156">
        <v>0</v>
      </c>
      <c r="BQ156">
        <v>0</v>
      </c>
      <c r="BR156">
        <v>0</v>
      </c>
      <c r="BS156">
        <v>0</v>
      </c>
      <c r="BT156">
        <v>427000</v>
      </c>
      <c r="BU156">
        <v>0</v>
      </c>
      <c r="BV156">
        <v>0</v>
      </c>
      <c r="BW156">
        <v>0</v>
      </c>
      <c r="BX156">
        <v>0</v>
      </c>
      <c r="BY156">
        <v>26611</v>
      </c>
      <c r="BZ156">
        <v>176591</v>
      </c>
      <c r="CA156">
        <v>0</v>
      </c>
      <c r="CB156">
        <v>0</v>
      </c>
      <c r="CC156">
        <v>316900</v>
      </c>
      <c r="CD156">
        <v>0</v>
      </c>
      <c r="CE156">
        <v>0</v>
      </c>
      <c r="CF156">
        <v>0</v>
      </c>
      <c r="CG156">
        <v>0</v>
      </c>
      <c r="CH156">
        <v>0</v>
      </c>
      <c r="CI156">
        <v>0</v>
      </c>
      <c r="CJ156">
        <v>0</v>
      </c>
      <c r="CK156">
        <v>1094000</v>
      </c>
      <c r="CL156">
        <v>0</v>
      </c>
      <c r="CM156">
        <v>0</v>
      </c>
      <c r="CN156">
        <v>0</v>
      </c>
      <c r="CO156">
        <v>0</v>
      </c>
      <c r="CP156">
        <v>0</v>
      </c>
      <c r="CQ156">
        <v>43471</v>
      </c>
      <c r="CR156">
        <v>1877857</v>
      </c>
      <c r="CS156">
        <v>0</v>
      </c>
    </row>
    <row r="157" spans="1:97" x14ac:dyDescent="0.3">
      <c r="A157" s="155">
        <v>534</v>
      </c>
      <c r="B157" t="s">
        <v>928</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row>
    <row r="158" spans="1:97" x14ac:dyDescent="0.3">
      <c r="A158" s="155">
        <v>535</v>
      </c>
      <c r="B158" t="s">
        <v>244</v>
      </c>
      <c r="D158">
        <v>0</v>
      </c>
      <c r="E158">
        <v>0</v>
      </c>
      <c r="F158">
        <v>1</v>
      </c>
      <c r="G158">
        <v>0</v>
      </c>
      <c r="H158">
        <v>0</v>
      </c>
      <c r="I158">
        <v>0</v>
      </c>
      <c r="J158">
        <v>0</v>
      </c>
      <c r="K158">
        <v>0</v>
      </c>
      <c r="L158">
        <v>0</v>
      </c>
      <c r="M158">
        <v>4994151</v>
      </c>
      <c r="N158">
        <v>0</v>
      </c>
      <c r="O158">
        <v>0</v>
      </c>
      <c r="P158">
        <v>0</v>
      </c>
      <c r="Q158">
        <v>0</v>
      </c>
      <c r="R158">
        <v>0</v>
      </c>
      <c r="S158">
        <v>0</v>
      </c>
      <c r="T158">
        <v>0</v>
      </c>
      <c r="U158">
        <v>0</v>
      </c>
      <c r="V158">
        <v>0</v>
      </c>
      <c r="W158">
        <v>2100000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705988</v>
      </c>
      <c r="AZ158">
        <v>0</v>
      </c>
      <c r="BA158">
        <v>3703822</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339886</v>
      </c>
      <c r="CD158">
        <v>60767349</v>
      </c>
      <c r="CE158">
        <v>15294393</v>
      </c>
      <c r="CF158">
        <v>0</v>
      </c>
      <c r="CG158">
        <v>0</v>
      </c>
      <c r="CH158">
        <v>0</v>
      </c>
      <c r="CI158">
        <v>0</v>
      </c>
      <c r="CJ158">
        <v>53524084</v>
      </c>
      <c r="CK158">
        <v>0</v>
      </c>
      <c r="CL158">
        <v>0</v>
      </c>
      <c r="CM158">
        <v>1555954</v>
      </c>
      <c r="CN158">
        <v>0</v>
      </c>
      <c r="CO158">
        <v>0</v>
      </c>
      <c r="CP158">
        <v>0</v>
      </c>
      <c r="CQ158">
        <v>0</v>
      </c>
      <c r="CR158">
        <v>0</v>
      </c>
      <c r="CS158">
        <v>0</v>
      </c>
    </row>
    <row r="159" spans="1:97" x14ac:dyDescent="0.3">
      <c r="A159" s="155">
        <v>536</v>
      </c>
      <c r="B159" t="s">
        <v>190</v>
      </c>
      <c r="D159">
        <v>63521</v>
      </c>
      <c r="E159">
        <v>0</v>
      </c>
      <c r="F159">
        <v>145269</v>
      </c>
      <c r="G159">
        <v>199428</v>
      </c>
      <c r="H159">
        <v>622890</v>
      </c>
      <c r="I159">
        <v>35856</v>
      </c>
      <c r="J159">
        <v>411908</v>
      </c>
      <c r="K159">
        <v>189858</v>
      </c>
      <c r="L159">
        <v>150364</v>
      </c>
      <c r="M159">
        <v>740119</v>
      </c>
      <c r="N159">
        <v>15985</v>
      </c>
      <c r="O159">
        <v>70457</v>
      </c>
      <c r="P159">
        <v>4313</v>
      </c>
      <c r="Q159">
        <v>311982</v>
      </c>
      <c r="R159">
        <v>83364</v>
      </c>
      <c r="S159">
        <v>30578</v>
      </c>
      <c r="T159">
        <v>0</v>
      </c>
      <c r="U159">
        <v>2388</v>
      </c>
      <c r="V159">
        <v>137782</v>
      </c>
      <c r="W159">
        <v>279622</v>
      </c>
      <c r="X159">
        <v>39235</v>
      </c>
      <c r="Y159">
        <v>0</v>
      </c>
      <c r="Z159">
        <v>744657</v>
      </c>
      <c r="AA159">
        <v>0</v>
      </c>
      <c r="AB159">
        <v>12689</v>
      </c>
      <c r="AC159">
        <v>851296</v>
      </c>
      <c r="AD159">
        <v>21409</v>
      </c>
      <c r="AE159">
        <v>204357</v>
      </c>
      <c r="AF159">
        <v>79779</v>
      </c>
      <c r="AG159">
        <v>610723</v>
      </c>
      <c r="AH159">
        <v>566054</v>
      </c>
      <c r="AI159">
        <v>60504</v>
      </c>
      <c r="AJ159">
        <v>398626</v>
      </c>
      <c r="AK159">
        <v>2711</v>
      </c>
      <c r="AL159">
        <v>647417</v>
      </c>
      <c r="AM159">
        <v>1101244</v>
      </c>
      <c r="AN159">
        <v>541734</v>
      </c>
      <c r="AO159">
        <v>195423</v>
      </c>
      <c r="AP159">
        <v>15779</v>
      </c>
      <c r="AQ159">
        <v>0</v>
      </c>
      <c r="AR159">
        <v>176021</v>
      </c>
      <c r="AS159">
        <v>0</v>
      </c>
      <c r="AT159">
        <v>84998</v>
      </c>
      <c r="AU159">
        <v>0</v>
      </c>
      <c r="AV159">
        <v>74661</v>
      </c>
      <c r="AW159">
        <v>117545</v>
      </c>
      <c r="AX159">
        <v>135468</v>
      </c>
      <c r="AY159">
        <v>62193</v>
      </c>
      <c r="AZ159">
        <v>112864</v>
      </c>
      <c r="BA159">
        <v>717595</v>
      </c>
      <c r="BB159">
        <v>783625</v>
      </c>
      <c r="BC159">
        <v>760</v>
      </c>
      <c r="BD159">
        <v>0</v>
      </c>
      <c r="BE159">
        <v>116235</v>
      </c>
      <c r="BF159">
        <v>55493</v>
      </c>
      <c r="BG159">
        <v>21280</v>
      </c>
      <c r="BH159">
        <v>7445</v>
      </c>
      <c r="BI159">
        <v>77777</v>
      </c>
      <c r="BJ159">
        <v>2073</v>
      </c>
      <c r="BK159">
        <v>73013</v>
      </c>
      <c r="BL159">
        <v>23072</v>
      </c>
      <c r="BM159">
        <v>0</v>
      </c>
      <c r="BN159">
        <v>192483</v>
      </c>
      <c r="BO159">
        <v>162314</v>
      </c>
      <c r="BP159">
        <v>0</v>
      </c>
      <c r="BQ159">
        <v>75002</v>
      </c>
      <c r="BR159">
        <v>79550</v>
      </c>
      <c r="BS159">
        <v>2313673</v>
      </c>
      <c r="BT159">
        <v>0</v>
      </c>
      <c r="BU159">
        <v>50817</v>
      </c>
      <c r="BV159">
        <v>605984</v>
      </c>
      <c r="BW159">
        <v>2000</v>
      </c>
      <c r="BX159">
        <v>118552</v>
      </c>
      <c r="BY159">
        <v>257897</v>
      </c>
      <c r="BZ159">
        <v>214089</v>
      </c>
      <c r="CA159">
        <v>0</v>
      </c>
      <c r="CB159">
        <v>314759</v>
      </c>
      <c r="CC159">
        <v>554158</v>
      </c>
      <c r="CD159">
        <v>0</v>
      </c>
      <c r="CE159">
        <v>788281</v>
      </c>
      <c r="CF159">
        <v>185001</v>
      </c>
      <c r="CG159">
        <v>0</v>
      </c>
      <c r="CH159">
        <v>27272</v>
      </c>
      <c r="CI159">
        <v>289726</v>
      </c>
      <c r="CJ159">
        <v>0</v>
      </c>
      <c r="CK159">
        <v>714715</v>
      </c>
      <c r="CL159">
        <v>90384</v>
      </c>
      <c r="CM159">
        <v>1811258</v>
      </c>
      <c r="CN159">
        <v>172596</v>
      </c>
      <c r="CO159">
        <v>173877</v>
      </c>
      <c r="CP159">
        <v>52359</v>
      </c>
      <c r="CQ159">
        <v>289454</v>
      </c>
      <c r="CR159">
        <v>63271</v>
      </c>
      <c r="CS159">
        <v>1730470</v>
      </c>
    </row>
    <row r="160" spans="1:97" x14ac:dyDescent="0.3">
      <c r="A160" s="155">
        <v>537</v>
      </c>
      <c r="B160" t="s">
        <v>280</v>
      </c>
      <c r="D160">
        <v>0</v>
      </c>
      <c r="E160">
        <v>2</v>
      </c>
      <c r="F160">
        <v>1</v>
      </c>
      <c r="G160">
        <v>0</v>
      </c>
      <c r="H160">
        <v>0</v>
      </c>
      <c r="I160">
        <v>2</v>
      </c>
      <c r="J160">
        <v>2</v>
      </c>
      <c r="K160">
        <v>1</v>
      </c>
      <c r="L160">
        <v>2</v>
      </c>
      <c r="M160">
        <v>2</v>
      </c>
      <c r="N160">
        <v>2</v>
      </c>
      <c r="O160">
        <v>0</v>
      </c>
      <c r="P160">
        <v>2</v>
      </c>
      <c r="Q160">
        <v>2</v>
      </c>
      <c r="R160">
        <v>0</v>
      </c>
      <c r="S160">
        <v>2</v>
      </c>
      <c r="T160">
        <v>0</v>
      </c>
      <c r="U160">
        <v>2</v>
      </c>
      <c r="V160">
        <v>0</v>
      </c>
      <c r="W160">
        <v>2</v>
      </c>
      <c r="X160">
        <v>0</v>
      </c>
      <c r="Y160">
        <v>2</v>
      </c>
      <c r="Z160">
        <v>0</v>
      </c>
      <c r="AA160">
        <v>2</v>
      </c>
      <c r="AB160">
        <v>0</v>
      </c>
      <c r="AC160">
        <v>2</v>
      </c>
      <c r="AD160">
        <v>2</v>
      </c>
      <c r="AE160">
        <v>2</v>
      </c>
      <c r="AF160">
        <v>2</v>
      </c>
      <c r="AG160">
        <v>1</v>
      </c>
      <c r="AH160">
        <v>0</v>
      </c>
      <c r="AI160">
        <v>2</v>
      </c>
      <c r="AJ160">
        <v>0</v>
      </c>
      <c r="AK160">
        <v>2</v>
      </c>
      <c r="AL160">
        <v>2</v>
      </c>
      <c r="AM160">
        <v>2</v>
      </c>
      <c r="AN160">
        <v>2</v>
      </c>
      <c r="AO160">
        <v>1</v>
      </c>
      <c r="AP160">
        <v>2</v>
      </c>
      <c r="AQ160">
        <v>0</v>
      </c>
      <c r="AR160">
        <v>1</v>
      </c>
      <c r="AS160">
        <v>1</v>
      </c>
      <c r="AT160">
        <v>0</v>
      </c>
      <c r="AU160">
        <v>0</v>
      </c>
      <c r="AV160">
        <v>0</v>
      </c>
      <c r="AW160">
        <v>0</v>
      </c>
      <c r="AX160">
        <v>1</v>
      </c>
      <c r="AY160">
        <v>1</v>
      </c>
      <c r="AZ160">
        <v>2</v>
      </c>
      <c r="BA160">
        <v>2</v>
      </c>
      <c r="BB160">
        <v>2</v>
      </c>
      <c r="BC160">
        <v>2</v>
      </c>
      <c r="BD160">
        <v>0</v>
      </c>
      <c r="BE160">
        <v>2</v>
      </c>
      <c r="BF160">
        <v>1</v>
      </c>
      <c r="BG160">
        <v>1</v>
      </c>
      <c r="BH160">
        <v>1</v>
      </c>
      <c r="BI160">
        <v>2</v>
      </c>
      <c r="BJ160">
        <v>1</v>
      </c>
      <c r="BK160">
        <v>0</v>
      </c>
      <c r="BL160">
        <v>2</v>
      </c>
      <c r="BM160">
        <v>0</v>
      </c>
      <c r="BN160">
        <v>1</v>
      </c>
      <c r="BO160">
        <v>1</v>
      </c>
      <c r="BP160">
        <v>0</v>
      </c>
      <c r="BQ160">
        <v>0</v>
      </c>
      <c r="BR160">
        <v>2</v>
      </c>
      <c r="BS160">
        <v>0</v>
      </c>
      <c r="BT160">
        <v>0</v>
      </c>
      <c r="BU160">
        <v>0</v>
      </c>
      <c r="BV160">
        <v>2</v>
      </c>
      <c r="BW160">
        <v>0</v>
      </c>
      <c r="BX160">
        <v>2</v>
      </c>
      <c r="BY160">
        <v>1</v>
      </c>
      <c r="BZ160">
        <v>2</v>
      </c>
      <c r="CA160">
        <v>2</v>
      </c>
      <c r="CB160">
        <v>1</v>
      </c>
      <c r="CC160">
        <v>1</v>
      </c>
      <c r="CD160">
        <v>0</v>
      </c>
      <c r="CE160">
        <v>2</v>
      </c>
      <c r="CF160">
        <v>0</v>
      </c>
      <c r="CG160">
        <v>1</v>
      </c>
      <c r="CH160">
        <v>1</v>
      </c>
      <c r="CI160">
        <v>1</v>
      </c>
      <c r="CJ160">
        <v>2</v>
      </c>
      <c r="CK160">
        <v>1</v>
      </c>
      <c r="CL160">
        <v>0</v>
      </c>
      <c r="CM160">
        <v>2</v>
      </c>
      <c r="CN160">
        <v>2</v>
      </c>
      <c r="CO160">
        <v>2</v>
      </c>
      <c r="CP160">
        <v>2</v>
      </c>
      <c r="CQ160">
        <v>2</v>
      </c>
      <c r="CR160">
        <v>2</v>
      </c>
      <c r="CS160">
        <v>0</v>
      </c>
    </row>
    <row r="161" spans="1:97" x14ac:dyDescent="0.3">
      <c r="A161" s="155">
        <v>538</v>
      </c>
      <c r="B161" t="s">
        <v>279</v>
      </c>
      <c r="D161">
        <v>0</v>
      </c>
      <c r="E161">
        <v>2</v>
      </c>
      <c r="F161">
        <v>1</v>
      </c>
      <c r="G161">
        <v>0</v>
      </c>
      <c r="H161">
        <v>0</v>
      </c>
      <c r="I161">
        <v>1</v>
      </c>
      <c r="J161">
        <v>2</v>
      </c>
      <c r="K161">
        <v>2</v>
      </c>
      <c r="L161">
        <v>1</v>
      </c>
      <c r="M161">
        <v>2</v>
      </c>
      <c r="N161">
        <v>1</v>
      </c>
      <c r="O161">
        <v>0</v>
      </c>
      <c r="P161">
        <v>2</v>
      </c>
      <c r="Q161">
        <v>2</v>
      </c>
      <c r="R161">
        <v>0</v>
      </c>
      <c r="S161">
        <v>2</v>
      </c>
      <c r="T161">
        <v>0</v>
      </c>
      <c r="U161">
        <v>2</v>
      </c>
      <c r="V161">
        <v>0</v>
      </c>
      <c r="W161">
        <v>2</v>
      </c>
      <c r="X161">
        <v>0</v>
      </c>
      <c r="Y161">
        <v>2</v>
      </c>
      <c r="Z161">
        <v>0</v>
      </c>
      <c r="AA161">
        <v>2</v>
      </c>
      <c r="AB161">
        <v>0</v>
      </c>
      <c r="AC161">
        <v>2</v>
      </c>
      <c r="AD161">
        <v>2</v>
      </c>
      <c r="AE161">
        <v>2</v>
      </c>
      <c r="AF161">
        <v>2</v>
      </c>
      <c r="AG161">
        <v>1</v>
      </c>
      <c r="AH161">
        <v>0</v>
      </c>
      <c r="AI161">
        <v>1</v>
      </c>
      <c r="AJ161">
        <v>0</v>
      </c>
      <c r="AK161">
        <v>2</v>
      </c>
      <c r="AL161">
        <v>2</v>
      </c>
      <c r="AM161">
        <v>1</v>
      </c>
      <c r="AN161">
        <v>2</v>
      </c>
      <c r="AO161">
        <v>1</v>
      </c>
      <c r="AP161">
        <v>1</v>
      </c>
      <c r="AQ161">
        <v>0</v>
      </c>
      <c r="AR161">
        <v>1</v>
      </c>
      <c r="AS161">
        <v>1</v>
      </c>
      <c r="AT161">
        <v>0</v>
      </c>
      <c r="AU161">
        <v>0</v>
      </c>
      <c r="AV161">
        <v>0</v>
      </c>
      <c r="AW161">
        <v>0</v>
      </c>
      <c r="AX161">
        <v>1</v>
      </c>
      <c r="AY161">
        <v>2</v>
      </c>
      <c r="AZ161">
        <v>2</v>
      </c>
      <c r="BA161">
        <v>2</v>
      </c>
      <c r="BB161">
        <v>2</v>
      </c>
      <c r="BC161">
        <v>2</v>
      </c>
      <c r="BD161">
        <v>0</v>
      </c>
      <c r="BE161">
        <v>2</v>
      </c>
      <c r="BF161">
        <v>2</v>
      </c>
      <c r="BG161">
        <v>2</v>
      </c>
      <c r="BH161">
        <v>1</v>
      </c>
      <c r="BI161">
        <v>1</v>
      </c>
      <c r="BJ161">
        <v>1</v>
      </c>
      <c r="BK161">
        <v>0</v>
      </c>
      <c r="BL161">
        <v>2</v>
      </c>
      <c r="BM161">
        <v>0</v>
      </c>
      <c r="BN161">
        <v>1</v>
      </c>
      <c r="BO161">
        <v>1</v>
      </c>
      <c r="BP161">
        <v>0</v>
      </c>
      <c r="BQ161">
        <v>0</v>
      </c>
      <c r="BR161">
        <v>2</v>
      </c>
      <c r="BS161">
        <v>0</v>
      </c>
      <c r="BT161">
        <v>0</v>
      </c>
      <c r="BU161">
        <v>0</v>
      </c>
      <c r="BV161">
        <v>2</v>
      </c>
      <c r="BW161">
        <v>0</v>
      </c>
      <c r="BX161">
        <v>2</v>
      </c>
      <c r="BY161">
        <v>1</v>
      </c>
      <c r="BZ161">
        <v>1</v>
      </c>
      <c r="CA161">
        <v>2</v>
      </c>
      <c r="CB161">
        <v>1</v>
      </c>
      <c r="CC161">
        <v>2</v>
      </c>
      <c r="CD161">
        <v>0</v>
      </c>
      <c r="CE161">
        <v>1</v>
      </c>
      <c r="CF161">
        <v>2</v>
      </c>
      <c r="CG161">
        <v>1</v>
      </c>
      <c r="CH161">
        <v>2</v>
      </c>
      <c r="CI161">
        <v>1</v>
      </c>
      <c r="CJ161">
        <v>1</v>
      </c>
      <c r="CK161">
        <v>2</v>
      </c>
      <c r="CL161">
        <v>0</v>
      </c>
      <c r="CM161">
        <v>2</v>
      </c>
      <c r="CN161">
        <v>2</v>
      </c>
      <c r="CO161">
        <v>2</v>
      </c>
      <c r="CP161">
        <v>2</v>
      </c>
      <c r="CQ161">
        <v>2</v>
      </c>
      <c r="CR161">
        <v>2</v>
      </c>
      <c r="CS161">
        <v>0</v>
      </c>
    </row>
    <row r="162" spans="1:97" x14ac:dyDescent="0.3">
      <c r="A162" s="155">
        <v>540</v>
      </c>
      <c r="B162" t="s">
        <v>253</v>
      </c>
      <c r="D162">
        <v>0</v>
      </c>
      <c r="E162">
        <v>0</v>
      </c>
      <c r="F162">
        <v>0</v>
      </c>
      <c r="G162">
        <v>103650</v>
      </c>
      <c r="H162">
        <v>747982</v>
      </c>
      <c r="I162">
        <v>0</v>
      </c>
      <c r="J162">
        <v>0</v>
      </c>
      <c r="K162">
        <v>24000</v>
      </c>
      <c r="L162">
        <v>127703</v>
      </c>
      <c r="M162">
        <v>1000000</v>
      </c>
      <c r="N162">
        <v>105576</v>
      </c>
      <c r="O162">
        <v>0</v>
      </c>
      <c r="P162">
        <v>0</v>
      </c>
      <c r="Q162">
        <v>0</v>
      </c>
      <c r="R162">
        <v>0</v>
      </c>
      <c r="S162">
        <v>0</v>
      </c>
      <c r="T162">
        <v>128206</v>
      </c>
      <c r="U162">
        <v>3323014</v>
      </c>
      <c r="V162">
        <v>0</v>
      </c>
      <c r="W162">
        <v>0</v>
      </c>
      <c r="X162">
        <v>249260</v>
      </c>
      <c r="Y162">
        <v>0</v>
      </c>
      <c r="Z162">
        <v>29000</v>
      </c>
      <c r="AA162">
        <v>396731</v>
      </c>
      <c r="AB162">
        <v>0</v>
      </c>
      <c r="AC162">
        <v>1092234</v>
      </c>
      <c r="AD162">
        <v>0</v>
      </c>
      <c r="AE162">
        <v>0</v>
      </c>
      <c r="AF162">
        <v>0</v>
      </c>
      <c r="AG162">
        <v>271020</v>
      </c>
      <c r="AH162">
        <v>0</v>
      </c>
      <c r="AI162">
        <v>325400</v>
      </c>
      <c r="AJ162">
        <v>315775</v>
      </c>
      <c r="AK162">
        <v>102852</v>
      </c>
      <c r="AL162">
        <v>0</v>
      </c>
      <c r="AM162">
        <v>0</v>
      </c>
      <c r="AN162">
        <v>3029</v>
      </c>
      <c r="AO162">
        <v>0</v>
      </c>
      <c r="AP162">
        <v>65029</v>
      </c>
      <c r="AQ162">
        <v>0</v>
      </c>
      <c r="AR162">
        <v>0</v>
      </c>
      <c r="AS162">
        <v>0</v>
      </c>
      <c r="AT162">
        <v>0</v>
      </c>
      <c r="AU162">
        <v>129314</v>
      </c>
      <c r="AV162">
        <v>96577</v>
      </c>
      <c r="AW162">
        <v>0</v>
      </c>
      <c r="AX162">
        <v>14485</v>
      </c>
      <c r="AY162">
        <v>453384</v>
      </c>
      <c r="AZ162">
        <v>32370</v>
      </c>
      <c r="BA162">
        <v>1200600</v>
      </c>
      <c r="BB162">
        <v>0</v>
      </c>
      <c r="BC162">
        <v>0</v>
      </c>
      <c r="BD162">
        <v>0</v>
      </c>
      <c r="BE162">
        <v>0</v>
      </c>
      <c r="BF162">
        <v>0</v>
      </c>
      <c r="BG162">
        <v>0</v>
      </c>
      <c r="BH162">
        <v>13255</v>
      </c>
      <c r="BI162">
        <v>0</v>
      </c>
      <c r="BJ162">
        <v>0</v>
      </c>
      <c r="BK162">
        <v>12645</v>
      </c>
      <c r="BL162">
        <v>0</v>
      </c>
      <c r="BM162">
        <v>0</v>
      </c>
      <c r="BN162">
        <v>983866</v>
      </c>
      <c r="BO162">
        <v>595239</v>
      </c>
      <c r="BP162">
        <v>0</v>
      </c>
      <c r="BQ162">
        <v>75000</v>
      </c>
      <c r="BR162">
        <v>437529</v>
      </c>
      <c r="BS162">
        <v>744618</v>
      </c>
      <c r="BT162">
        <v>0</v>
      </c>
      <c r="BU162">
        <v>0</v>
      </c>
      <c r="BV162">
        <v>200000</v>
      </c>
      <c r="BW162">
        <v>0</v>
      </c>
      <c r="BX162">
        <v>174923</v>
      </c>
      <c r="BY162">
        <v>0</v>
      </c>
      <c r="BZ162">
        <v>0</v>
      </c>
      <c r="CA162">
        <v>0</v>
      </c>
      <c r="CB162">
        <v>1068000</v>
      </c>
      <c r="CC162">
        <v>0</v>
      </c>
      <c r="CD162">
        <v>8862835</v>
      </c>
      <c r="CE162">
        <v>5922700</v>
      </c>
      <c r="CF162">
        <v>0</v>
      </c>
      <c r="CG162">
        <v>0</v>
      </c>
      <c r="CH162">
        <v>0</v>
      </c>
      <c r="CI162">
        <v>0</v>
      </c>
      <c r="CJ162">
        <v>1350000</v>
      </c>
      <c r="CK162">
        <v>469544</v>
      </c>
      <c r="CL162">
        <v>0</v>
      </c>
      <c r="CM162">
        <v>0</v>
      </c>
      <c r="CN162">
        <v>0</v>
      </c>
      <c r="CO162">
        <v>0</v>
      </c>
      <c r="CP162">
        <v>0</v>
      </c>
      <c r="CQ162">
        <v>0</v>
      </c>
      <c r="CR162">
        <v>0</v>
      </c>
      <c r="CS162">
        <v>0</v>
      </c>
    </row>
    <row r="163" spans="1:97" x14ac:dyDescent="0.3">
      <c r="A163" s="155">
        <v>541</v>
      </c>
      <c r="B163" t="s">
        <v>310</v>
      </c>
      <c r="D163">
        <v>0</v>
      </c>
      <c r="E163">
        <v>0</v>
      </c>
      <c r="F163">
        <v>161204</v>
      </c>
      <c r="G163">
        <v>0</v>
      </c>
      <c r="H163">
        <v>0</v>
      </c>
      <c r="I163">
        <v>110701</v>
      </c>
      <c r="J163">
        <v>316635</v>
      </c>
      <c r="K163">
        <v>205926</v>
      </c>
      <c r="L163">
        <v>41998</v>
      </c>
      <c r="M163">
        <v>1122623</v>
      </c>
      <c r="N163">
        <v>-162803</v>
      </c>
      <c r="O163">
        <v>0</v>
      </c>
      <c r="P163">
        <v>106729</v>
      </c>
      <c r="Q163">
        <v>-175530</v>
      </c>
      <c r="R163">
        <v>0</v>
      </c>
      <c r="S163">
        <v>28572</v>
      </c>
      <c r="T163">
        <v>0</v>
      </c>
      <c r="U163">
        <v>0</v>
      </c>
      <c r="V163">
        <v>0</v>
      </c>
      <c r="W163">
        <v>823293</v>
      </c>
      <c r="X163">
        <v>0</v>
      </c>
      <c r="Y163">
        <v>135976</v>
      </c>
      <c r="Z163">
        <v>0</v>
      </c>
      <c r="AA163">
        <v>331014</v>
      </c>
      <c r="AB163">
        <v>0</v>
      </c>
      <c r="AC163">
        <v>-518367</v>
      </c>
      <c r="AD163">
        <v>-233675</v>
      </c>
      <c r="AE163">
        <v>-18901</v>
      </c>
      <c r="AF163">
        <v>58955</v>
      </c>
      <c r="AG163">
        <v>1130153</v>
      </c>
      <c r="AH163">
        <v>0</v>
      </c>
      <c r="AI163">
        <v>221132</v>
      </c>
      <c r="AJ163">
        <v>0</v>
      </c>
      <c r="AK163">
        <v>19231</v>
      </c>
      <c r="AL163">
        <v>-1257677</v>
      </c>
      <c r="AM163">
        <v>489471</v>
      </c>
      <c r="AN163">
        <v>148971</v>
      </c>
      <c r="AO163">
        <v>-445315</v>
      </c>
      <c r="AP163">
        <v>13714</v>
      </c>
      <c r="AQ163">
        <v>0</v>
      </c>
      <c r="AR163">
        <v>652843</v>
      </c>
      <c r="AS163">
        <v>13624</v>
      </c>
      <c r="AT163">
        <v>0</v>
      </c>
      <c r="AU163">
        <v>0</v>
      </c>
      <c r="AV163">
        <v>0</v>
      </c>
      <c r="AW163">
        <v>0</v>
      </c>
      <c r="AX163">
        <v>20224</v>
      </c>
      <c r="AY163">
        <v>215905</v>
      </c>
      <c r="AZ163">
        <v>55715</v>
      </c>
      <c r="BA163">
        <v>0</v>
      </c>
      <c r="BB163">
        <v>0</v>
      </c>
      <c r="BC163">
        <v>329674</v>
      </c>
      <c r="BD163">
        <v>0</v>
      </c>
      <c r="BE163">
        <v>120472</v>
      </c>
      <c r="BF163">
        <v>-35655</v>
      </c>
      <c r="BG163">
        <v>-25740</v>
      </c>
      <c r="BH163">
        <v>121993</v>
      </c>
      <c r="BI163">
        <v>238763</v>
      </c>
      <c r="BJ163">
        <v>192667</v>
      </c>
      <c r="BK163">
        <v>0</v>
      </c>
      <c r="BL163">
        <v>0</v>
      </c>
      <c r="BM163">
        <v>0</v>
      </c>
      <c r="BN163">
        <v>1336061</v>
      </c>
      <c r="BO163">
        <v>777993</v>
      </c>
      <c r="BP163">
        <v>0</v>
      </c>
      <c r="BQ163">
        <v>0</v>
      </c>
      <c r="BR163">
        <v>562631</v>
      </c>
      <c r="BS163">
        <v>0</v>
      </c>
      <c r="BT163">
        <v>0</v>
      </c>
      <c r="BU163">
        <v>0</v>
      </c>
      <c r="BV163">
        <v>-85249</v>
      </c>
      <c r="BW163">
        <v>0</v>
      </c>
      <c r="BX163">
        <v>-103156</v>
      </c>
      <c r="BY163">
        <v>689591</v>
      </c>
      <c r="BZ163">
        <v>286219</v>
      </c>
      <c r="CA163">
        <v>4853</v>
      </c>
      <c r="CB163">
        <v>516202</v>
      </c>
      <c r="CC163">
        <v>96613</v>
      </c>
      <c r="CD163">
        <v>0</v>
      </c>
      <c r="CE163">
        <v>4872006</v>
      </c>
      <c r="CF163">
        <v>10712</v>
      </c>
      <c r="CG163">
        <v>289856</v>
      </c>
      <c r="CH163">
        <v>-40782</v>
      </c>
      <c r="CI163">
        <v>204225</v>
      </c>
      <c r="CJ163">
        <v>44600871</v>
      </c>
      <c r="CK163">
        <v>605324</v>
      </c>
      <c r="CL163">
        <v>92466</v>
      </c>
      <c r="CM163">
        <v>0</v>
      </c>
      <c r="CN163">
        <v>18</v>
      </c>
      <c r="CO163">
        <v>1518922</v>
      </c>
      <c r="CP163">
        <v>92319</v>
      </c>
      <c r="CQ163">
        <v>-76439</v>
      </c>
      <c r="CR163">
        <v>0</v>
      </c>
      <c r="CS163">
        <v>0</v>
      </c>
    </row>
    <row r="164" spans="1:97" x14ac:dyDescent="0.3">
      <c r="A164" s="155">
        <v>542</v>
      </c>
      <c r="B164" t="s">
        <v>929</v>
      </c>
      <c r="D164">
        <v>0</v>
      </c>
      <c r="E164">
        <v>0</v>
      </c>
      <c r="F164">
        <v>0</v>
      </c>
      <c r="G164">
        <v>0</v>
      </c>
      <c r="H164">
        <v>0</v>
      </c>
      <c r="I164">
        <v>0</v>
      </c>
      <c r="J164">
        <v>0</v>
      </c>
      <c r="K164">
        <v>0</v>
      </c>
      <c r="L164">
        <v>5150</v>
      </c>
      <c r="M164">
        <v>0</v>
      </c>
      <c r="N164">
        <v>0</v>
      </c>
      <c r="O164">
        <v>0</v>
      </c>
      <c r="P164">
        <v>0</v>
      </c>
      <c r="Q164">
        <v>0</v>
      </c>
      <c r="R164">
        <v>0</v>
      </c>
      <c r="S164">
        <v>0</v>
      </c>
      <c r="T164">
        <v>0</v>
      </c>
      <c r="U164">
        <v>0</v>
      </c>
      <c r="V164">
        <v>0</v>
      </c>
      <c r="W164">
        <v>0</v>
      </c>
      <c r="X164">
        <v>0</v>
      </c>
      <c r="Y164">
        <v>0</v>
      </c>
      <c r="Z164">
        <v>0</v>
      </c>
      <c r="AA164">
        <v>165169</v>
      </c>
      <c r="AB164">
        <v>0</v>
      </c>
      <c r="AC164">
        <v>0</v>
      </c>
      <c r="AD164">
        <v>285772</v>
      </c>
      <c r="AE164">
        <v>0</v>
      </c>
      <c r="AF164">
        <v>0</v>
      </c>
      <c r="AG164">
        <v>1100165</v>
      </c>
      <c r="AH164">
        <v>0</v>
      </c>
      <c r="AI164">
        <v>0</v>
      </c>
      <c r="AJ164">
        <v>0</v>
      </c>
      <c r="AK164">
        <v>0</v>
      </c>
      <c r="AL164">
        <v>0</v>
      </c>
      <c r="AM164">
        <v>0</v>
      </c>
      <c r="AN164">
        <v>0</v>
      </c>
      <c r="AO164">
        <v>0</v>
      </c>
      <c r="AP164">
        <v>0</v>
      </c>
      <c r="AQ164">
        <v>0</v>
      </c>
      <c r="AR164">
        <v>0</v>
      </c>
      <c r="AS164">
        <v>0</v>
      </c>
      <c r="AT164">
        <v>0</v>
      </c>
      <c r="AU164">
        <v>0</v>
      </c>
      <c r="AV164">
        <v>0</v>
      </c>
      <c r="AW164">
        <v>0</v>
      </c>
      <c r="AX164">
        <v>30122</v>
      </c>
      <c r="AY164">
        <v>0</v>
      </c>
      <c r="AZ164">
        <v>20075</v>
      </c>
      <c r="BA164">
        <v>0</v>
      </c>
      <c r="BB164">
        <v>0</v>
      </c>
      <c r="BC164">
        <v>0</v>
      </c>
      <c r="BD164">
        <v>0</v>
      </c>
      <c r="BE164">
        <v>0</v>
      </c>
      <c r="BF164">
        <v>0</v>
      </c>
      <c r="BG164">
        <v>0</v>
      </c>
      <c r="BH164">
        <v>0</v>
      </c>
      <c r="BI164">
        <v>0</v>
      </c>
      <c r="BJ164">
        <v>400998</v>
      </c>
      <c r="BK164">
        <v>0</v>
      </c>
      <c r="BL164">
        <v>0</v>
      </c>
      <c r="BM164">
        <v>0</v>
      </c>
      <c r="BN164">
        <v>482200</v>
      </c>
      <c r="BO164">
        <v>0</v>
      </c>
      <c r="BP164">
        <v>0</v>
      </c>
      <c r="BQ164">
        <v>0</v>
      </c>
      <c r="BR164">
        <v>0</v>
      </c>
      <c r="BS164">
        <v>0</v>
      </c>
      <c r="BT164">
        <v>0</v>
      </c>
      <c r="BU164">
        <v>0</v>
      </c>
      <c r="BV164">
        <v>200000</v>
      </c>
      <c r="BW164">
        <v>0</v>
      </c>
      <c r="BX164">
        <v>0</v>
      </c>
      <c r="BY164">
        <v>0</v>
      </c>
      <c r="BZ164">
        <v>0</v>
      </c>
      <c r="CA164">
        <v>0</v>
      </c>
      <c r="CB164">
        <v>0</v>
      </c>
      <c r="CC164">
        <v>0</v>
      </c>
      <c r="CD164">
        <v>0</v>
      </c>
      <c r="CE164">
        <v>4594260</v>
      </c>
      <c r="CF164">
        <v>0</v>
      </c>
      <c r="CG164">
        <v>38700</v>
      </c>
      <c r="CH164">
        <v>0</v>
      </c>
      <c r="CI164">
        <v>0</v>
      </c>
      <c r="CJ164">
        <v>0</v>
      </c>
      <c r="CK164">
        <v>0</v>
      </c>
      <c r="CL164">
        <v>0</v>
      </c>
      <c r="CM164">
        <v>0</v>
      </c>
      <c r="CN164">
        <v>0</v>
      </c>
      <c r="CO164">
        <v>0</v>
      </c>
      <c r="CP164">
        <v>0</v>
      </c>
      <c r="CQ164">
        <v>0</v>
      </c>
      <c r="CR164">
        <v>0</v>
      </c>
      <c r="CS164">
        <v>0</v>
      </c>
    </row>
    <row r="165" spans="1:97" x14ac:dyDescent="0.3">
      <c r="A165" s="155">
        <v>544</v>
      </c>
      <c r="B165" t="s">
        <v>52</v>
      </c>
      <c r="D165">
        <v>0</v>
      </c>
      <c r="E165">
        <v>0</v>
      </c>
      <c r="F165">
        <v>0</v>
      </c>
      <c r="G165">
        <v>0</v>
      </c>
      <c r="H165">
        <v>0</v>
      </c>
      <c r="I165">
        <v>0</v>
      </c>
      <c r="J165">
        <v>0</v>
      </c>
      <c r="K165">
        <v>0</v>
      </c>
      <c r="L165">
        <v>0</v>
      </c>
      <c r="M165">
        <v>0</v>
      </c>
      <c r="N165">
        <v>0</v>
      </c>
      <c r="O165">
        <v>0</v>
      </c>
      <c r="P165">
        <v>0</v>
      </c>
      <c r="Q165">
        <v>0</v>
      </c>
      <c r="R165">
        <v>0</v>
      </c>
      <c r="S165">
        <v>0</v>
      </c>
      <c r="T165">
        <v>0</v>
      </c>
      <c r="U165">
        <v>0</v>
      </c>
      <c r="V165">
        <v>0.01</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0.06</v>
      </c>
      <c r="AY165">
        <v>0</v>
      </c>
      <c r="AZ165">
        <v>0</v>
      </c>
      <c r="BA165">
        <v>0</v>
      </c>
      <c r="BB165">
        <v>0</v>
      </c>
      <c r="BC165">
        <v>0</v>
      </c>
      <c r="BD165">
        <v>0</v>
      </c>
      <c r="BE165">
        <v>0</v>
      </c>
      <c r="BF165">
        <v>0</v>
      </c>
      <c r="BG165">
        <v>0</v>
      </c>
      <c r="BH165">
        <v>0</v>
      </c>
      <c r="BI165">
        <v>0</v>
      </c>
      <c r="BJ165">
        <v>0</v>
      </c>
      <c r="BK165">
        <v>0</v>
      </c>
      <c r="BL165">
        <v>0</v>
      </c>
      <c r="BM165">
        <v>0</v>
      </c>
      <c r="BN165">
        <v>0</v>
      </c>
      <c r="BO165">
        <v>0</v>
      </c>
      <c r="BP165">
        <v>0.1</v>
      </c>
      <c r="BQ165">
        <v>0</v>
      </c>
      <c r="BR165">
        <v>0</v>
      </c>
      <c r="BS165">
        <v>0</v>
      </c>
      <c r="BT165">
        <v>0</v>
      </c>
      <c r="BU165">
        <v>0</v>
      </c>
      <c r="BV165">
        <v>0</v>
      </c>
      <c r="BW165">
        <v>0.05</v>
      </c>
      <c r="BX165">
        <v>0</v>
      </c>
      <c r="BY165">
        <v>0</v>
      </c>
      <c r="BZ165">
        <v>0</v>
      </c>
      <c r="CA165">
        <v>0</v>
      </c>
      <c r="CB165">
        <v>0</v>
      </c>
      <c r="CC165">
        <v>0.1</v>
      </c>
      <c r="CD165">
        <v>0</v>
      </c>
      <c r="CE165">
        <v>0</v>
      </c>
      <c r="CF165">
        <v>0</v>
      </c>
      <c r="CG165">
        <v>0</v>
      </c>
      <c r="CH165">
        <v>0</v>
      </c>
      <c r="CI165">
        <v>0</v>
      </c>
      <c r="CJ165">
        <v>2</v>
      </c>
      <c r="CK165">
        <v>0</v>
      </c>
      <c r="CL165">
        <v>0</v>
      </c>
      <c r="CM165">
        <v>0</v>
      </c>
      <c r="CN165">
        <v>0</v>
      </c>
      <c r="CO165">
        <v>0</v>
      </c>
      <c r="CP165">
        <v>0</v>
      </c>
      <c r="CQ165">
        <v>0</v>
      </c>
      <c r="CR165">
        <v>0</v>
      </c>
      <c r="CS165">
        <v>0</v>
      </c>
    </row>
    <row r="166" spans="1:97" x14ac:dyDescent="0.3">
      <c r="A166" s="155">
        <v>545</v>
      </c>
      <c r="B166" t="s">
        <v>53</v>
      </c>
      <c r="D166">
        <v>0</v>
      </c>
      <c r="E166">
        <v>0</v>
      </c>
      <c r="F166">
        <v>0</v>
      </c>
      <c r="G166">
        <v>0</v>
      </c>
      <c r="H166">
        <v>0.02</v>
      </c>
      <c r="I166">
        <v>0</v>
      </c>
      <c r="J166">
        <v>0</v>
      </c>
      <c r="K166">
        <v>0</v>
      </c>
      <c r="L166">
        <v>0</v>
      </c>
      <c r="M166">
        <v>0</v>
      </c>
      <c r="N166">
        <v>0</v>
      </c>
      <c r="O166">
        <v>0</v>
      </c>
      <c r="P166">
        <v>0</v>
      </c>
      <c r="Q166">
        <v>0</v>
      </c>
      <c r="R166">
        <v>0</v>
      </c>
      <c r="S166">
        <v>0</v>
      </c>
      <c r="T166">
        <v>0</v>
      </c>
      <c r="U166">
        <v>0</v>
      </c>
      <c r="V166">
        <v>0</v>
      </c>
      <c r="W166">
        <v>0</v>
      </c>
      <c r="X166">
        <v>0</v>
      </c>
      <c r="Y166">
        <v>0</v>
      </c>
      <c r="Z166">
        <v>1.4999999999999999E-2</v>
      </c>
      <c r="AA166">
        <v>0</v>
      </c>
      <c r="AB166">
        <v>0</v>
      </c>
      <c r="AC166">
        <v>0</v>
      </c>
      <c r="AD166">
        <v>0</v>
      </c>
      <c r="AE166">
        <v>0</v>
      </c>
      <c r="AF166">
        <v>0</v>
      </c>
      <c r="AG166">
        <v>0.02</v>
      </c>
      <c r="AH166">
        <v>0</v>
      </c>
      <c r="AI166">
        <v>0.02</v>
      </c>
      <c r="AJ166">
        <v>0</v>
      </c>
      <c r="AK166">
        <v>0</v>
      </c>
      <c r="AL166">
        <v>0</v>
      </c>
      <c r="AM166">
        <v>0</v>
      </c>
      <c r="AN166">
        <v>0</v>
      </c>
      <c r="AO166">
        <v>0</v>
      </c>
      <c r="AP166">
        <v>0</v>
      </c>
      <c r="AQ166">
        <v>0</v>
      </c>
      <c r="AR166">
        <v>0</v>
      </c>
      <c r="AS166">
        <v>0</v>
      </c>
      <c r="AT166">
        <v>0</v>
      </c>
      <c r="AU166">
        <v>0</v>
      </c>
      <c r="AV166">
        <v>0</v>
      </c>
      <c r="AW166">
        <v>0.03</v>
      </c>
      <c r="AX166">
        <v>0</v>
      </c>
      <c r="AY166">
        <v>0</v>
      </c>
      <c r="AZ166">
        <v>0</v>
      </c>
      <c r="BA166">
        <v>0</v>
      </c>
      <c r="BB166">
        <v>0</v>
      </c>
      <c r="BC166">
        <v>0</v>
      </c>
      <c r="BD166">
        <v>0</v>
      </c>
      <c r="BE166">
        <v>0</v>
      </c>
      <c r="BF166">
        <v>0</v>
      </c>
      <c r="BG166">
        <v>0</v>
      </c>
      <c r="BH166">
        <v>0</v>
      </c>
      <c r="BI166">
        <v>0</v>
      </c>
      <c r="BJ166">
        <v>7.0000000000000007E-2</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row>
    <row r="167" spans="1:97" x14ac:dyDescent="0.3">
      <c r="A167" s="155">
        <v>546</v>
      </c>
      <c r="B167" t="s">
        <v>930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row>
    <row r="168" spans="1:97" x14ac:dyDescent="0.3">
      <c r="A168" s="155">
        <v>547</v>
      </c>
      <c r="B168" t="s">
        <v>931</v>
      </c>
      <c r="D168">
        <v>2</v>
      </c>
      <c r="E168">
        <v>2</v>
      </c>
      <c r="F168">
        <v>3</v>
      </c>
      <c r="G168">
        <v>2</v>
      </c>
      <c r="H168">
        <v>2</v>
      </c>
      <c r="I168">
        <v>2</v>
      </c>
      <c r="J168">
        <v>3</v>
      </c>
      <c r="K168">
        <v>4</v>
      </c>
      <c r="L168">
        <v>2</v>
      </c>
      <c r="M168">
        <v>1</v>
      </c>
      <c r="N168">
        <v>3</v>
      </c>
      <c r="O168">
        <v>0</v>
      </c>
      <c r="P168">
        <v>2</v>
      </c>
      <c r="Q168">
        <v>2</v>
      </c>
      <c r="R168">
        <v>2</v>
      </c>
      <c r="S168">
        <v>2</v>
      </c>
      <c r="T168">
        <v>2</v>
      </c>
      <c r="U168">
        <v>2</v>
      </c>
      <c r="V168">
        <v>4</v>
      </c>
      <c r="W168">
        <v>2</v>
      </c>
      <c r="X168">
        <v>3</v>
      </c>
      <c r="Y168">
        <v>2</v>
      </c>
      <c r="Z168">
        <v>3</v>
      </c>
      <c r="AA168">
        <v>2</v>
      </c>
      <c r="AB168">
        <v>2</v>
      </c>
      <c r="AC168">
        <v>3</v>
      </c>
      <c r="AD168">
        <v>2</v>
      </c>
      <c r="AE168">
        <v>2</v>
      </c>
      <c r="AF168">
        <v>2</v>
      </c>
      <c r="AG168">
        <v>3</v>
      </c>
      <c r="AH168">
        <v>2</v>
      </c>
      <c r="AI168">
        <v>3</v>
      </c>
      <c r="AJ168">
        <v>2</v>
      </c>
      <c r="AK168">
        <v>2</v>
      </c>
      <c r="AL168">
        <v>2</v>
      </c>
      <c r="AM168">
        <v>3</v>
      </c>
      <c r="AN168">
        <v>2</v>
      </c>
      <c r="AO168">
        <v>2</v>
      </c>
      <c r="AP168">
        <v>2</v>
      </c>
      <c r="AQ168">
        <v>2</v>
      </c>
      <c r="AR168">
        <v>3</v>
      </c>
      <c r="AS168">
        <v>2</v>
      </c>
      <c r="AT168">
        <v>2</v>
      </c>
      <c r="AU168">
        <v>2</v>
      </c>
      <c r="AV168">
        <v>2</v>
      </c>
      <c r="AW168">
        <v>2</v>
      </c>
      <c r="AX168">
        <v>3</v>
      </c>
      <c r="AY168">
        <v>3</v>
      </c>
      <c r="AZ168">
        <v>2</v>
      </c>
      <c r="BA168">
        <v>3</v>
      </c>
      <c r="BB168">
        <v>2</v>
      </c>
      <c r="BC168">
        <v>2</v>
      </c>
      <c r="BD168">
        <v>2</v>
      </c>
      <c r="BE168">
        <v>2</v>
      </c>
      <c r="BF168">
        <v>2</v>
      </c>
      <c r="BG168">
        <v>2</v>
      </c>
      <c r="BH168">
        <v>2</v>
      </c>
      <c r="BI168">
        <v>1</v>
      </c>
      <c r="BJ168">
        <v>3</v>
      </c>
      <c r="BK168">
        <v>2</v>
      </c>
      <c r="BL168">
        <v>0</v>
      </c>
      <c r="BM168">
        <v>2</v>
      </c>
      <c r="BN168">
        <v>3</v>
      </c>
      <c r="BO168">
        <v>3</v>
      </c>
      <c r="BP168">
        <v>2</v>
      </c>
      <c r="BQ168">
        <v>0</v>
      </c>
      <c r="BR168">
        <v>3</v>
      </c>
      <c r="BS168">
        <v>1</v>
      </c>
      <c r="BT168">
        <v>2</v>
      </c>
      <c r="BU168">
        <v>2</v>
      </c>
      <c r="BV168">
        <v>2</v>
      </c>
      <c r="BW168">
        <v>2</v>
      </c>
      <c r="BX168">
        <v>2</v>
      </c>
      <c r="BY168">
        <v>2</v>
      </c>
      <c r="BZ168">
        <v>3</v>
      </c>
      <c r="CA168">
        <v>0</v>
      </c>
      <c r="CB168">
        <v>3</v>
      </c>
      <c r="CC168">
        <v>3</v>
      </c>
      <c r="CD168">
        <v>3</v>
      </c>
      <c r="CE168">
        <v>3</v>
      </c>
      <c r="CF168">
        <v>2</v>
      </c>
      <c r="CG168">
        <v>3</v>
      </c>
      <c r="CH168">
        <v>2</v>
      </c>
      <c r="CI168">
        <v>2</v>
      </c>
      <c r="CJ168">
        <v>3</v>
      </c>
      <c r="CK168">
        <v>3</v>
      </c>
      <c r="CL168">
        <v>2</v>
      </c>
      <c r="CM168">
        <v>3</v>
      </c>
      <c r="CN168">
        <v>0</v>
      </c>
      <c r="CO168">
        <v>3</v>
      </c>
      <c r="CP168">
        <v>2</v>
      </c>
      <c r="CQ168">
        <v>2</v>
      </c>
      <c r="CR168">
        <v>0</v>
      </c>
      <c r="CS168">
        <v>3</v>
      </c>
    </row>
    <row r="169" spans="1:97" x14ac:dyDescent="0.3">
      <c r="A169" s="155">
        <v>554</v>
      </c>
      <c r="B169" t="s">
        <v>320</v>
      </c>
      <c r="F169">
        <v>256913</v>
      </c>
      <c r="M169">
        <v>13937423</v>
      </c>
      <c r="Q169">
        <v>1713125</v>
      </c>
      <c r="W169">
        <v>9903322</v>
      </c>
      <c r="AA169">
        <v>1762024</v>
      </c>
      <c r="AE169">
        <v>1402886</v>
      </c>
      <c r="AG169">
        <v>839338</v>
      </c>
      <c r="AI169">
        <v>7585317</v>
      </c>
      <c r="AM169">
        <v>130306</v>
      </c>
      <c r="AR169">
        <v>2840648</v>
      </c>
      <c r="BA169">
        <v>1229878</v>
      </c>
      <c r="BC169">
        <v>919760</v>
      </c>
      <c r="BH169">
        <v>1153331</v>
      </c>
      <c r="BI169">
        <v>2958908</v>
      </c>
      <c r="BJ169">
        <v>1240789</v>
      </c>
      <c r="BY169">
        <v>0</v>
      </c>
      <c r="BZ169">
        <v>334194</v>
      </c>
      <c r="CC169">
        <v>4238823</v>
      </c>
      <c r="CD169">
        <v>12205954</v>
      </c>
      <c r="CE169">
        <v>2859071</v>
      </c>
      <c r="CJ169">
        <v>39956943</v>
      </c>
      <c r="CK169">
        <v>1532540</v>
      </c>
      <c r="CS169">
        <v>1254752</v>
      </c>
    </row>
    <row r="170" spans="1:97" x14ac:dyDescent="0.3">
      <c r="A170" s="155">
        <v>555</v>
      </c>
      <c r="B170" t="s">
        <v>321</v>
      </c>
      <c r="F170">
        <v>0</v>
      </c>
      <c r="M170">
        <v>11926565</v>
      </c>
      <c r="Q170">
        <v>991938</v>
      </c>
      <c r="W170">
        <v>9783550</v>
      </c>
      <c r="AA170">
        <v>862274</v>
      </c>
      <c r="AE170">
        <v>1348615</v>
      </c>
      <c r="AG170">
        <v>727507</v>
      </c>
      <c r="AI170">
        <v>7475301</v>
      </c>
      <c r="AM170">
        <v>0</v>
      </c>
      <c r="AR170">
        <v>2530467</v>
      </c>
      <c r="BA170">
        <v>1075387</v>
      </c>
      <c r="BC170">
        <v>382007</v>
      </c>
      <c r="BH170">
        <v>1153331</v>
      </c>
      <c r="BI170">
        <v>2837045</v>
      </c>
      <c r="BJ170">
        <v>550554</v>
      </c>
      <c r="BY170">
        <v>0</v>
      </c>
      <c r="BZ170">
        <v>0</v>
      </c>
      <c r="CC170">
        <v>4096111</v>
      </c>
      <c r="CD170">
        <v>9067513</v>
      </c>
      <c r="CE170">
        <v>676363</v>
      </c>
      <c r="CJ170">
        <v>24631989</v>
      </c>
      <c r="CK170">
        <v>754184</v>
      </c>
      <c r="CS170">
        <v>1067220</v>
      </c>
    </row>
    <row r="171" spans="1:97" x14ac:dyDescent="0.3">
      <c r="A171" s="155">
        <v>556</v>
      </c>
      <c r="B171" t="s">
        <v>322</v>
      </c>
      <c r="F171">
        <v>613653</v>
      </c>
      <c r="M171">
        <v>1430196</v>
      </c>
      <c r="Q171">
        <v>72181</v>
      </c>
      <c r="W171">
        <v>3430765</v>
      </c>
      <c r="AA171">
        <v>721230</v>
      </c>
      <c r="AE171">
        <v>9495</v>
      </c>
      <c r="AG171">
        <v>5449275</v>
      </c>
      <c r="AI171">
        <v>7236841</v>
      </c>
      <c r="AM171">
        <v>742138</v>
      </c>
      <c r="AR171">
        <v>1311674</v>
      </c>
      <c r="BA171">
        <v>1188859</v>
      </c>
      <c r="BC171">
        <v>418380</v>
      </c>
      <c r="BH171">
        <v>2240893</v>
      </c>
      <c r="BI171">
        <v>172374</v>
      </c>
      <c r="BJ171">
        <v>1005474</v>
      </c>
      <c r="BY171">
        <v>1554337</v>
      </c>
      <c r="BZ171">
        <v>1119959</v>
      </c>
      <c r="CC171">
        <v>620867</v>
      </c>
      <c r="CD171">
        <v>4778795</v>
      </c>
      <c r="CE171">
        <v>1553354</v>
      </c>
      <c r="CJ171">
        <v>5428274</v>
      </c>
      <c r="CK171">
        <v>417834</v>
      </c>
      <c r="CS171">
        <v>103998</v>
      </c>
    </row>
    <row r="172" spans="1:97" x14ac:dyDescent="0.3">
      <c r="A172" s="155">
        <v>557</v>
      </c>
      <c r="B172" t="s">
        <v>323</v>
      </c>
      <c r="F172">
        <v>299700</v>
      </c>
      <c r="M172">
        <v>2053365</v>
      </c>
      <c r="Q172">
        <v>0</v>
      </c>
      <c r="W172">
        <v>3261183</v>
      </c>
      <c r="AA172">
        <v>352924</v>
      </c>
      <c r="AE172">
        <v>0</v>
      </c>
      <c r="AG172">
        <v>4738692</v>
      </c>
      <c r="AI172">
        <v>6311975</v>
      </c>
      <c r="AM172">
        <v>561851</v>
      </c>
      <c r="AR172">
        <v>1176068</v>
      </c>
      <c r="BA172">
        <v>909619</v>
      </c>
      <c r="BC172">
        <v>0</v>
      </c>
      <c r="BH172">
        <v>1876332</v>
      </c>
      <c r="BI172">
        <v>0</v>
      </c>
      <c r="BJ172">
        <v>442008</v>
      </c>
      <c r="BY172">
        <v>1425851</v>
      </c>
      <c r="BZ172">
        <v>1027388</v>
      </c>
      <c r="CC172">
        <v>485342</v>
      </c>
      <c r="CD172">
        <v>3817069</v>
      </c>
      <c r="CE172">
        <v>1264735</v>
      </c>
      <c r="CJ172">
        <v>5241953</v>
      </c>
      <c r="CK172">
        <v>0</v>
      </c>
      <c r="CS172">
        <v>0</v>
      </c>
    </row>
    <row r="173" spans="1:97" x14ac:dyDescent="0.3">
      <c r="A173" s="155">
        <v>558</v>
      </c>
      <c r="B173" t="s">
        <v>932</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row>
    <row r="174" spans="1:97" x14ac:dyDescent="0.3">
      <c r="A174" s="155">
        <v>559</v>
      </c>
      <c r="B174" t="s">
        <v>933</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row>
    <row r="175" spans="1:97" x14ac:dyDescent="0.3">
      <c r="A175" s="155">
        <v>560</v>
      </c>
      <c r="B175" t="s">
        <v>934</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row>
    <row r="176" spans="1:97" x14ac:dyDescent="0.3">
      <c r="A176" s="155">
        <v>561</v>
      </c>
      <c r="B176" t="s">
        <v>935</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row>
    <row r="177" spans="1:97" x14ac:dyDescent="0.3">
      <c r="A177" s="155">
        <v>562</v>
      </c>
      <c r="B177" t="s">
        <v>936</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row>
    <row r="178" spans="1:97" x14ac:dyDescent="0.3">
      <c r="A178" s="155">
        <v>563</v>
      </c>
      <c r="B178" t="s">
        <v>937</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row>
    <row r="179" spans="1:97" x14ac:dyDescent="0.3">
      <c r="A179" s="155">
        <v>564</v>
      </c>
      <c r="B179" t="s">
        <v>938</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row>
    <row r="180" spans="1:97" x14ac:dyDescent="0.3">
      <c r="A180" s="155">
        <v>565</v>
      </c>
      <c r="B180" t="s">
        <v>939</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row>
    <row r="181" spans="1:97" x14ac:dyDescent="0.3">
      <c r="A181" s="155">
        <v>566</v>
      </c>
      <c r="B181" t="s">
        <v>940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row>
    <row r="182" spans="1:97" x14ac:dyDescent="0.3">
      <c r="A182" s="155">
        <v>567</v>
      </c>
      <c r="B182" t="s">
        <v>941</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row>
    <row r="183" spans="1:97" x14ac:dyDescent="0.3">
      <c r="A183" s="155">
        <v>568</v>
      </c>
      <c r="B183" t="s">
        <v>942</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row>
    <row r="184" spans="1:97" x14ac:dyDescent="0.3">
      <c r="A184" s="155">
        <v>569</v>
      </c>
      <c r="B184" t="s">
        <v>943</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row>
    <row r="185" spans="1:97" x14ac:dyDescent="0.3">
      <c r="A185" s="155">
        <v>571</v>
      </c>
      <c r="B185" t="s">
        <v>670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row>
    <row r="186" spans="1:97" x14ac:dyDescent="0.3">
      <c r="A186" s="155">
        <v>572</v>
      </c>
      <c r="B186" t="s">
        <v>671</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row>
    <row r="187" spans="1:97" x14ac:dyDescent="0.3">
      <c r="A187" s="155">
        <v>573</v>
      </c>
      <c r="B187" t="s">
        <v>788</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row>
    <row r="188" spans="1:97" x14ac:dyDescent="0.3">
      <c r="A188" s="155">
        <v>575</v>
      </c>
      <c r="B188" t="s">
        <v>302</v>
      </c>
      <c r="D188">
        <v>0</v>
      </c>
      <c r="E188">
        <v>0</v>
      </c>
      <c r="F188">
        <v>293187</v>
      </c>
      <c r="G188">
        <v>0</v>
      </c>
      <c r="H188">
        <v>0</v>
      </c>
      <c r="I188">
        <v>0</v>
      </c>
      <c r="J188">
        <v>0</v>
      </c>
      <c r="K188">
        <v>0</v>
      </c>
      <c r="L188">
        <v>107119</v>
      </c>
      <c r="M188">
        <v>796050</v>
      </c>
      <c r="N188">
        <v>348</v>
      </c>
      <c r="O188">
        <v>0</v>
      </c>
      <c r="P188">
        <v>0</v>
      </c>
      <c r="Q188">
        <v>0</v>
      </c>
      <c r="R188">
        <v>0</v>
      </c>
      <c r="S188">
        <v>19320</v>
      </c>
      <c r="T188">
        <v>0</v>
      </c>
      <c r="U188">
        <v>0</v>
      </c>
      <c r="V188">
        <v>0</v>
      </c>
      <c r="W188">
        <v>95375</v>
      </c>
      <c r="X188">
        <v>0</v>
      </c>
      <c r="Y188">
        <v>188000</v>
      </c>
      <c r="Z188">
        <v>0</v>
      </c>
      <c r="AA188">
        <v>21258</v>
      </c>
      <c r="AB188">
        <v>0</v>
      </c>
      <c r="AC188">
        <v>0</v>
      </c>
      <c r="AD188">
        <v>0</v>
      </c>
      <c r="AE188">
        <v>0</v>
      </c>
      <c r="AF188">
        <v>25286</v>
      </c>
      <c r="AG188">
        <v>0</v>
      </c>
      <c r="AH188">
        <v>0</v>
      </c>
      <c r="AI188">
        <v>0</v>
      </c>
      <c r="AJ188">
        <v>0</v>
      </c>
      <c r="AK188">
        <v>9626</v>
      </c>
      <c r="AL188">
        <v>1092011</v>
      </c>
      <c r="AM188">
        <v>0</v>
      </c>
      <c r="AN188">
        <v>6090</v>
      </c>
      <c r="AO188">
        <v>376011</v>
      </c>
      <c r="AP188">
        <v>0</v>
      </c>
      <c r="AQ188">
        <v>0</v>
      </c>
      <c r="AR188">
        <v>0</v>
      </c>
      <c r="AS188">
        <v>57078</v>
      </c>
      <c r="AT188">
        <v>0</v>
      </c>
      <c r="AU188">
        <v>0</v>
      </c>
      <c r="AV188">
        <v>0</v>
      </c>
      <c r="AW188">
        <v>0</v>
      </c>
      <c r="AX188">
        <v>0</v>
      </c>
      <c r="AY188">
        <v>33601</v>
      </c>
      <c r="AZ188">
        <v>0</v>
      </c>
      <c r="BA188">
        <v>0</v>
      </c>
      <c r="BB188">
        <v>0</v>
      </c>
      <c r="BC188">
        <v>0</v>
      </c>
      <c r="BD188">
        <v>0</v>
      </c>
      <c r="BE188">
        <v>0</v>
      </c>
      <c r="BF188">
        <v>0</v>
      </c>
      <c r="BG188">
        <v>0</v>
      </c>
      <c r="BH188">
        <v>0</v>
      </c>
      <c r="BI188">
        <v>63242</v>
      </c>
      <c r="BJ188">
        <v>0</v>
      </c>
      <c r="BK188">
        <v>0</v>
      </c>
      <c r="BL188">
        <v>0</v>
      </c>
      <c r="BM188">
        <v>0</v>
      </c>
      <c r="BN188">
        <v>0</v>
      </c>
      <c r="BO188">
        <v>0</v>
      </c>
      <c r="BP188">
        <v>0</v>
      </c>
      <c r="BQ188">
        <v>0</v>
      </c>
      <c r="BR188">
        <v>0</v>
      </c>
      <c r="BS188">
        <v>0</v>
      </c>
      <c r="BT188">
        <v>0</v>
      </c>
      <c r="BU188">
        <v>0</v>
      </c>
      <c r="BV188">
        <v>0</v>
      </c>
      <c r="BW188">
        <v>0</v>
      </c>
      <c r="BX188">
        <v>0</v>
      </c>
      <c r="BY188">
        <v>0</v>
      </c>
      <c r="BZ188">
        <v>137576</v>
      </c>
      <c r="CA188">
        <v>0</v>
      </c>
      <c r="CB188">
        <v>0</v>
      </c>
      <c r="CC188">
        <v>0</v>
      </c>
      <c r="CD188">
        <v>0</v>
      </c>
      <c r="CE188">
        <v>111264</v>
      </c>
      <c r="CF188">
        <v>0</v>
      </c>
      <c r="CG188">
        <v>0</v>
      </c>
      <c r="CH188">
        <v>0</v>
      </c>
      <c r="CI188">
        <v>0</v>
      </c>
      <c r="CJ188">
        <v>1143359</v>
      </c>
      <c r="CK188">
        <v>0</v>
      </c>
      <c r="CL188">
        <v>63085</v>
      </c>
      <c r="CM188">
        <v>0</v>
      </c>
      <c r="CN188">
        <v>0</v>
      </c>
      <c r="CO188">
        <v>0</v>
      </c>
      <c r="CP188">
        <v>0</v>
      </c>
      <c r="CQ188">
        <v>0</v>
      </c>
      <c r="CR188">
        <v>0</v>
      </c>
      <c r="CS188">
        <v>0</v>
      </c>
    </row>
    <row r="189" spans="1:97" x14ac:dyDescent="0.3">
      <c r="A189" s="155">
        <v>576</v>
      </c>
      <c r="B189" t="s">
        <v>303</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161000</v>
      </c>
      <c r="AN189">
        <v>0</v>
      </c>
      <c r="AO189">
        <v>0</v>
      </c>
      <c r="AP189">
        <v>2006</v>
      </c>
      <c r="AQ189">
        <v>0</v>
      </c>
      <c r="AR189">
        <v>0</v>
      </c>
      <c r="AS189">
        <v>0</v>
      </c>
      <c r="AT189">
        <v>0</v>
      </c>
      <c r="AU189">
        <v>0</v>
      </c>
      <c r="AV189">
        <v>0</v>
      </c>
      <c r="AW189">
        <v>0</v>
      </c>
      <c r="AX189">
        <v>0</v>
      </c>
      <c r="AY189">
        <v>33601</v>
      </c>
      <c r="AZ189">
        <v>0</v>
      </c>
      <c r="BA189">
        <v>0</v>
      </c>
      <c r="BB189">
        <v>5000</v>
      </c>
      <c r="BC189">
        <v>900000</v>
      </c>
      <c r="BD189">
        <v>0</v>
      </c>
      <c r="BE189">
        <v>0</v>
      </c>
      <c r="BF189">
        <v>37569</v>
      </c>
      <c r="BG189">
        <v>0</v>
      </c>
      <c r="BH189">
        <v>0</v>
      </c>
      <c r="BI189">
        <v>0</v>
      </c>
      <c r="BJ189">
        <v>0</v>
      </c>
      <c r="BK189">
        <v>0</v>
      </c>
      <c r="BL189">
        <v>0</v>
      </c>
      <c r="BM189">
        <v>0</v>
      </c>
      <c r="BN189">
        <v>157588</v>
      </c>
      <c r="BO189">
        <v>0</v>
      </c>
      <c r="BP189">
        <v>0</v>
      </c>
      <c r="BQ189">
        <v>0</v>
      </c>
      <c r="BR189">
        <v>0</v>
      </c>
      <c r="BS189">
        <v>0</v>
      </c>
      <c r="BT189">
        <v>0</v>
      </c>
      <c r="BU189">
        <v>0</v>
      </c>
      <c r="BV189">
        <v>0</v>
      </c>
      <c r="BW189">
        <v>0</v>
      </c>
      <c r="BX189">
        <v>0</v>
      </c>
      <c r="BY189">
        <v>0</v>
      </c>
      <c r="BZ189">
        <v>0</v>
      </c>
      <c r="CA189">
        <v>0</v>
      </c>
      <c r="CB189">
        <v>0</v>
      </c>
      <c r="CC189">
        <v>22614</v>
      </c>
      <c r="CD189">
        <v>0</v>
      </c>
      <c r="CE189">
        <v>0</v>
      </c>
      <c r="CF189">
        <v>0</v>
      </c>
      <c r="CG189">
        <v>825658</v>
      </c>
      <c r="CH189">
        <v>0</v>
      </c>
      <c r="CI189">
        <v>0</v>
      </c>
      <c r="CJ189">
        <v>0</v>
      </c>
      <c r="CK189">
        <v>0</v>
      </c>
      <c r="CL189">
        <v>0</v>
      </c>
      <c r="CM189">
        <v>0</v>
      </c>
      <c r="CN189">
        <v>0</v>
      </c>
      <c r="CO189">
        <v>0</v>
      </c>
      <c r="CP189">
        <v>0</v>
      </c>
      <c r="CQ189">
        <v>0</v>
      </c>
      <c r="CR189">
        <v>0</v>
      </c>
      <c r="CS189">
        <v>0</v>
      </c>
    </row>
    <row r="190" spans="1:97" x14ac:dyDescent="0.3">
      <c r="A190" s="155">
        <v>577</v>
      </c>
      <c r="B190" t="s">
        <v>944</v>
      </c>
      <c r="F190">
        <v>2</v>
      </c>
      <c r="G190">
        <v>2</v>
      </c>
      <c r="H190">
        <v>2</v>
      </c>
      <c r="I190">
        <v>2</v>
      </c>
      <c r="J190">
        <v>1</v>
      </c>
      <c r="K190">
        <v>2</v>
      </c>
      <c r="L190">
        <v>2</v>
      </c>
      <c r="M190">
        <v>2</v>
      </c>
      <c r="P190">
        <v>2</v>
      </c>
      <c r="Q190">
        <v>2</v>
      </c>
      <c r="R190">
        <v>2</v>
      </c>
      <c r="S190">
        <v>2</v>
      </c>
      <c r="T190">
        <v>2</v>
      </c>
      <c r="U190">
        <v>2</v>
      </c>
      <c r="V190">
        <v>2</v>
      </c>
      <c r="W190">
        <v>2</v>
      </c>
      <c r="X190">
        <v>2</v>
      </c>
      <c r="Z190">
        <v>2</v>
      </c>
      <c r="AA190">
        <v>2</v>
      </c>
      <c r="AB190">
        <v>2</v>
      </c>
      <c r="AC190">
        <v>2</v>
      </c>
      <c r="AD190">
        <v>2</v>
      </c>
      <c r="AE190">
        <v>2</v>
      </c>
      <c r="AF190">
        <v>2</v>
      </c>
      <c r="AG190">
        <v>2</v>
      </c>
      <c r="AH190">
        <v>2</v>
      </c>
      <c r="AI190">
        <v>2</v>
      </c>
      <c r="AJ190">
        <v>2</v>
      </c>
      <c r="AK190">
        <v>2</v>
      </c>
      <c r="AL190">
        <v>2</v>
      </c>
      <c r="AN190">
        <v>2</v>
      </c>
      <c r="AO190">
        <v>2</v>
      </c>
      <c r="AP190">
        <v>2</v>
      </c>
      <c r="AQ190">
        <v>2</v>
      </c>
      <c r="AR190">
        <v>2</v>
      </c>
      <c r="AS190">
        <v>1</v>
      </c>
      <c r="AT190">
        <v>2</v>
      </c>
      <c r="AU190">
        <v>2</v>
      </c>
      <c r="AY190">
        <v>2</v>
      </c>
      <c r="AZ190">
        <v>2</v>
      </c>
      <c r="BA190">
        <v>2</v>
      </c>
      <c r="BB190">
        <v>2</v>
      </c>
      <c r="BE190">
        <v>2</v>
      </c>
      <c r="BF190">
        <v>1</v>
      </c>
      <c r="BG190">
        <v>2</v>
      </c>
      <c r="BH190">
        <v>2</v>
      </c>
      <c r="BI190">
        <v>2</v>
      </c>
      <c r="BJ190">
        <v>2</v>
      </c>
      <c r="BK190">
        <v>2</v>
      </c>
      <c r="BM190">
        <v>2</v>
      </c>
      <c r="BN190">
        <v>2</v>
      </c>
      <c r="BO190">
        <v>2</v>
      </c>
      <c r="BQ190">
        <v>2</v>
      </c>
      <c r="BR190">
        <v>2</v>
      </c>
      <c r="BS190">
        <v>1</v>
      </c>
      <c r="BT190">
        <v>2</v>
      </c>
      <c r="BV190">
        <v>2</v>
      </c>
      <c r="BW190">
        <v>2</v>
      </c>
      <c r="BX190">
        <v>2</v>
      </c>
      <c r="BY190">
        <v>2</v>
      </c>
      <c r="BZ190">
        <v>2</v>
      </c>
      <c r="CB190">
        <v>2</v>
      </c>
      <c r="CC190">
        <v>1</v>
      </c>
      <c r="CD190">
        <v>2</v>
      </c>
      <c r="CE190">
        <v>2</v>
      </c>
      <c r="CF190">
        <v>2</v>
      </c>
      <c r="CG190">
        <v>2</v>
      </c>
      <c r="CH190">
        <v>2</v>
      </c>
      <c r="CJ190">
        <v>1</v>
      </c>
      <c r="CK190">
        <v>1</v>
      </c>
      <c r="CM190">
        <v>2</v>
      </c>
      <c r="CN190">
        <v>2</v>
      </c>
      <c r="CO190">
        <v>2</v>
      </c>
      <c r="CP190">
        <v>2</v>
      </c>
      <c r="CQ190">
        <v>2</v>
      </c>
      <c r="CR190">
        <v>2</v>
      </c>
      <c r="CS190">
        <v>2</v>
      </c>
    </row>
    <row r="191" spans="1:97" x14ac:dyDescent="0.3">
      <c r="A191" s="155">
        <v>578</v>
      </c>
      <c r="B191" t="s">
        <v>945</v>
      </c>
      <c r="D191">
        <v>0</v>
      </c>
      <c r="E191">
        <v>0</v>
      </c>
      <c r="F191">
        <v>0</v>
      </c>
      <c r="G191">
        <v>0</v>
      </c>
      <c r="H191">
        <v>0</v>
      </c>
      <c r="I191">
        <v>0</v>
      </c>
      <c r="J191">
        <v>0</v>
      </c>
      <c r="K191">
        <v>0</v>
      </c>
      <c r="L191">
        <v>0</v>
      </c>
      <c r="M191">
        <v>0</v>
      </c>
      <c r="N191">
        <v>0</v>
      </c>
      <c r="O191">
        <v>0</v>
      </c>
      <c r="P191">
        <v>0</v>
      </c>
      <c r="Q191">
        <v>0</v>
      </c>
      <c r="R191">
        <v>0</v>
      </c>
      <c r="S191">
        <v>19320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399342</v>
      </c>
      <c r="AP191">
        <v>0</v>
      </c>
      <c r="AQ191">
        <v>0</v>
      </c>
      <c r="AR191">
        <v>0</v>
      </c>
      <c r="AS191">
        <v>0</v>
      </c>
      <c r="AT191">
        <v>0</v>
      </c>
      <c r="AU191">
        <v>0</v>
      </c>
      <c r="AV191">
        <v>0</v>
      </c>
      <c r="AW191">
        <v>0</v>
      </c>
      <c r="AX191">
        <v>0</v>
      </c>
      <c r="AY191">
        <v>0</v>
      </c>
      <c r="AZ191">
        <v>0</v>
      </c>
      <c r="BA191">
        <v>0</v>
      </c>
      <c r="BB191">
        <v>0</v>
      </c>
      <c r="BC191">
        <v>0</v>
      </c>
      <c r="BD191">
        <v>0</v>
      </c>
      <c r="BE191">
        <v>0</v>
      </c>
      <c r="BF191">
        <v>0</v>
      </c>
      <c r="BG191">
        <v>148935</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row>
    <row r="192" spans="1:97" x14ac:dyDescent="0.3">
      <c r="A192" s="155">
        <v>579</v>
      </c>
      <c r="B192" t="s">
        <v>946</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90446</v>
      </c>
      <c r="CD192">
        <v>0</v>
      </c>
      <c r="CE192">
        <v>0</v>
      </c>
      <c r="CF192">
        <v>0</v>
      </c>
      <c r="CG192">
        <v>0</v>
      </c>
      <c r="CH192">
        <v>0</v>
      </c>
      <c r="CI192">
        <v>0</v>
      </c>
      <c r="CJ192">
        <v>0</v>
      </c>
      <c r="CK192">
        <v>0</v>
      </c>
      <c r="CL192">
        <v>0</v>
      </c>
      <c r="CM192">
        <v>0</v>
      </c>
      <c r="CN192">
        <v>0</v>
      </c>
      <c r="CO192">
        <v>0</v>
      </c>
      <c r="CP192">
        <v>0</v>
      </c>
      <c r="CQ192">
        <v>0</v>
      </c>
      <c r="CR192">
        <v>0</v>
      </c>
      <c r="CS192">
        <v>0</v>
      </c>
    </row>
    <row r="193" spans="1:97" x14ac:dyDescent="0.3">
      <c r="A193" s="155">
        <v>580</v>
      </c>
      <c r="B193" t="s">
        <v>947</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row>
    <row r="194" spans="1:97" x14ac:dyDescent="0.3">
      <c r="A194" s="155">
        <v>581</v>
      </c>
      <c r="B194" t="s">
        <v>948</v>
      </c>
      <c r="D194">
        <v>0</v>
      </c>
      <c r="E194">
        <v>0</v>
      </c>
      <c r="F194">
        <v>0</v>
      </c>
      <c r="G194">
        <v>0</v>
      </c>
      <c r="H194">
        <v>0</v>
      </c>
      <c r="I194">
        <v>0</v>
      </c>
      <c r="J194">
        <v>0</v>
      </c>
      <c r="K194">
        <v>0</v>
      </c>
      <c r="L194">
        <v>0</v>
      </c>
      <c r="M194">
        <v>8089453</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148935</v>
      </c>
      <c r="BH194">
        <v>0</v>
      </c>
      <c r="BI194">
        <v>0</v>
      </c>
      <c r="BJ194">
        <v>0</v>
      </c>
      <c r="BK194">
        <v>0</v>
      </c>
      <c r="BL194">
        <v>0</v>
      </c>
      <c r="BM194">
        <v>0</v>
      </c>
      <c r="BN194">
        <v>800000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row>
    <row r="195" spans="1:97" x14ac:dyDescent="0.3">
      <c r="A195" s="155">
        <v>585</v>
      </c>
      <c r="B195" t="s">
        <v>949</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row>
    <row r="196" spans="1:97" x14ac:dyDescent="0.3">
      <c r="A196" s="155">
        <v>586</v>
      </c>
      <c r="B196" t="s">
        <v>950</v>
      </c>
      <c r="D196">
        <v>0</v>
      </c>
      <c r="E196">
        <v>0</v>
      </c>
      <c r="F196">
        <v>0</v>
      </c>
      <c r="G196">
        <v>0</v>
      </c>
      <c r="H196">
        <v>0</v>
      </c>
      <c r="I196">
        <v>0</v>
      </c>
      <c r="J196">
        <v>0</v>
      </c>
      <c r="K196">
        <v>0</v>
      </c>
      <c r="L196">
        <v>0</v>
      </c>
      <c r="M196">
        <v>0</v>
      </c>
      <c r="N196">
        <v>0</v>
      </c>
      <c r="O196">
        <v>0</v>
      </c>
      <c r="P196">
        <v>0</v>
      </c>
      <c r="Q196">
        <v>0</v>
      </c>
      <c r="R196">
        <v>0</v>
      </c>
      <c r="S196">
        <v>19320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460805</v>
      </c>
      <c r="AP196">
        <v>0</v>
      </c>
      <c r="AQ196">
        <v>0</v>
      </c>
      <c r="AR196">
        <v>59426</v>
      </c>
      <c r="AS196">
        <v>0</v>
      </c>
      <c r="AT196">
        <v>0</v>
      </c>
      <c r="AU196">
        <v>0</v>
      </c>
      <c r="AV196">
        <v>0</v>
      </c>
      <c r="AW196">
        <v>0</v>
      </c>
      <c r="AX196">
        <v>0</v>
      </c>
      <c r="AY196">
        <v>0</v>
      </c>
      <c r="AZ196">
        <v>0</v>
      </c>
      <c r="BA196">
        <v>250001</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row>
    <row r="197" spans="1:97" x14ac:dyDescent="0.3">
      <c r="A197" s="155">
        <v>587</v>
      </c>
      <c r="B197" t="s">
        <v>951</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row>
    <row r="198" spans="1:97" x14ac:dyDescent="0.3">
      <c r="A198" s="155">
        <v>588</v>
      </c>
      <c r="B198" t="s">
        <v>952</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row>
    <row r="199" spans="1:97" x14ac:dyDescent="0.3">
      <c r="A199" s="155">
        <v>589</v>
      </c>
      <c r="B199" t="s">
        <v>953</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row>
    <row r="200" spans="1:97" x14ac:dyDescent="0.3">
      <c r="A200" s="155">
        <v>590</v>
      </c>
      <c r="B200" t="s">
        <v>1665</v>
      </c>
      <c r="Y200" t="s">
        <v>1726</v>
      </c>
      <c r="Z200" t="s">
        <v>430</v>
      </c>
      <c r="AA200" t="s">
        <v>324</v>
      </c>
      <c r="AE200" t="s">
        <v>1726</v>
      </c>
      <c r="AH200" t="s">
        <v>324</v>
      </c>
      <c r="AJ200" t="s">
        <v>430</v>
      </c>
      <c r="AT200" t="s">
        <v>430</v>
      </c>
      <c r="AW200" t="s">
        <v>1726</v>
      </c>
      <c r="BG200" t="s">
        <v>1726</v>
      </c>
      <c r="BH200" t="s">
        <v>1726</v>
      </c>
      <c r="BO200" t="s">
        <v>430</v>
      </c>
      <c r="BR200" t="s">
        <v>1726</v>
      </c>
      <c r="BS200" t="s">
        <v>1726</v>
      </c>
      <c r="BZ200" t="s">
        <v>1726</v>
      </c>
      <c r="CC200" t="s">
        <v>430</v>
      </c>
      <c r="CL200" t="s">
        <v>1726</v>
      </c>
    </row>
    <row r="201" spans="1:97" x14ac:dyDescent="0.3">
      <c r="A201" s="155">
        <v>591</v>
      </c>
      <c r="B201" t="s">
        <v>329</v>
      </c>
      <c r="D201">
        <v>0</v>
      </c>
      <c r="E201">
        <v>0</v>
      </c>
      <c r="F201">
        <v>859681</v>
      </c>
      <c r="G201">
        <v>0</v>
      </c>
      <c r="H201">
        <v>291172</v>
      </c>
      <c r="I201">
        <v>548199</v>
      </c>
      <c r="J201">
        <v>2845282</v>
      </c>
      <c r="K201">
        <v>2759014</v>
      </c>
      <c r="L201">
        <v>299384</v>
      </c>
      <c r="M201">
        <v>60121535</v>
      </c>
      <c r="N201">
        <v>870991</v>
      </c>
      <c r="O201">
        <v>0</v>
      </c>
      <c r="P201">
        <v>577565</v>
      </c>
      <c r="Q201">
        <v>797021</v>
      </c>
      <c r="R201">
        <v>0</v>
      </c>
      <c r="S201">
        <v>291412</v>
      </c>
      <c r="T201">
        <v>590107</v>
      </c>
      <c r="U201">
        <v>0</v>
      </c>
      <c r="V201">
        <v>0</v>
      </c>
      <c r="W201">
        <v>4687798</v>
      </c>
      <c r="X201">
        <v>522965</v>
      </c>
      <c r="Y201">
        <v>1154748</v>
      </c>
      <c r="Z201">
        <v>0</v>
      </c>
      <c r="AA201">
        <v>1963536</v>
      </c>
      <c r="AB201">
        <v>0</v>
      </c>
      <c r="AC201">
        <v>27900668</v>
      </c>
      <c r="AD201">
        <v>2830854</v>
      </c>
      <c r="AE201">
        <v>290839</v>
      </c>
      <c r="AF201">
        <v>350177</v>
      </c>
      <c r="AG201">
        <v>12838550</v>
      </c>
      <c r="AH201">
        <v>0</v>
      </c>
      <c r="AI201">
        <v>728858</v>
      </c>
      <c r="AJ201">
        <v>0</v>
      </c>
      <c r="AK201">
        <v>265854</v>
      </c>
      <c r="AL201">
        <v>2637687</v>
      </c>
      <c r="AM201">
        <v>2417200</v>
      </c>
      <c r="AN201">
        <v>2004635</v>
      </c>
      <c r="AO201">
        <v>2388900</v>
      </c>
      <c r="AP201">
        <v>47362</v>
      </c>
      <c r="AQ201">
        <v>0</v>
      </c>
      <c r="AR201">
        <v>5302359</v>
      </c>
      <c r="AS201">
        <v>693973</v>
      </c>
      <c r="AT201">
        <v>0</v>
      </c>
      <c r="AU201">
        <v>0</v>
      </c>
      <c r="AV201">
        <v>0</v>
      </c>
      <c r="AW201">
        <v>0</v>
      </c>
      <c r="AX201">
        <v>143173</v>
      </c>
      <c r="AY201">
        <v>3120168</v>
      </c>
      <c r="AZ201">
        <v>296172</v>
      </c>
      <c r="BA201">
        <v>0</v>
      </c>
      <c r="BB201">
        <v>0</v>
      </c>
      <c r="BC201">
        <v>3601841</v>
      </c>
      <c r="BD201">
        <v>0</v>
      </c>
      <c r="BE201">
        <v>1096111</v>
      </c>
      <c r="BF201">
        <v>547811</v>
      </c>
      <c r="BG201">
        <v>457694</v>
      </c>
      <c r="BH201">
        <v>2273385</v>
      </c>
      <c r="BI201">
        <v>1905820</v>
      </c>
      <c r="BJ201">
        <v>39980104</v>
      </c>
      <c r="BK201">
        <v>0</v>
      </c>
      <c r="BL201">
        <v>0</v>
      </c>
      <c r="BM201">
        <v>0</v>
      </c>
      <c r="BN201">
        <v>12843304</v>
      </c>
      <c r="BO201">
        <v>1976838</v>
      </c>
      <c r="BP201">
        <v>0</v>
      </c>
      <c r="BQ201">
        <v>0</v>
      </c>
      <c r="BR201">
        <v>1771686</v>
      </c>
      <c r="BS201">
        <v>29572</v>
      </c>
      <c r="BT201">
        <v>0</v>
      </c>
      <c r="BU201">
        <v>0</v>
      </c>
      <c r="BV201">
        <v>1172570</v>
      </c>
      <c r="BW201">
        <v>0</v>
      </c>
      <c r="BX201">
        <v>608876</v>
      </c>
      <c r="BY201">
        <v>1182337</v>
      </c>
      <c r="BZ201">
        <v>4144421</v>
      </c>
      <c r="CA201">
        <v>36948</v>
      </c>
      <c r="CB201">
        <v>0</v>
      </c>
      <c r="CC201">
        <v>4349265</v>
      </c>
      <c r="CD201">
        <v>25527458</v>
      </c>
      <c r="CE201">
        <v>175569574</v>
      </c>
      <c r="CF201">
        <v>270424</v>
      </c>
      <c r="CG201">
        <v>5176213</v>
      </c>
      <c r="CH201">
        <v>326810</v>
      </c>
      <c r="CI201">
        <v>2021626</v>
      </c>
      <c r="CJ201">
        <v>146931016</v>
      </c>
      <c r="CK201">
        <v>9383225</v>
      </c>
      <c r="CL201">
        <v>618399</v>
      </c>
      <c r="CM201">
        <v>0</v>
      </c>
      <c r="CN201">
        <v>357159</v>
      </c>
      <c r="CO201">
        <v>2039935</v>
      </c>
      <c r="CP201">
        <v>2801471</v>
      </c>
      <c r="CQ201">
        <v>1864396</v>
      </c>
      <c r="CR201">
        <v>0</v>
      </c>
      <c r="CS201">
        <v>0</v>
      </c>
    </row>
    <row r="202" spans="1:97" x14ac:dyDescent="0.3">
      <c r="A202" s="155">
        <v>592</v>
      </c>
      <c r="B202" t="s">
        <v>330</v>
      </c>
      <c r="D202">
        <v>0</v>
      </c>
      <c r="E202">
        <v>0</v>
      </c>
      <c r="F202">
        <v>364534</v>
      </c>
      <c r="G202">
        <v>0</v>
      </c>
      <c r="H202">
        <v>185858</v>
      </c>
      <c r="I202">
        <v>-9226</v>
      </c>
      <c r="J202">
        <v>210082</v>
      </c>
      <c r="K202">
        <v>166206</v>
      </c>
      <c r="L202">
        <v>17761</v>
      </c>
      <c r="M202">
        <v>16763136</v>
      </c>
      <c r="N202">
        <v>-311189</v>
      </c>
      <c r="O202">
        <v>0</v>
      </c>
      <c r="P202">
        <v>7704</v>
      </c>
      <c r="Q202">
        <v>499349</v>
      </c>
      <c r="R202">
        <v>0</v>
      </c>
      <c r="S202">
        <v>-26642</v>
      </c>
      <c r="T202">
        <v>140600</v>
      </c>
      <c r="U202">
        <v>0</v>
      </c>
      <c r="V202">
        <v>0</v>
      </c>
      <c r="W202">
        <v>7337038</v>
      </c>
      <c r="X202">
        <v>43154</v>
      </c>
      <c r="Y202">
        <v>1024029</v>
      </c>
      <c r="Z202">
        <v>0</v>
      </c>
      <c r="AA202">
        <v>454624</v>
      </c>
      <c r="AB202">
        <v>0</v>
      </c>
      <c r="AC202">
        <v>-1786652</v>
      </c>
      <c r="AD202">
        <v>-490702</v>
      </c>
      <c r="AE202">
        <v>986273</v>
      </c>
      <c r="AF202">
        <v>-10386</v>
      </c>
      <c r="AG202">
        <v>4009404</v>
      </c>
      <c r="AH202">
        <v>0</v>
      </c>
      <c r="AI202">
        <v>377979</v>
      </c>
      <c r="AJ202">
        <v>0</v>
      </c>
      <c r="AK202">
        <v>-206554</v>
      </c>
      <c r="AL202">
        <v>-527219</v>
      </c>
      <c r="AM202">
        <v>246059</v>
      </c>
      <c r="AN202">
        <v>258509</v>
      </c>
      <c r="AO202">
        <v>-559865</v>
      </c>
      <c r="AP202">
        <v>6294</v>
      </c>
      <c r="AQ202">
        <v>0</v>
      </c>
      <c r="AR202">
        <v>1847699</v>
      </c>
      <c r="AS202">
        <v>-83356</v>
      </c>
      <c r="AT202">
        <v>0</v>
      </c>
      <c r="AU202">
        <v>0</v>
      </c>
      <c r="AV202">
        <v>0</v>
      </c>
      <c r="AW202">
        <v>0</v>
      </c>
      <c r="AX202">
        <v>3095</v>
      </c>
      <c r="AY202">
        <v>-245397</v>
      </c>
      <c r="AZ202">
        <v>-65039</v>
      </c>
      <c r="BA202">
        <v>0</v>
      </c>
      <c r="BB202">
        <v>0</v>
      </c>
      <c r="BC202">
        <v>898235</v>
      </c>
      <c r="BD202">
        <v>0</v>
      </c>
      <c r="BE202">
        <v>100674</v>
      </c>
      <c r="BF202">
        <v>713719</v>
      </c>
      <c r="BG202">
        <v>6144</v>
      </c>
      <c r="BH202">
        <v>2189425</v>
      </c>
      <c r="BI202">
        <v>-193978</v>
      </c>
      <c r="BJ202">
        <v>2822036</v>
      </c>
      <c r="BK202">
        <v>0</v>
      </c>
      <c r="BL202">
        <v>0</v>
      </c>
      <c r="BM202">
        <v>0</v>
      </c>
      <c r="BN202">
        <v>1569299</v>
      </c>
      <c r="BO202">
        <v>573042</v>
      </c>
      <c r="BP202">
        <v>0</v>
      </c>
      <c r="BQ202">
        <v>0</v>
      </c>
      <c r="BR202">
        <v>242353</v>
      </c>
      <c r="BS202">
        <v>0</v>
      </c>
      <c r="BT202">
        <v>0</v>
      </c>
      <c r="BU202">
        <v>0</v>
      </c>
      <c r="BV202">
        <v>-62308</v>
      </c>
      <c r="BW202">
        <v>0</v>
      </c>
      <c r="BX202">
        <v>43507</v>
      </c>
      <c r="BY202">
        <v>635302</v>
      </c>
      <c r="BZ202">
        <v>223516</v>
      </c>
      <c r="CA202">
        <v>-12373</v>
      </c>
      <c r="CB202">
        <v>551082</v>
      </c>
      <c r="CC202">
        <v>-159369</v>
      </c>
      <c r="CD202">
        <v>4955992</v>
      </c>
      <c r="CE202">
        <v>19194033</v>
      </c>
      <c r="CF202">
        <v>-113484</v>
      </c>
      <c r="CG202">
        <v>313036</v>
      </c>
      <c r="CH202">
        <v>-110712</v>
      </c>
      <c r="CI202">
        <v>579246</v>
      </c>
      <c r="CJ202">
        <v>76991045</v>
      </c>
      <c r="CK202">
        <v>1860044</v>
      </c>
      <c r="CL202">
        <v>92466</v>
      </c>
      <c r="CM202">
        <v>0</v>
      </c>
      <c r="CN202">
        <v>102092</v>
      </c>
      <c r="CO202">
        <v>1157350</v>
      </c>
      <c r="CP202">
        <v>-222067</v>
      </c>
      <c r="CQ202">
        <v>-60461</v>
      </c>
      <c r="CR202">
        <v>0</v>
      </c>
      <c r="CS202">
        <v>0</v>
      </c>
    </row>
    <row r="203" spans="1:97" x14ac:dyDescent="0.3">
      <c r="A203" s="155">
        <v>593</v>
      </c>
      <c r="B203" t="s">
        <v>954</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row>
    <row r="204" spans="1:97" x14ac:dyDescent="0.3">
      <c r="A204" s="155">
        <v>594</v>
      </c>
      <c r="B204" t="s">
        <v>955</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row>
    <row r="205" spans="1:97" x14ac:dyDescent="0.3">
      <c r="A205" s="155">
        <v>596</v>
      </c>
      <c r="B205" t="s">
        <v>335</v>
      </c>
      <c r="D205">
        <v>52</v>
      </c>
      <c r="E205">
        <v>52</v>
      </c>
      <c r="F205">
        <v>52</v>
      </c>
      <c r="G205">
        <v>0</v>
      </c>
      <c r="H205">
        <v>52</v>
      </c>
      <c r="I205">
        <v>52</v>
      </c>
      <c r="J205">
        <v>52</v>
      </c>
      <c r="K205">
        <v>52</v>
      </c>
      <c r="L205">
        <v>52</v>
      </c>
      <c r="M205">
        <v>52</v>
      </c>
      <c r="N205">
        <v>52</v>
      </c>
      <c r="O205">
        <v>52</v>
      </c>
      <c r="P205">
        <v>52</v>
      </c>
      <c r="Q205">
        <v>52</v>
      </c>
      <c r="R205">
        <v>0</v>
      </c>
      <c r="S205">
        <v>52</v>
      </c>
      <c r="T205">
        <v>0</v>
      </c>
      <c r="U205">
        <v>52</v>
      </c>
      <c r="V205">
        <v>52</v>
      </c>
      <c r="W205">
        <v>52</v>
      </c>
      <c r="X205">
        <v>52</v>
      </c>
      <c r="Y205">
        <v>52</v>
      </c>
      <c r="Z205">
        <v>52</v>
      </c>
      <c r="AA205">
        <v>52</v>
      </c>
      <c r="AB205">
        <v>52</v>
      </c>
      <c r="AC205">
        <v>52</v>
      </c>
      <c r="AD205">
        <v>52</v>
      </c>
      <c r="AE205">
        <v>52</v>
      </c>
      <c r="AF205">
        <v>52</v>
      </c>
      <c r="AG205">
        <v>52</v>
      </c>
      <c r="AH205">
        <v>52</v>
      </c>
      <c r="AI205">
        <v>52</v>
      </c>
      <c r="AJ205">
        <v>0</v>
      </c>
      <c r="AK205">
        <v>52</v>
      </c>
      <c r="AL205">
        <v>52</v>
      </c>
      <c r="AM205">
        <v>52</v>
      </c>
      <c r="AN205">
        <v>52</v>
      </c>
      <c r="AO205">
        <v>52</v>
      </c>
      <c r="AP205">
        <v>52</v>
      </c>
      <c r="AQ205">
        <v>52</v>
      </c>
      <c r="AR205">
        <v>52</v>
      </c>
      <c r="AS205">
        <v>52</v>
      </c>
      <c r="AT205">
        <v>52</v>
      </c>
      <c r="AU205">
        <v>52</v>
      </c>
      <c r="AV205">
        <v>52</v>
      </c>
      <c r="AW205">
        <v>0</v>
      </c>
      <c r="AX205">
        <v>52</v>
      </c>
      <c r="AY205">
        <v>52</v>
      </c>
      <c r="AZ205">
        <v>52</v>
      </c>
      <c r="BA205">
        <v>52</v>
      </c>
      <c r="BB205">
        <v>52</v>
      </c>
      <c r="BC205">
        <v>52</v>
      </c>
      <c r="BD205">
        <v>0</v>
      </c>
      <c r="BE205">
        <v>52</v>
      </c>
      <c r="BF205">
        <v>52</v>
      </c>
      <c r="BG205">
        <v>52</v>
      </c>
      <c r="BH205">
        <v>52</v>
      </c>
      <c r="BI205">
        <v>52</v>
      </c>
      <c r="BJ205">
        <v>52</v>
      </c>
      <c r="BK205">
        <v>0</v>
      </c>
      <c r="BL205">
        <v>52</v>
      </c>
      <c r="BM205">
        <v>52</v>
      </c>
      <c r="BN205">
        <v>52</v>
      </c>
      <c r="BO205">
        <v>52</v>
      </c>
      <c r="BP205">
        <v>52</v>
      </c>
      <c r="BQ205">
        <v>52</v>
      </c>
      <c r="BR205">
        <v>52</v>
      </c>
      <c r="BS205">
        <v>52</v>
      </c>
      <c r="BT205">
        <v>52</v>
      </c>
      <c r="BU205">
        <v>52</v>
      </c>
      <c r="BV205">
        <v>52</v>
      </c>
      <c r="BW205">
        <v>52</v>
      </c>
      <c r="BX205">
        <v>52</v>
      </c>
      <c r="BY205">
        <v>52</v>
      </c>
      <c r="BZ205">
        <v>52</v>
      </c>
      <c r="CA205">
        <v>52</v>
      </c>
      <c r="CB205">
        <v>52</v>
      </c>
      <c r="CC205">
        <v>52</v>
      </c>
      <c r="CD205">
        <v>52</v>
      </c>
      <c r="CE205">
        <v>52</v>
      </c>
      <c r="CF205">
        <v>52</v>
      </c>
      <c r="CG205">
        <v>52</v>
      </c>
      <c r="CH205">
        <v>52</v>
      </c>
      <c r="CI205">
        <v>52</v>
      </c>
      <c r="CJ205">
        <v>52</v>
      </c>
      <c r="CK205">
        <v>52</v>
      </c>
      <c r="CL205">
        <v>52</v>
      </c>
      <c r="CM205">
        <v>52</v>
      </c>
      <c r="CN205">
        <v>52</v>
      </c>
      <c r="CO205">
        <v>52</v>
      </c>
      <c r="CP205">
        <v>52</v>
      </c>
      <c r="CQ205">
        <v>52</v>
      </c>
      <c r="CR205">
        <v>52</v>
      </c>
      <c r="CS205">
        <v>52</v>
      </c>
    </row>
    <row r="206" spans="1:97" x14ac:dyDescent="0.3">
      <c r="A206" s="155">
        <v>597</v>
      </c>
      <c r="B206" t="s">
        <v>338</v>
      </c>
      <c r="D206">
        <v>984</v>
      </c>
      <c r="E206">
        <v>1958</v>
      </c>
      <c r="F206">
        <v>955</v>
      </c>
      <c r="G206">
        <v>0</v>
      </c>
      <c r="H206">
        <v>2137</v>
      </c>
      <c r="I206">
        <v>14783</v>
      </c>
      <c r="J206">
        <v>3620</v>
      </c>
      <c r="K206">
        <v>24561</v>
      </c>
      <c r="L206">
        <v>2255</v>
      </c>
      <c r="M206">
        <v>-28718</v>
      </c>
      <c r="N206">
        <v>65</v>
      </c>
      <c r="O206">
        <v>64</v>
      </c>
      <c r="P206">
        <v>21511</v>
      </c>
      <c r="Q206">
        <v>0</v>
      </c>
      <c r="R206">
        <v>34</v>
      </c>
      <c r="S206">
        <v>669</v>
      </c>
      <c r="T206">
        <v>5889</v>
      </c>
      <c r="U206">
        <v>104618</v>
      </c>
      <c r="V206">
        <v>2746</v>
      </c>
      <c r="W206">
        <v>1915</v>
      </c>
      <c r="X206">
        <v>1080</v>
      </c>
      <c r="Y206">
        <v>89528</v>
      </c>
      <c r="Z206">
        <v>63394</v>
      </c>
      <c r="AA206">
        <v>103</v>
      </c>
      <c r="AB206">
        <v>7</v>
      </c>
      <c r="AC206">
        <v>13842</v>
      </c>
      <c r="AD206">
        <v>18741</v>
      </c>
      <c r="AE206">
        <v>68</v>
      </c>
      <c r="AF206">
        <v>2235</v>
      </c>
      <c r="AG206">
        <v>90734</v>
      </c>
      <c r="AH206">
        <v>6381</v>
      </c>
      <c r="AI206">
        <v>41038</v>
      </c>
      <c r="AJ206">
        <v>572</v>
      </c>
      <c r="AK206">
        <v>678</v>
      </c>
      <c r="AL206">
        <v>4311</v>
      </c>
      <c r="AM206">
        <v>2470</v>
      </c>
      <c r="AN206">
        <v>1429</v>
      </c>
      <c r="AO206">
        <v>10113</v>
      </c>
      <c r="AP206">
        <v>51</v>
      </c>
      <c r="AQ206">
        <v>6430</v>
      </c>
      <c r="AR206">
        <v>5598</v>
      </c>
      <c r="AS206">
        <v>666</v>
      </c>
      <c r="AT206">
        <v>65</v>
      </c>
      <c r="AU206">
        <v>3385</v>
      </c>
      <c r="AV206">
        <v>905</v>
      </c>
      <c r="AW206">
        <v>27</v>
      </c>
      <c r="AX206">
        <v>222</v>
      </c>
      <c r="AY206">
        <v>3827</v>
      </c>
      <c r="AZ206">
        <v>865</v>
      </c>
      <c r="BA206">
        <v>80832</v>
      </c>
      <c r="BB206">
        <v>0</v>
      </c>
      <c r="BC206">
        <v>32251</v>
      </c>
      <c r="BD206">
        <v>1253</v>
      </c>
      <c r="BE206">
        <v>211</v>
      </c>
      <c r="BF206">
        <v>1664</v>
      </c>
      <c r="BG206">
        <v>441</v>
      </c>
      <c r="BH206">
        <v>200</v>
      </c>
      <c r="BI206">
        <v>2734</v>
      </c>
      <c r="BJ206">
        <v>94903</v>
      </c>
      <c r="BK206">
        <v>1103</v>
      </c>
      <c r="BL206">
        <v>0</v>
      </c>
      <c r="BM206">
        <v>8129</v>
      </c>
      <c r="BN206">
        <v>7279</v>
      </c>
      <c r="BO206">
        <v>3641</v>
      </c>
      <c r="BP206">
        <v>788</v>
      </c>
      <c r="BQ206">
        <v>6945</v>
      </c>
      <c r="BR206">
        <v>628</v>
      </c>
      <c r="BS206">
        <v>13007</v>
      </c>
      <c r="BT206">
        <v>580</v>
      </c>
      <c r="BU206">
        <v>5307</v>
      </c>
      <c r="BV206">
        <v>19910</v>
      </c>
      <c r="BW206">
        <v>6605</v>
      </c>
      <c r="BX206">
        <v>723</v>
      </c>
      <c r="BY206">
        <v>339</v>
      </c>
      <c r="BZ206">
        <v>1323</v>
      </c>
      <c r="CA206">
        <v>8173</v>
      </c>
      <c r="CB206">
        <v>229</v>
      </c>
      <c r="CC206">
        <v>5861</v>
      </c>
      <c r="CD206">
        <v>239922</v>
      </c>
      <c r="CE206">
        <v>464513</v>
      </c>
      <c r="CF206">
        <v>1793</v>
      </c>
      <c r="CG206">
        <v>7334</v>
      </c>
      <c r="CH206">
        <v>548</v>
      </c>
      <c r="CI206">
        <v>350</v>
      </c>
      <c r="CJ206">
        <v>43207748</v>
      </c>
      <c r="CK206">
        <v>7647</v>
      </c>
      <c r="CL206">
        <v>269</v>
      </c>
      <c r="CM206">
        <v>570</v>
      </c>
      <c r="CN206">
        <v>1626</v>
      </c>
      <c r="CO206">
        <v>61576</v>
      </c>
      <c r="CP206">
        <v>0</v>
      </c>
      <c r="CQ206">
        <v>26675</v>
      </c>
      <c r="CR206">
        <v>4515</v>
      </c>
      <c r="CS206">
        <v>2972</v>
      </c>
    </row>
    <row r="207" spans="1:97" x14ac:dyDescent="0.3">
      <c r="A207" s="155">
        <v>598</v>
      </c>
      <c r="B207" t="s">
        <v>343</v>
      </c>
      <c r="D207">
        <v>0</v>
      </c>
      <c r="E207">
        <v>0</v>
      </c>
      <c r="F207">
        <v>0</v>
      </c>
      <c r="G207">
        <v>0</v>
      </c>
      <c r="H207">
        <v>56045</v>
      </c>
      <c r="I207">
        <v>0</v>
      </c>
      <c r="J207">
        <v>0</v>
      </c>
      <c r="K207">
        <v>0</v>
      </c>
      <c r="L207">
        <v>0</v>
      </c>
      <c r="M207">
        <v>174420</v>
      </c>
      <c r="N207">
        <v>16446</v>
      </c>
      <c r="O207">
        <v>0</v>
      </c>
      <c r="P207">
        <v>0</v>
      </c>
      <c r="Q207">
        <v>0</v>
      </c>
      <c r="R207">
        <v>0</v>
      </c>
      <c r="S207">
        <v>0</v>
      </c>
      <c r="T207">
        <v>4052</v>
      </c>
      <c r="U207">
        <v>0</v>
      </c>
      <c r="V207">
        <v>41691</v>
      </c>
      <c r="W207">
        <v>8989</v>
      </c>
      <c r="X207">
        <v>11956</v>
      </c>
      <c r="Y207">
        <v>0</v>
      </c>
      <c r="Z207">
        <v>42515</v>
      </c>
      <c r="AA207">
        <v>0</v>
      </c>
      <c r="AB207">
        <v>0</v>
      </c>
      <c r="AC207">
        <v>117199</v>
      </c>
      <c r="AD207">
        <v>7529</v>
      </c>
      <c r="AE207">
        <v>0</v>
      </c>
      <c r="AF207">
        <v>0</v>
      </c>
      <c r="AG207">
        <v>95136</v>
      </c>
      <c r="AH207">
        <v>0</v>
      </c>
      <c r="AI207">
        <v>0</v>
      </c>
      <c r="AJ207">
        <v>18039</v>
      </c>
      <c r="AK207">
        <v>0</v>
      </c>
      <c r="AL207">
        <v>0</v>
      </c>
      <c r="AM207">
        <v>0</v>
      </c>
      <c r="AN207">
        <v>18123</v>
      </c>
      <c r="AO207">
        <v>9679</v>
      </c>
      <c r="AP207">
        <v>0</v>
      </c>
      <c r="AQ207">
        <v>0</v>
      </c>
      <c r="AR207">
        <v>0</v>
      </c>
      <c r="AS207">
        <v>0</v>
      </c>
      <c r="AT207">
        <v>0</v>
      </c>
      <c r="AU207">
        <v>0</v>
      </c>
      <c r="AV207">
        <v>0</v>
      </c>
      <c r="AW207">
        <v>0</v>
      </c>
      <c r="AX207">
        <v>0</v>
      </c>
      <c r="AY207">
        <v>18204</v>
      </c>
      <c r="AZ207">
        <v>0</v>
      </c>
      <c r="BA207">
        <v>51053</v>
      </c>
      <c r="BB207">
        <v>0</v>
      </c>
      <c r="BC207">
        <v>22707</v>
      </c>
      <c r="BD207">
        <v>0</v>
      </c>
      <c r="BE207">
        <v>0</v>
      </c>
      <c r="BF207">
        <v>17089</v>
      </c>
      <c r="BG207">
        <v>0</v>
      </c>
      <c r="BH207">
        <v>0</v>
      </c>
      <c r="BI207">
        <v>0</v>
      </c>
      <c r="BJ207">
        <v>147295</v>
      </c>
      <c r="BK207">
        <v>0</v>
      </c>
      <c r="BL207">
        <v>0</v>
      </c>
      <c r="BM207">
        <v>100500</v>
      </c>
      <c r="BN207">
        <v>114990</v>
      </c>
      <c r="BO207">
        <v>62109</v>
      </c>
      <c r="BP207">
        <v>0</v>
      </c>
      <c r="BQ207">
        <v>0</v>
      </c>
      <c r="BR207">
        <v>0</v>
      </c>
      <c r="BS207">
        <v>35576</v>
      </c>
      <c r="BT207">
        <v>0</v>
      </c>
      <c r="BU207">
        <v>0</v>
      </c>
      <c r="BV207">
        <v>3520</v>
      </c>
      <c r="BW207">
        <v>21751</v>
      </c>
      <c r="BX207">
        <v>0</v>
      </c>
      <c r="BY207">
        <v>0</v>
      </c>
      <c r="BZ207">
        <v>19639</v>
      </c>
      <c r="CA207">
        <v>0</v>
      </c>
      <c r="CB207">
        <v>30903</v>
      </c>
      <c r="CC207">
        <v>0</v>
      </c>
      <c r="CD207">
        <v>803198</v>
      </c>
      <c r="CE207">
        <v>268155</v>
      </c>
      <c r="CF207">
        <v>0</v>
      </c>
      <c r="CG207">
        <v>0</v>
      </c>
      <c r="CH207">
        <v>0</v>
      </c>
      <c r="CI207">
        <v>0</v>
      </c>
      <c r="CJ207">
        <v>2408580</v>
      </c>
      <c r="CK207">
        <v>17068</v>
      </c>
      <c r="CL207">
        <v>0</v>
      </c>
      <c r="CM207">
        <v>11481</v>
      </c>
      <c r="CN207">
        <v>0</v>
      </c>
      <c r="CO207">
        <v>43396</v>
      </c>
      <c r="CP207">
        <v>46794</v>
      </c>
      <c r="CQ207">
        <v>0</v>
      </c>
      <c r="CR207">
        <v>0</v>
      </c>
      <c r="CS207">
        <v>26274</v>
      </c>
    </row>
    <row r="208" spans="1:97" x14ac:dyDescent="0.3">
      <c r="A208" s="155">
        <v>599</v>
      </c>
      <c r="B208" t="s">
        <v>342</v>
      </c>
      <c r="D208">
        <v>0</v>
      </c>
      <c r="E208">
        <v>0</v>
      </c>
      <c r="F208">
        <v>365869</v>
      </c>
      <c r="G208">
        <v>0</v>
      </c>
      <c r="H208">
        <v>796100</v>
      </c>
      <c r="I208">
        <v>130523</v>
      </c>
      <c r="J208">
        <v>663120</v>
      </c>
      <c r="K208">
        <v>64101</v>
      </c>
      <c r="L208">
        <v>41638</v>
      </c>
      <c r="M208">
        <v>3605212</v>
      </c>
      <c r="N208">
        <v>16441</v>
      </c>
      <c r="O208">
        <v>0</v>
      </c>
      <c r="P208">
        <v>0</v>
      </c>
      <c r="Q208">
        <v>150209</v>
      </c>
      <c r="R208">
        <v>0</v>
      </c>
      <c r="S208">
        <v>0</v>
      </c>
      <c r="T208">
        <v>195410</v>
      </c>
      <c r="U208">
        <v>0</v>
      </c>
      <c r="V208">
        <v>582734</v>
      </c>
      <c r="W208">
        <v>773011</v>
      </c>
      <c r="X208">
        <v>108015</v>
      </c>
      <c r="Y208">
        <v>0</v>
      </c>
      <c r="Z208">
        <v>702737</v>
      </c>
      <c r="AA208">
        <v>93130</v>
      </c>
      <c r="AB208">
        <v>0</v>
      </c>
      <c r="AC208">
        <v>1940264</v>
      </c>
      <c r="AD208">
        <v>498327</v>
      </c>
      <c r="AE208">
        <v>96906</v>
      </c>
      <c r="AF208">
        <v>0</v>
      </c>
      <c r="AG208">
        <v>3880498</v>
      </c>
      <c r="AH208">
        <v>0</v>
      </c>
      <c r="AI208">
        <v>200071</v>
      </c>
      <c r="AJ208">
        <v>249220</v>
      </c>
      <c r="AK208">
        <v>0</v>
      </c>
      <c r="AL208">
        <v>0</v>
      </c>
      <c r="AM208">
        <v>708266</v>
      </c>
      <c r="AN208">
        <v>468198</v>
      </c>
      <c r="AO208">
        <v>372448</v>
      </c>
      <c r="AP208">
        <v>0</v>
      </c>
      <c r="AQ208">
        <v>0</v>
      </c>
      <c r="AR208">
        <v>408298</v>
      </c>
      <c r="AS208">
        <v>33936</v>
      </c>
      <c r="AT208">
        <v>0</v>
      </c>
      <c r="AU208">
        <v>0</v>
      </c>
      <c r="AV208">
        <v>15964</v>
      </c>
      <c r="AW208">
        <v>0</v>
      </c>
      <c r="AX208">
        <v>0</v>
      </c>
      <c r="AY208">
        <v>679540</v>
      </c>
      <c r="AZ208">
        <v>69089</v>
      </c>
      <c r="BA208">
        <v>5592381</v>
      </c>
      <c r="BB208">
        <v>0</v>
      </c>
      <c r="BC208">
        <v>295577</v>
      </c>
      <c r="BD208">
        <v>0</v>
      </c>
      <c r="BE208">
        <v>0</v>
      </c>
      <c r="BF208">
        <v>88792</v>
      </c>
      <c r="BG208">
        <v>0</v>
      </c>
      <c r="BH208">
        <v>66852</v>
      </c>
      <c r="BI208">
        <v>397304</v>
      </c>
      <c r="BJ208">
        <v>2185093</v>
      </c>
      <c r="BK208">
        <v>0</v>
      </c>
      <c r="BL208">
        <v>0</v>
      </c>
      <c r="BM208">
        <v>814675</v>
      </c>
      <c r="BN208">
        <v>1834928</v>
      </c>
      <c r="BO208">
        <v>875592</v>
      </c>
      <c r="BP208">
        <v>0</v>
      </c>
      <c r="BQ208">
        <v>0</v>
      </c>
      <c r="BR208">
        <v>156264</v>
      </c>
      <c r="BS208">
        <v>1008358</v>
      </c>
      <c r="BT208">
        <v>0</v>
      </c>
      <c r="BU208">
        <v>0</v>
      </c>
      <c r="BV208">
        <v>148704</v>
      </c>
      <c r="BW208">
        <v>411404</v>
      </c>
      <c r="BX208">
        <v>6333</v>
      </c>
      <c r="BY208">
        <v>238101</v>
      </c>
      <c r="BZ208">
        <v>726584</v>
      </c>
      <c r="CA208">
        <v>0</v>
      </c>
      <c r="CB208">
        <v>657801</v>
      </c>
      <c r="CC208">
        <v>532738</v>
      </c>
      <c r="CD208">
        <v>17513179</v>
      </c>
      <c r="CE208">
        <v>8296203</v>
      </c>
      <c r="CF208">
        <v>61758</v>
      </c>
      <c r="CG208">
        <v>256488</v>
      </c>
      <c r="CH208">
        <v>0</v>
      </c>
      <c r="CI208">
        <v>183103</v>
      </c>
      <c r="CJ208">
        <v>27219414</v>
      </c>
      <c r="CK208">
        <v>497338</v>
      </c>
      <c r="CL208">
        <v>0</v>
      </c>
      <c r="CM208">
        <v>651791</v>
      </c>
      <c r="CN208">
        <v>21590</v>
      </c>
      <c r="CO208">
        <v>944939</v>
      </c>
      <c r="CP208">
        <v>807635</v>
      </c>
      <c r="CQ208">
        <v>0</v>
      </c>
      <c r="CR208">
        <v>286275</v>
      </c>
      <c r="CS208">
        <v>1078536</v>
      </c>
    </row>
    <row r="209" spans="1:97" x14ac:dyDescent="0.3">
      <c r="A209" s="155">
        <v>602</v>
      </c>
      <c r="B209" t="s">
        <v>344</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14024538</v>
      </c>
      <c r="CK209">
        <v>0</v>
      </c>
      <c r="CL209">
        <v>0</v>
      </c>
      <c r="CM209">
        <v>0</v>
      </c>
      <c r="CN209">
        <v>0</v>
      </c>
      <c r="CO209">
        <v>0</v>
      </c>
      <c r="CP209">
        <v>0</v>
      </c>
      <c r="CQ209">
        <v>0</v>
      </c>
      <c r="CR209">
        <v>0</v>
      </c>
      <c r="CS209">
        <v>0</v>
      </c>
    </row>
    <row r="210" spans="1:97" x14ac:dyDescent="0.3">
      <c r="A210" s="155">
        <v>606</v>
      </c>
      <c r="B210" t="s">
        <v>956</v>
      </c>
      <c r="F210">
        <v>1</v>
      </c>
      <c r="M210">
        <v>1</v>
      </c>
      <c r="Q210">
        <v>1</v>
      </c>
      <c r="W210">
        <v>1</v>
      </c>
      <c r="AA210">
        <v>1</v>
      </c>
      <c r="AE210">
        <v>1</v>
      </c>
      <c r="AG210">
        <v>1</v>
      </c>
      <c r="AI210">
        <v>1</v>
      </c>
      <c r="AM210">
        <v>1</v>
      </c>
      <c r="AR210">
        <v>1</v>
      </c>
      <c r="BA210">
        <v>1</v>
      </c>
      <c r="BC210">
        <v>1</v>
      </c>
      <c r="BH210">
        <v>1</v>
      </c>
      <c r="BI210">
        <v>1</v>
      </c>
      <c r="BJ210">
        <v>1</v>
      </c>
      <c r="BY210">
        <v>1</v>
      </c>
      <c r="BZ210">
        <v>1</v>
      </c>
      <c r="CC210">
        <v>1</v>
      </c>
      <c r="CD210">
        <v>1</v>
      </c>
      <c r="CE210">
        <v>1</v>
      </c>
      <c r="CJ210">
        <v>1</v>
      </c>
      <c r="CK210">
        <v>1</v>
      </c>
      <c r="CS210">
        <v>1</v>
      </c>
    </row>
    <row r="211" spans="1:97" x14ac:dyDescent="0.3">
      <c r="A211" s="155">
        <v>619</v>
      </c>
      <c r="B211" t="s">
        <v>957</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78.400000000000006</v>
      </c>
      <c r="BZ211">
        <v>0</v>
      </c>
      <c r="CA211">
        <v>0</v>
      </c>
      <c r="CB211">
        <v>0</v>
      </c>
      <c r="CC211">
        <v>0</v>
      </c>
      <c r="CD211">
        <v>0</v>
      </c>
      <c r="CE211">
        <v>0</v>
      </c>
      <c r="CF211">
        <v>0</v>
      </c>
      <c r="CG211">
        <v>0</v>
      </c>
      <c r="CH211">
        <v>0</v>
      </c>
      <c r="CI211">
        <v>0</v>
      </c>
      <c r="CJ211">
        <v>51.5</v>
      </c>
      <c r="CK211">
        <v>0</v>
      </c>
      <c r="CL211">
        <v>0</v>
      </c>
      <c r="CM211">
        <v>0</v>
      </c>
      <c r="CN211">
        <v>0</v>
      </c>
      <c r="CO211">
        <v>0</v>
      </c>
      <c r="CP211">
        <v>0</v>
      </c>
      <c r="CQ211">
        <v>0</v>
      </c>
      <c r="CR211">
        <v>0</v>
      </c>
      <c r="CS211">
        <v>0</v>
      </c>
    </row>
    <row r="212" spans="1:97" x14ac:dyDescent="0.3">
      <c r="A212" s="155">
        <v>620</v>
      </c>
      <c r="B212" t="s">
        <v>958</v>
      </c>
      <c r="D212">
        <v>2</v>
      </c>
      <c r="E212">
        <v>2</v>
      </c>
      <c r="F212">
        <v>1</v>
      </c>
      <c r="G212">
        <v>2</v>
      </c>
      <c r="H212">
        <v>2</v>
      </c>
      <c r="I212">
        <v>2</v>
      </c>
      <c r="J212">
        <v>1</v>
      </c>
      <c r="K212">
        <v>2</v>
      </c>
      <c r="L212">
        <v>2</v>
      </c>
      <c r="M212">
        <v>2</v>
      </c>
      <c r="N212">
        <v>2</v>
      </c>
      <c r="O212">
        <v>2</v>
      </c>
      <c r="P212">
        <v>2</v>
      </c>
      <c r="Q212">
        <v>2</v>
      </c>
      <c r="R212">
        <v>2</v>
      </c>
      <c r="S212">
        <v>2</v>
      </c>
      <c r="T212">
        <v>2</v>
      </c>
      <c r="U212">
        <v>2</v>
      </c>
      <c r="V212">
        <v>2</v>
      </c>
      <c r="W212">
        <v>1</v>
      </c>
      <c r="X212">
        <v>2</v>
      </c>
      <c r="Y212">
        <v>2</v>
      </c>
      <c r="Z212">
        <v>2</v>
      </c>
      <c r="AA212">
        <v>2</v>
      </c>
      <c r="AB212">
        <v>2</v>
      </c>
      <c r="AC212">
        <v>2</v>
      </c>
      <c r="AD212">
        <v>2</v>
      </c>
      <c r="AE212">
        <v>2</v>
      </c>
      <c r="AF212">
        <v>2</v>
      </c>
      <c r="AG212">
        <v>1</v>
      </c>
      <c r="AH212">
        <v>2</v>
      </c>
      <c r="AI212">
        <v>2</v>
      </c>
      <c r="AJ212">
        <v>2</v>
      </c>
      <c r="AK212">
        <v>2</v>
      </c>
      <c r="AL212">
        <v>2</v>
      </c>
      <c r="AM212">
        <v>2</v>
      </c>
      <c r="AN212">
        <v>2</v>
      </c>
      <c r="AO212">
        <v>2</v>
      </c>
      <c r="AP212">
        <v>2</v>
      </c>
      <c r="AQ212">
        <v>2</v>
      </c>
      <c r="AR212">
        <v>2</v>
      </c>
      <c r="AS212">
        <v>2</v>
      </c>
      <c r="AT212">
        <v>2</v>
      </c>
      <c r="AU212">
        <v>2</v>
      </c>
      <c r="AV212">
        <v>2</v>
      </c>
      <c r="AW212">
        <v>2</v>
      </c>
      <c r="AX212">
        <v>2</v>
      </c>
      <c r="AY212">
        <v>1</v>
      </c>
      <c r="AZ212">
        <v>2</v>
      </c>
      <c r="BA212">
        <v>1</v>
      </c>
      <c r="BB212">
        <v>2</v>
      </c>
      <c r="BC212">
        <v>1</v>
      </c>
      <c r="BD212">
        <v>1</v>
      </c>
      <c r="BE212">
        <v>2</v>
      </c>
      <c r="BF212">
        <v>2</v>
      </c>
      <c r="BG212">
        <v>2</v>
      </c>
      <c r="BH212">
        <v>2</v>
      </c>
      <c r="BI212">
        <v>2</v>
      </c>
      <c r="BJ212">
        <v>1</v>
      </c>
      <c r="BK212">
        <v>2</v>
      </c>
      <c r="BL212">
        <v>2</v>
      </c>
      <c r="BM212">
        <v>1</v>
      </c>
      <c r="BN212">
        <v>1</v>
      </c>
      <c r="BO212">
        <v>2</v>
      </c>
      <c r="BP212">
        <v>2</v>
      </c>
      <c r="BQ212">
        <v>2</v>
      </c>
      <c r="BR212">
        <v>2</v>
      </c>
      <c r="BS212">
        <v>2</v>
      </c>
      <c r="BT212">
        <v>2</v>
      </c>
      <c r="BU212">
        <v>2</v>
      </c>
      <c r="BV212">
        <v>2</v>
      </c>
      <c r="BW212">
        <v>2</v>
      </c>
      <c r="BX212">
        <v>2</v>
      </c>
      <c r="BY212">
        <v>2</v>
      </c>
      <c r="BZ212">
        <v>1</v>
      </c>
      <c r="CA212">
        <v>2</v>
      </c>
      <c r="CB212">
        <v>2</v>
      </c>
      <c r="CC212">
        <v>2</v>
      </c>
      <c r="CD212">
        <v>2</v>
      </c>
      <c r="CE212">
        <v>2</v>
      </c>
      <c r="CF212">
        <v>2</v>
      </c>
      <c r="CG212">
        <v>2</v>
      </c>
      <c r="CH212">
        <v>2</v>
      </c>
      <c r="CI212">
        <v>2</v>
      </c>
      <c r="CJ212">
        <v>1</v>
      </c>
      <c r="CK212">
        <v>2</v>
      </c>
      <c r="CL212">
        <v>2</v>
      </c>
      <c r="CM212">
        <v>2</v>
      </c>
      <c r="CN212">
        <v>2</v>
      </c>
      <c r="CO212">
        <v>2</v>
      </c>
      <c r="CP212">
        <v>2</v>
      </c>
      <c r="CQ212">
        <v>2</v>
      </c>
      <c r="CR212">
        <v>2</v>
      </c>
      <c r="CS212">
        <v>1</v>
      </c>
    </row>
    <row r="213" spans="1:97" x14ac:dyDescent="0.3">
      <c r="A213" s="155">
        <v>621</v>
      </c>
      <c r="B213" t="s">
        <v>959</v>
      </c>
      <c r="D213">
        <v>0</v>
      </c>
      <c r="E213">
        <v>0</v>
      </c>
      <c r="F213">
        <v>0</v>
      </c>
      <c r="G213">
        <v>0</v>
      </c>
      <c r="H213">
        <v>0</v>
      </c>
      <c r="I213">
        <v>0</v>
      </c>
      <c r="J213">
        <v>0</v>
      </c>
      <c r="K213">
        <v>0</v>
      </c>
      <c r="L213">
        <v>0</v>
      </c>
      <c r="M213">
        <v>0</v>
      </c>
      <c r="N213">
        <v>0</v>
      </c>
      <c r="O213">
        <v>0</v>
      </c>
      <c r="P213">
        <v>0</v>
      </c>
      <c r="Q213">
        <v>0</v>
      </c>
      <c r="R213">
        <v>0</v>
      </c>
      <c r="S213">
        <v>0</v>
      </c>
      <c r="T213">
        <v>0</v>
      </c>
      <c r="U213">
        <v>0</v>
      </c>
      <c r="V213">
        <v>4734542</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row>
    <row r="214" spans="1:97" x14ac:dyDescent="0.3">
      <c r="A214" s="155">
        <v>622</v>
      </c>
      <c r="B214" t="s">
        <v>960</v>
      </c>
      <c r="D214">
        <v>0</v>
      </c>
      <c r="E214">
        <v>72183</v>
      </c>
      <c r="F214">
        <v>670375</v>
      </c>
      <c r="G214">
        <v>0</v>
      </c>
      <c r="H214">
        <v>1166367</v>
      </c>
      <c r="I214">
        <v>184950</v>
      </c>
      <c r="J214">
        <v>563887</v>
      </c>
      <c r="K214">
        <v>314819</v>
      </c>
      <c r="L214">
        <v>78615</v>
      </c>
      <c r="M214">
        <v>10412251</v>
      </c>
      <c r="N214">
        <v>96483</v>
      </c>
      <c r="O214">
        <v>0</v>
      </c>
      <c r="P214">
        <v>0</v>
      </c>
      <c r="Q214">
        <v>278678</v>
      </c>
      <c r="R214">
        <v>0</v>
      </c>
      <c r="S214">
        <v>18582</v>
      </c>
      <c r="T214">
        <v>340190</v>
      </c>
      <c r="U214">
        <v>250140</v>
      </c>
      <c r="V214">
        <v>1705596</v>
      </c>
      <c r="W214">
        <v>2544994</v>
      </c>
      <c r="X214">
        <v>855121</v>
      </c>
      <c r="Y214">
        <v>0</v>
      </c>
      <c r="Z214">
        <v>622848</v>
      </c>
      <c r="AA214">
        <v>374852</v>
      </c>
      <c r="AB214">
        <v>0</v>
      </c>
      <c r="AC214">
        <v>4721568</v>
      </c>
      <c r="AD214">
        <v>526366</v>
      </c>
      <c r="AE214">
        <v>186533</v>
      </c>
      <c r="AF214">
        <v>35734</v>
      </c>
      <c r="AG214">
        <v>6665512</v>
      </c>
      <c r="AH214">
        <v>0</v>
      </c>
      <c r="AI214">
        <v>523864</v>
      </c>
      <c r="AJ214">
        <v>239777</v>
      </c>
      <c r="AK214">
        <v>0</v>
      </c>
      <c r="AL214">
        <v>151513</v>
      </c>
      <c r="AM214">
        <v>711469</v>
      </c>
      <c r="AN214">
        <v>701819</v>
      </c>
      <c r="AO214">
        <v>791514</v>
      </c>
      <c r="AP214">
        <v>8219</v>
      </c>
      <c r="AQ214">
        <v>19654</v>
      </c>
      <c r="AR214">
        <v>1721319</v>
      </c>
      <c r="AS214">
        <v>196181</v>
      </c>
      <c r="AT214">
        <v>0</v>
      </c>
      <c r="AU214">
        <v>0</v>
      </c>
      <c r="AV214">
        <v>178671</v>
      </c>
      <c r="AW214">
        <v>0</v>
      </c>
      <c r="AX214">
        <v>35377</v>
      </c>
      <c r="AY214">
        <v>1225328</v>
      </c>
      <c r="AZ214">
        <v>48241</v>
      </c>
      <c r="BA214">
        <v>9298770</v>
      </c>
      <c r="BB214">
        <v>53244</v>
      </c>
      <c r="BC214">
        <v>1263563</v>
      </c>
      <c r="BD214">
        <v>0</v>
      </c>
      <c r="BE214">
        <v>158660</v>
      </c>
      <c r="BF214">
        <v>122926</v>
      </c>
      <c r="BG214">
        <v>15723</v>
      </c>
      <c r="BH214">
        <v>365918</v>
      </c>
      <c r="BI214">
        <v>617131</v>
      </c>
      <c r="BJ214">
        <v>5683178</v>
      </c>
      <c r="BK214">
        <v>47527</v>
      </c>
      <c r="BL214">
        <v>0</v>
      </c>
      <c r="BM214">
        <v>0</v>
      </c>
      <c r="BN214">
        <v>4191271</v>
      </c>
      <c r="BO214">
        <v>2264837</v>
      </c>
      <c r="BP214">
        <v>0</v>
      </c>
      <c r="BQ214">
        <v>85048</v>
      </c>
      <c r="BR214">
        <v>451681</v>
      </c>
      <c r="BS214">
        <v>1441520</v>
      </c>
      <c r="BT214">
        <v>0</v>
      </c>
      <c r="BU214">
        <v>0</v>
      </c>
      <c r="BV214">
        <v>138563</v>
      </c>
      <c r="BW214">
        <v>547806</v>
      </c>
      <c r="BX214">
        <v>104701</v>
      </c>
      <c r="BY214">
        <v>366991</v>
      </c>
      <c r="BZ214">
        <v>1719175</v>
      </c>
      <c r="CA214">
        <v>0</v>
      </c>
      <c r="CB214">
        <v>2075087</v>
      </c>
      <c r="CC214">
        <v>1979678</v>
      </c>
      <c r="CD214">
        <v>29537582</v>
      </c>
      <c r="CE214">
        <v>22715961</v>
      </c>
      <c r="CF214">
        <v>263004</v>
      </c>
      <c r="CG214">
        <v>746846</v>
      </c>
      <c r="CH214">
        <v>7862</v>
      </c>
      <c r="CI214">
        <v>348409</v>
      </c>
      <c r="CJ214">
        <v>63719903</v>
      </c>
      <c r="CK214">
        <v>2710444</v>
      </c>
      <c r="CL214">
        <v>153300</v>
      </c>
      <c r="CM214">
        <v>953390</v>
      </c>
      <c r="CN214">
        <v>66466</v>
      </c>
      <c r="CO214">
        <v>1983251</v>
      </c>
      <c r="CP214">
        <v>859409</v>
      </c>
      <c r="CQ214">
        <v>200112</v>
      </c>
      <c r="CR214">
        <v>583898</v>
      </c>
      <c r="CS214">
        <v>2092598</v>
      </c>
    </row>
    <row r="215" spans="1:97" x14ac:dyDescent="0.3">
      <c r="A215" s="155">
        <v>624</v>
      </c>
      <c r="B215" t="s">
        <v>357</v>
      </c>
      <c r="D215">
        <v>1</v>
      </c>
      <c r="E215">
        <v>1</v>
      </c>
      <c r="F215">
        <v>0</v>
      </c>
      <c r="G215">
        <v>1</v>
      </c>
      <c r="H215">
        <v>1</v>
      </c>
      <c r="I215">
        <v>1</v>
      </c>
      <c r="J215">
        <v>1</v>
      </c>
      <c r="K215">
        <v>1</v>
      </c>
      <c r="L215">
        <v>1</v>
      </c>
      <c r="M215">
        <v>1</v>
      </c>
      <c r="N215">
        <v>1</v>
      </c>
      <c r="O215">
        <v>1</v>
      </c>
      <c r="P215">
        <v>2</v>
      </c>
      <c r="Q215">
        <v>1</v>
      </c>
      <c r="R215">
        <v>1</v>
      </c>
      <c r="S215">
        <v>1</v>
      </c>
      <c r="T215">
        <v>2</v>
      </c>
      <c r="U215">
        <v>1</v>
      </c>
      <c r="V215">
        <v>1</v>
      </c>
      <c r="W215">
        <v>2</v>
      </c>
      <c r="X215">
        <v>1</v>
      </c>
      <c r="Y215">
        <v>2</v>
      </c>
      <c r="Z215">
        <v>2</v>
      </c>
      <c r="AA215">
        <v>1</v>
      </c>
      <c r="AB215">
        <v>2</v>
      </c>
      <c r="AC215">
        <v>2</v>
      </c>
      <c r="AD215">
        <v>1</v>
      </c>
      <c r="AE215">
        <v>1</v>
      </c>
      <c r="AF215">
        <v>1</v>
      </c>
      <c r="AG215">
        <v>1</v>
      </c>
      <c r="AH215">
        <v>1</v>
      </c>
      <c r="AI215">
        <v>2</v>
      </c>
      <c r="AJ215">
        <v>1</v>
      </c>
      <c r="AK215">
        <v>1</v>
      </c>
      <c r="AL215">
        <v>1</v>
      </c>
      <c r="AM215">
        <v>1</v>
      </c>
      <c r="AN215">
        <v>2</v>
      </c>
      <c r="AO215">
        <v>1</v>
      </c>
      <c r="AP215">
        <v>1</v>
      </c>
      <c r="AQ215">
        <v>2</v>
      </c>
      <c r="AR215">
        <v>2</v>
      </c>
      <c r="AS215">
        <v>1</v>
      </c>
      <c r="AT215">
        <v>1</v>
      </c>
      <c r="AU215">
        <v>1</v>
      </c>
      <c r="AV215">
        <v>1</v>
      </c>
      <c r="AW215">
        <v>1</v>
      </c>
      <c r="AX215">
        <v>1</v>
      </c>
      <c r="AY215">
        <v>1</v>
      </c>
      <c r="AZ215">
        <v>1</v>
      </c>
      <c r="BA215">
        <v>1</v>
      </c>
      <c r="BB215">
        <v>1</v>
      </c>
      <c r="BC215">
        <v>2</v>
      </c>
      <c r="BD215">
        <v>2</v>
      </c>
      <c r="BE215">
        <v>1</v>
      </c>
      <c r="BF215">
        <v>1</v>
      </c>
      <c r="BG215">
        <v>1</v>
      </c>
      <c r="BH215">
        <v>1</v>
      </c>
      <c r="BI215">
        <v>1</v>
      </c>
      <c r="BJ215">
        <v>1</v>
      </c>
      <c r="BK215">
        <v>1</v>
      </c>
      <c r="BL215">
        <v>1</v>
      </c>
      <c r="BM215">
        <v>2</v>
      </c>
      <c r="BN215">
        <v>2</v>
      </c>
      <c r="BO215">
        <v>1</v>
      </c>
      <c r="BP215">
        <v>1</v>
      </c>
      <c r="BQ215">
        <v>2</v>
      </c>
      <c r="BR215">
        <v>1</v>
      </c>
      <c r="BS215">
        <v>2</v>
      </c>
      <c r="BT215">
        <v>2</v>
      </c>
      <c r="BU215">
        <v>1</v>
      </c>
      <c r="BV215">
        <v>2</v>
      </c>
      <c r="BW215">
        <v>2</v>
      </c>
      <c r="BX215">
        <v>1</v>
      </c>
      <c r="BY215">
        <v>0</v>
      </c>
      <c r="BZ215">
        <v>1</v>
      </c>
      <c r="CA215">
        <v>1</v>
      </c>
      <c r="CB215">
        <v>1</v>
      </c>
      <c r="CC215">
        <v>2</v>
      </c>
      <c r="CD215">
        <v>1</v>
      </c>
      <c r="CE215">
        <v>1</v>
      </c>
      <c r="CF215">
        <v>1</v>
      </c>
      <c r="CG215">
        <v>1</v>
      </c>
      <c r="CH215">
        <v>1</v>
      </c>
      <c r="CI215">
        <v>1</v>
      </c>
      <c r="CJ215">
        <v>1</v>
      </c>
      <c r="CK215">
        <v>2</v>
      </c>
      <c r="CL215">
        <v>1</v>
      </c>
      <c r="CM215">
        <v>1</v>
      </c>
      <c r="CN215">
        <v>1</v>
      </c>
      <c r="CO215">
        <v>1</v>
      </c>
      <c r="CP215">
        <v>1</v>
      </c>
      <c r="CQ215">
        <v>2</v>
      </c>
      <c r="CR215">
        <v>2</v>
      </c>
      <c r="CS215">
        <v>1</v>
      </c>
    </row>
    <row r="216" spans="1:97" x14ac:dyDescent="0.3">
      <c r="A216" s="155">
        <v>626</v>
      </c>
      <c r="B216" t="s">
        <v>961</v>
      </c>
      <c r="D216">
        <v>0</v>
      </c>
      <c r="E216">
        <v>448932</v>
      </c>
      <c r="F216">
        <v>250247</v>
      </c>
      <c r="G216">
        <v>4492</v>
      </c>
      <c r="H216">
        <v>779779</v>
      </c>
      <c r="I216">
        <v>32528</v>
      </c>
      <c r="J216">
        <v>405647</v>
      </c>
      <c r="K216">
        <v>32127</v>
      </c>
      <c r="L216">
        <v>35560</v>
      </c>
      <c r="M216">
        <v>4106174</v>
      </c>
      <c r="N216">
        <v>51394</v>
      </c>
      <c r="O216">
        <v>11278</v>
      </c>
      <c r="P216">
        <v>32411</v>
      </c>
      <c r="Q216">
        <v>68772</v>
      </c>
      <c r="R216">
        <v>0</v>
      </c>
      <c r="S216">
        <v>8103</v>
      </c>
      <c r="T216">
        <v>303148</v>
      </c>
      <c r="U216">
        <v>188187</v>
      </c>
      <c r="V216">
        <v>366743</v>
      </c>
      <c r="W216">
        <v>956029</v>
      </c>
      <c r="X216">
        <v>1065007</v>
      </c>
      <c r="Y216">
        <v>26053</v>
      </c>
      <c r="Z216">
        <v>450502</v>
      </c>
      <c r="AA216">
        <v>130483</v>
      </c>
      <c r="AB216">
        <v>2538</v>
      </c>
      <c r="AC216">
        <v>503546</v>
      </c>
      <c r="AD216">
        <v>57283</v>
      </c>
      <c r="AE216">
        <v>27786</v>
      </c>
      <c r="AF216">
        <v>5935</v>
      </c>
      <c r="AG216">
        <v>2939257</v>
      </c>
      <c r="AH216">
        <v>34763</v>
      </c>
      <c r="AI216">
        <v>135548</v>
      </c>
      <c r="AJ216">
        <v>60221</v>
      </c>
      <c r="AK216">
        <v>74932</v>
      </c>
      <c r="AL216">
        <v>36549</v>
      </c>
      <c r="AM216">
        <v>977821</v>
      </c>
      <c r="AN216">
        <v>255028</v>
      </c>
      <c r="AO216">
        <v>220246</v>
      </c>
      <c r="AP216">
        <v>4556</v>
      </c>
      <c r="AQ216">
        <v>18846</v>
      </c>
      <c r="AR216">
        <v>178237</v>
      </c>
      <c r="AS216">
        <v>60032</v>
      </c>
      <c r="AT216">
        <v>17088</v>
      </c>
      <c r="AU216">
        <v>956</v>
      </c>
      <c r="AV216">
        <v>45747</v>
      </c>
      <c r="AW216">
        <v>3312</v>
      </c>
      <c r="AX216">
        <v>20481</v>
      </c>
      <c r="AY216">
        <v>301153</v>
      </c>
      <c r="AZ216">
        <v>10053</v>
      </c>
      <c r="BA216">
        <v>13867063</v>
      </c>
      <c r="BB216">
        <v>99552</v>
      </c>
      <c r="BC216">
        <v>1324912</v>
      </c>
      <c r="BD216">
        <v>0</v>
      </c>
      <c r="BE216">
        <v>58285</v>
      </c>
      <c r="BF216">
        <v>102125</v>
      </c>
      <c r="BG216">
        <v>14961</v>
      </c>
      <c r="BH216">
        <v>18987</v>
      </c>
      <c r="BI216">
        <v>257529</v>
      </c>
      <c r="BJ216">
        <v>1733015</v>
      </c>
      <c r="BK216">
        <v>8198</v>
      </c>
      <c r="BL216">
        <v>0</v>
      </c>
      <c r="BM216">
        <v>1313813</v>
      </c>
      <c r="BN216">
        <v>1403491</v>
      </c>
      <c r="BO216">
        <v>1042854</v>
      </c>
      <c r="BP216">
        <v>2695</v>
      </c>
      <c r="BQ216">
        <v>125938</v>
      </c>
      <c r="BR216">
        <v>44798</v>
      </c>
      <c r="BS216">
        <v>4613847</v>
      </c>
      <c r="BT216">
        <v>36905</v>
      </c>
      <c r="BU216">
        <v>59524</v>
      </c>
      <c r="BV216">
        <v>161554</v>
      </c>
      <c r="BW216">
        <v>451320</v>
      </c>
      <c r="BX216">
        <v>49721</v>
      </c>
      <c r="BY216">
        <v>123545</v>
      </c>
      <c r="BZ216">
        <v>643672</v>
      </c>
      <c r="CA216">
        <v>2772</v>
      </c>
      <c r="CB216">
        <v>727982</v>
      </c>
      <c r="CC216">
        <v>1367964</v>
      </c>
      <c r="CD216">
        <v>52569517</v>
      </c>
      <c r="CE216">
        <v>11662469</v>
      </c>
      <c r="CF216">
        <v>47207</v>
      </c>
      <c r="CG216">
        <v>1051232</v>
      </c>
      <c r="CH216">
        <v>33125</v>
      </c>
      <c r="CI216">
        <v>144840</v>
      </c>
      <c r="CJ216">
        <v>100042157</v>
      </c>
      <c r="CK216">
        <v>1835197</v>
      </c>
      <c r="CL216">
        <v>89038</v>
      </c>
      <c r="CM216">
        <v>900133</v>
      </c>
      <c r="CN216">
        <v>42567</v>
      </c>
      <c r="CO216">
        <v>1241785</v>
      </c>
      <c r="CP216">
        <v>199632</v>
      </c>
      <c r="CQ216">
        <v>124238</v>
      </c>
      <c r="CR216">
        <v>878283</v>
      </c>
      <c r="CS216">
        <v>1139485</v>
      </c>
    </row>
    <row r="217" spans="1:97" x14ac:dyDescent="0.3">
      <c r="A217" s="155">
        <v>627</v>
      </c>
      <c r="B217" t="s">
        <v>962</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205500</v>
      </c>
      <c r="BT217">
        <v>0</v>
      </c>
      <c r="BU217">
        <v>0</v>
      </c>
      <c r="BV217">
        <v>0</v>
      </c>
      <c r="BW217">
        <v>295773</v>
      </c>
      <c r="BX217">
        <v>0</v>
      </c>
      <c r="BY217">
        <v>0</v>
      </c>
      <c r="BZ217">
        <v>0</v>
      </c>
      <c r="CA217">
        <v>0</v>
      </c>
      <c r="CB217">
        <v>0</v>
      </c>
      <c r="CC217">
        <v>0</v>
      </c>
      <c r="CD217">
        <v>0</v>
      </c>
      <c r="CE217">
        <v>0</v>
      </c>
      <c r="CF217">
        <v>0</v>
      </c>
      <c r="CG217">
        <v>0</v>
      </c>
      <c r="CH217">
        <v>0</v>
      </c>
      <c r="CI217">
        <v>0</v>
      </c>
      <c r="CJ217">
        <v>0</v>
      </c>
      <c r="CK217">
        <v>0</v>
      </c>
      <c r="CL217">
        <v>0</v>
      </c>
      <c r="CM217">
        <v>320184</v>
      </c>
      <c r="CN217">
        <v>0</v>
      </c>
      <c r="CO217">
        <v>0</v>
      </c>
      <c r="CP217">
        <v>0</v>
      </c>
      <c r="CQ217">
        <v>0</v>
      </c>
      <c r="CR217">
        <v>0</v>
      </c>
      <c r="CS217">
        <v>0</v>
      </c>
    </row>
    <row r="218" spans="1:97" x14ac:dyDescent="0.3">
      <c r="A218" s="155">
        <v>628</v>
      </c>
      <c r="B218" t="s">
        <v>963</v>
      </c>
      <c r="D218">
        <v>0</v>
      </c>
      <c r="E218">
        <v>14409</v>
      </c>
      <c r="F218">
        <v>0</v>
      </c>
      <c r="G218">
        <v>0</v>
      </c>
      <c r="H218">
        <v>157008</v>
      </c>
      <c r="I218">
        <v>0</v>
      </c>
      <c r="J218">
        <v>26363</v>
      </c>
      <c r="K218">
        <v>11703</v>
      </c>
      <c r="L218">
        <v>14949</v>
      </c>
      <c r="M218">
        <v>1003084</v>
      </c>
      <c r="N218">
        <v>0</v>
      </c>
      <c r="O218">
        <v>0</v>
      </c>
      <c r="P218">
        <v>0</v>
      </c>
      <c r="Q218">
        <v>0</v>
      </c>
      <c r="R218">
        <v>0</v>
      </c>
      <c r="S218">
        <v>0</v>
      </c>
      <c r="T218">
        <v>0</v>
      </c>
      <c r="U218">
        <v>0</v>
      </c>
      <c r="V218">
        <v>115000</v>
      </c>
      <c r="W218">
        <v>0</v>
      </c>
      <c r="X218">
        <v>20235</v>
      </c>
      <c r="Y218">
        <v>0</v>
      </c>
      <c r="Z218">
        <v>0</v>
      </c>
      <c r="AA218">
        <v>0</v>
      </c>
      <c r="AB218">
        <v>0</v>
      </c>
      <c r="AC218">
        <v>73269</v>
      </c>
      <c r="AD218">
        <v>28938</v>
      </c>
      <c r="AE218">
        <v>6757</v>
      </c>
      <c r="AF218">
        <v>0</v>
      </c>
      <c r="AG218">
        <v>542522</v>
      </c>
      <c r="AH218">
        <v>13049</v>
      </c>
      <c r="AI218">
        <v>0</v>
      </c>
      <c r="AJ218">
        <v>41495</v>
      </c>
      <c r="AK218">
        <v>0</v>
      </c>
      <c r="AL218">
        <v>36549</v>
      </c>
      <c r="AM218">
        <v>28464</v>
      </c>
      <c r="AN218">
        <v>41336</v>
      </c>
      <c r="AO218">
        <v>35965</v>
      </c>
      <c r="AP218">
        <v>0</v>
      </c>
      <c r="AQ218">
        <v>0</v>
      </c>
      <c r="AR218">
        <v>0</v>
      </c>
      <c r="AS218">
        <v>8827</v>
      </c>
      <c r="AT218">
        <v>0</v>
      </c>
      <c r="AU218">
        <v>0</v>
      </c>
      <c r="AV218">
        <v>0</v>
      </c>
      <c r="AW218">
        <v>0</v>
      </c>
      <c r="AX218">
        <v>2636</v>
      </c>
      <c r="AY218">
        <v>0</v>
      </c>
      <c r="AZ218">
        <v>0</v>
      </c>
      <c r="BA218">
        <v>902311</v>
      </c>
      <c r="BB218">
        <v>0</v>
      </c>
      <c r="BC218">
        <v>65464</v>
      </c>
      <c r="BD218">
        <v>0</v>
      </c>
      <c r="BE218">
        <v>14489</v>
      </c>
      <c r="BF218">
        <v>5338</v>
      </c>
      <c r="BG218">
        <v>0</v>
      </c>
      <c r="BH218">
        <v>0</v>
      </c>
      <c r="BI218">
        <v>35000</v>
      </c>
      <c r="BJ218">
        <v>670102</v>
      </c>
      <c r="BK218">
        <v>1554</v>
      </c>
      <c r="BL218">
        <v>0</v>
      </c>
      <c r="BM218">
        <v>79240</v>
      </c>
      <c r="BN218">
        <v>269101</v>
      </c>
      <c r="BO218">
        <v>139000</v>
      </c>
      <c r="BP218">
        <v>0</v>
      </c>
      <c r="BQ218">
        <v>0</v>
      </c>
      <c r="BR218">
        <v>11717</v>
      </c>
      <c r="BS218">
        <v>280809</v>
      </c>
      <c r="BT218">
        <v>8270</v>
      </c>
      <c r="BU218">
        <v>0</v>
      </c>
      <c r="BV218">
        <v>58600</v>
      </c>
      <c r="BW218">
        <v>31021</v>
      </c>
      <c r="BX218">
        <v>0</v>
      </c>
      <c r="BY218">
        <v>41062</v>
      </c>
      <c r="BZ218">
        <v>0</v>
      </c>
      <c r="CA218">
        <v>0</v>
      </c>
      <c r="CB218">
        <v>34163</v>
      </c>
      <c r="CC218">
        <v>115016</v>
      </c>
      <c r="CD218">
        <v>5207126</v>
      </c>
      <c r="CE218">
        <v>1775058</v>
      </c>
      <c r="CF218">
        <v>27293</v>
      </c>
      <c r="CG218">
        <v>64244</v>
      </c>
      <c r="CH218">
        <v>2668</v>
      </c>
      <c r="CI218">
        <v>0</v>
      </c>
      <c r="CJ218">
        <v>6464583</v>
      </c>
      <c r="CK218">
        <v>148515</v>
      </c>
      <c r="CL218">
        <v>8959</v>
      </c>
      <c r="CM218">
        <v>69000</v>
      </c>
      <c r="CN218">
        <v>0</v>
      </c>
      <c r="CO218">
        <v>273034</v>
      </c>
      <c r="CP218">
        <v>51665</v>
      </c>
      <c r="CQ218">
        <v>0</v>
      </c>
      <c r="CR218">
        <v>24628</v>
      </c>
      <c r="CS218">
        <v>182855</v>
      </c>
    </row>
    <row r="219" spans="1:97" x14ac:dyDescent="0.3">
      <c r="A219" s="155">
        <v>629</v>
      </c>
      <c r="B219" t="s">
        <v>964</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2734</v>
      </c>
      <c r="BU219">
        <v>0</v>
      </c>
      <c r="BV219">
        <v>0</v>
      </c>
      <c r="BW219">
        <v>0</v>
      </c>
      <c r="BX219">
        <v>0</v>
      </c>
      <c r="BY219">
        <v>0</v>
      </c>
      <c r="BZ219">
        <v>0</v>
      </c>
      <c r="CA219">
        <v>0</v>
      </c>
      <c r="CB219">
        <v>0</v>
      </c>
      <c r="CC219">
        <v>0</v>
      </c>
      <c r="CD219">
        <v>848277</v>
      </c>
      <c r="CE219">
        <v>0</v>
      </c>
      <c r="CF219">
        <v>0</v>
      </c>
      <c r="CG219">
        <v>0</v>
      </c>
      <c r="CH219">
        <v>0</v>
      </c>
      <c r="CI219">
        <v>0</v>
      </c>
      <c r="CJ219">
        <v>0</v>
      </c>
      <c r="CK219">
        <v>0</v>
      </c>
      <c r="CL219">
        <v>0</v>
      </c>
      <c r="CM219">
        <v>0</v>
      </c>
      <c r="CN219">
        <v>0</v>
      </c>
      <c r="CO219">
        <v>0</v>
      </c>
      <c r="CP219">
        <v>0</v>
      </c>
      <c r="CQ219">
        <v>0</v>
      </c>
      <c r="CR219">
        <v>0</v>
      </c>
      <c r="CS219">
        <v>0</v>
      </c>
    </row>
    <row r="220" spans="1:97" x14ac:dyDescent="0.3">
      <c r="A220" s="155">
        <v>630</v>
      </c>
      <c r="B220" t="s">
        <v>965</v>
      </c>
      <c r="D220">
        <v>0</v>
      </c>
      <c r="E220">
        <v>0</v>
      </c>
      <c r="F220">
        <v>0</v>
      </c>
      <c r="G220">
        <v>0</v>
      </c>
      <c r="H220">
        <v>0</v>
      </c>
      <c r="I220">
        <v>0</v>
      </c>
      <c r="J220">
        <v>0</v>
      </c>
      <c r="K220">
        <v>0</v>
      </c>
      <c r="L220">
        <v>3390</v>
      </c>
      <c r="M220">
        <v>6811</v>
      </c>
      <c r="N220">
        <v>0</v>
      </c>
      <c r="O220">
        <v>0</v>
      </c>
      <c r="P220">
        <v>4313</v>
      </c>
      <c r="Q220">
        <v>0</v>
      </c>
      <c r="R220">
        <v>0</v>
      </c>
      <c r="S220">
        <v>0</v>
      </c>
      <c r="T220">
        <v>0</v>
      </c>
      <c r="U220">
        <v>0</v>
      </c>
      <c r="V220">
        <v>0</v>
      </c>
      <c r="W220">
        <v>0</v>
      </c>
      <c r="X220">
        <v>0</v>
      </c>
      <c r="Y220">
        <v>0</v>
      </c>
      <c r="Z220">
        <v>0</v>
      </c>
      <c r="AA220">
        <v>0</v>
      </c>
      <c r="AB220">
        <v>0</v>
      </c>
      <c r="AC220">
        <v>1737</v>
      </c>
      <c r="AD220">
        <v>0</v>
      </c>
      <c r="AE220">
        <v>0</v>
      </c>
      <c r="AF220">
        <v>0</v>
      </c>
      <c r="AG220">
        <v>36557</v>
      </c>
      <c r="AH220">
        <v>0</v>
      </c>
      <c r="AI220">
        <v>0</v>
      </c>
      <c r="AJ220">
        <v>0</v>
      </c>
      <c r="AK220">
        <v>0</v>
      </c>
      <c r="AL220">
        <v>0</v>
      </c>
      <c r="AM220">
        <v>0</v>
      </c>
      <c r="AN220">
        <v>20161</v>
      </c>
      <c r="AO220">
        <v>0</v>
      </c>
      <c r="AP220">
        <v>0</v>
      </c>
      <c r="AQ220">
        <v>0</v>
      </c>
      <c r="AR220">
        <v>0</v>
      </c>
      <c r="AS220">
        <v>0</v>
      </c>
      <c r="AT220">
        <v>0</v>
      </c>
      <c r="AU220">
        <v>0</v>
      </c>
      <c r="AV220">
        <v>0</v>
      </c>
      <c r="AW220">
        <v>1140</v>
      </c>
      <c r="AX220">
        <v>0</v>
      </c>
      <c r="AY220">
        <v>0</v>
      </c>
      <c r="AZ220">
        <v>0</v>
      </c>
      <c r="BA220">
        <v>0</v>
      </c>
      <c r="BB220">
        <v>0</v>
      </c>
      <c r="BC220">
        <v>0</v>
      </c>
      <c r="BD220">
        <v>0</v>
      </c>
      <c r="BE220">
        <v>0</v>
      </c>
      <c r="BF220">
        <v>0</v>
      </c>
      <c r="BG220">
        <v>0</v>
      </c>
      <c r="BH220">
        <v>0</v>
      </c>
      <c r="BI220">
        <v>0</v>
      </c>
      <c r="BJ220">
        <v>2073</v>
      </c>
      <c r="BK220">
        <v>0</v>
      </c>
      <c r="BL220">
        <v>0</v>
      </c>
      <c r="BM220">
        <v>26802</v>
      </c>
      <c r="BN220">
        <v>0</v>
      </c>
      <c r="BO220">
        <v>49500</v>
      </c>
      <c r="BP220">
        <v>0</v>
      </c>
      <c r="BQ220">
        <v>0</v>
      </c>
      <c r="BR220">
        <v>0</v>
      </c>
      <c r="BS220">
        <v>0</v>
      </c>
      <c r="BT220">
        <v>0</v>
      </c>
      <c r="BU220">
        <v>0</v>
      </c>
      <c r="BV220">
        <v>0</v>
      </c>
      <c r="BW220">
        <v>2000</v>
      </c>
      <c r="BX220">
        <v>0</v>
      </c>
      <c r="BY220">
        <v>0</v>
      </c>
      <c r="BZ220">
        <v>5400</v>
      </c>
      <c r="CA220">
        <v>0</v>
      </c>
      <c r="CB220">
        <v>0</v>
      </c>
      <c r="CC220">
        <v>0</v>
      </c>
      <c r="CD220">
        <v>3491343</v>
      </c>
      <c r="CE220">
        <v>796531</v>
      </c>
      <c r="CF220">
        <v>0</v>
      </c>
      <c r="CG220">
        <v>0</v>
      </c>
      <c r="CH220">
        <v>0</v>
      </c>
      <c r="CI220">
        <v>1550</v>
      </c>
      <c r="CJ220">
        <v>0</v>
      </c>
      <c r="CK220">
        <v>261481</v>
      </c>
      <c r="CL220">
        <v>0</v>
      </c>
      <c r="CM220">
        <v>0</v>
      </c>
      <c r="CN220">
        <v>0</v>
      </c>
      <c r="CO220">
        <v>0</v>
      </c>
      <c r="CP220">
        <v>0</v>
      </c>
      <c r="CQ220">
        <v>0</v>
      </c>
      <c r="CR220">
        <v>0</v>
      </c>
      <c r="CS220">
        <v>0</v>
      </c>
    </row>
    <row r="221" spans="1:97" x14ac:dyDescent="0.3">
      <c r="A221" s="155">
        <v>631</v>
      </c>
      <c r="B221" t="s">
        <v>966</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row>
    <row r="222" spans="1:97" x14ac:dyDescent="0.3">
      <c r="A222" s="155">
        <v>632</v>
      </c>
      <c r="B222" t="s">
        <v>967</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row>
    <row r="223" spans="1:97" x14ac:dyDescent="0.3">
      <c r="A223" s="155">
        <v>633</v>
      </c>
      <c r="B223" t="s">
        <v>373</v>
      </c>
      <c r="D223">
        <v>0</v>
      </c>
      <c r="E223">
        <v>0</v>
      </c>
      <c r="F223">
        <v>494040</v>
      </c>
      <c r="G223">
        <v>0</v>
      </c>
      <c r="H223">
        <v>0</v>
      </c>
      <c r="I223">
        <v>39995</v>
      </c>
      <c r="J223">
        <v>916553</v>
      </c>
      <c r="K223">
        <v>101328</v>
      </c>
      <c r="L223">
        <v>116894</v>
      </c>
      <c r="M223">
        <v>3853680</v>
      </c>
      <c r="N223">
        <v>99578</v>
      </c>
      <c r="O223">
        <v>0</v>
      </c>
      <c r="P223">
        <v>58662</v>
      </c>
      <c r="Q223">
        <v>124562</v>
      </c>
      <c r="R223">
        <v>0</v>
      </c>
      <c r="S223">
        <v>64969</v>
      </c>
      <c r="T223">
        <v>0</v>
      </c>
      <c r="U223">
        <v>0</v>
      </c>
      <c r="V223">
        <v>0</v>
      </c>
      <c r="W223">
        <v>3233699</v>
      </c>
      <c r="X223">
        <v>0</v>
      </c>
      <c r="Y223">
        <v>447288</v>
      </c>
      <c r="Z223">
        <v>0</v>
      </c>
      <c r="AA223">
        <v>230953</v>
      </c>
      <c r="AB223">
        <v>0</v>
      </c>
      <c r="AC223">
        <v>191099</v>
      </c>
      <c r="AD223">
        <v>461707</v>
      </c>
      <c r="AE223">
        <v>1304193</v>
      </c>
      <c r="AF223">
        <v>116851</v>
      </c>
      <c r="AG223">
        <v>4340869</v>
      </c>
      <c r="AH223">
        <v>0</v>
      </c>
      <c r="AI223">
        <v>394373</v>
      </c>
      <c r="AJ223">
        <v>0</v>
      </c>
      <c r="AK223">
        <v>21143</v>
      </c>
      <c r="AL223">
        <v>2020774</v>
      </c>
      <c r="AM223">
        <v>412917</v>
      </c>
      <c r="AN223">
        <v>353970</v>
      </c>
      <c r="AO223">
        <v>860475</v>
      </c>
      <c r="AP223">
        <v>4710</v>
      </c>
      <c r="AQ223">
        <v>0</v>
      </c>
      <c r="AR223">
        <v>357013</v>
      </c>
      <c r="AS223">
        <v>204283</v>
      </c>
      <c r="AT223">
        <v>0</v>
      </c>
      <c r="AU223">
        <v>0</v>
      </c>
      <c r="AV223">
        <v>0</v>
      </c>
      <c r="AW223">
        <v>0</v>
      </c>
      <c r="AX223">
        <v>30876</v>
      </c>
      <c r="AY223">
        <v>510946</v>
      </c>
      <c r="AZ223">
        <v>26072</v>
      </c>
      <c r="BA223">
        <v>0</v>
      </c>
      <c r="BB223">
        <v>223039</v>
      </c>
      <c r="BC223">
        <v>517229</v>
      </c>
      <c r="BD223">
        <v>0</v>
      </c>
      <c r="BE223">
        <v>205097</v>
      </c>
      <c r="BF223">
        <v>112618</v>
      </c>
      <c r="BG223">
        <v>16973</v>
      </c>
      <c r="BH223">
        <v>270250</v>
      </c>
      <c r="BI223">
        <v>655305</v>
      </c>
      <c r="BJ223">
        <v>631622</v>
      </c>
      <c r="BK223">
        <v>0</v>
      </c>
      <c r="BL223">
        <v>0</v>
      </c>
      <c r="BM223">
        <v>0</v>
      </c>
      <c r="BN223">
        <v>343571</v>
      </c>
      <c r="BO223">
        <v>465232</v>
      </c>
      <c r="BP223">
        <v>0</v>
      </c>
      <c r="BQ223">
        <v>0</v>
      </c>
      <c r="BR223">
        <v>78951</v>
      </c>
      <c r="BS223">
        <v>0</v>
      </c>
      <c r="BT223">
        <v>0</v>
      </c>
      <c r="BU223">
        <v>0</v>
      </c>
      <c r="BV223">
        <v>206459</v>
      </c>
      <c r="BW223">
        <v>0</v>
      </c>
      <c r="BX223">
        <v>103317</v>
      </c>
      <c r="BY223">
        <v>620297</v>
      </c>
      <c r="BZ223">
        <v>631022</v>
      </c>
      <c r="CA223">
        <v>2781</v>
      </c>
      <c r="CB223">
        <v>1236654</v>
      </c>
      <c r="CC223">
        <v>614163</v>
      </c>
      <c r="CD223">
        <v>0</v>
      </c>
      <c r="CE223">
        <v>4574111</v>
      </c>
      <c r="CF223">
        <v>42661</v>
      </c>
      <c r="CG223">
        <v>445302</v>
      </c>
      <c r="CH223">
        <v>109697</v>
      </c>
      <c r="CI223">
        <v>416581</v>
      </c>
      <c r="CJ223">
        <v>34069674</v>
      </c>
      <c r="CK223">
        <v>1355566</v>
      </c>
      <c r="CL223">
        <v>149624</v>
      </c>
      <c r="CM223">
        <v>0</v>
      </c>
      <c r="CN223">
        <v>54042</v>
      </c>
      <c r="CO223">
        <v>50210</v>
      </c>
      <c r="CP223">
        <v>152865</v>
      </c>
      <c r="CQ223">
        <v>262783</v>
      </c>
      <c r="CR223">
        <v>0</v>
      </c>
      <c r="CS223">
        <v>0</v>
      </c>
    </row>
    <row r="224" spans="1:97" x14ac:dyDescent="0.3">
      <c r="A224" s="155">
        <v>634</v>
      </c>
      <c r="B224" t="s">
        <v>374</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963000</v>
      </c>
      <c r="AF224">
        <v>41248</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1877375</v>
      </c>
      <c r="CF224">
        <v>42000</v>
      </c>
      <c r="CG224">
        <v>0</v>
      </c>
      <c r="CH224">
        <v>0</v>
      </c>
      <c r="CI224">
        <v>0</v>
      </c>
      <c r="CJ224">
        <v>0</v>
      </c>
      <c r="CK224">
        <v>0</v>
      </c>
      <c r="CL224">
        <v>0</v>
      </c>
      <c r="CM224">
        <v>0</v>
      </c>
      <c r="CN224">
        <v>0</v>
      </c>
      <c r="CO224">
        <v>0</v>
      </c>
      <c r="CP224">
        <v>0</v>
      </c>
      <c r="CQ224">
        <v>0</v>
      </c>
      <c r="CR224">
        <v>0</v>
      </c>
      <c r="CS224">
        <v>0</v>
      </c>
    </row>
    <row r="225" spans="1:97" x14ac:dyDescent="0.3">
      <c r="A225" s="155">
        <v>635</v>
      </c>
      <c r="B225" t="s">
        <v>375</v>
      </c>
      <c r="D225">
        <v>0</v>
      </c>
      <c r="E225">
        <v>0</v>
      </c>
      <c r="F225">
        <v>0</v>
      </c>
      <c r="G225">
        <v>0</v>
      </c>
      <c r="H225">
        <v>0</v>
      </c>
      <c r="I225">
        <v>0</v>
      </c>
      <c r="J225">
        <v>23774</v>
      </c>
      <c r="K225">
        <v>5488</v>
      </c>
      <c r="L225">
        <v>0</v>
      </c>
      <c r="M225">
        <v>122001</v>
      </c>
      <c r="N225">
        <v>0</v>
      </c>
      <c r="O225">
        <v>0</v>
      </c>
      <c r="P225">
        <v>0</v>
      </c>
      <c r="Q225">
        <v>0</v>
      </c>
      <c r="R225">
        <v>0</v>
      </c>
      <c r="S225">
        <v>0</v>
      </c>
      <c r="T225">
        <v>0</v>
      </c>
      <c r="U225">
        <v>0</v>
      </c>
      <c r="V225">
        <v>0</v>
      </c>
      <c r="W225">
        <v>0</v>
      </c>
      <c r="X225">
        <v>0</v>
      </c>
      <c r="Y225">
        <v>0</v>
      </c>
      <c r="Z225">
        <v>0</v>
      </c>
      <c r="AA225">
        <v>0</v>
      </c>
      <c r="AB225">
        <v>0</v>
      </c>
      <c r="AC225">
        <v>10852</v>
      </c>
      <c r="AD225">
        <v>26899</v>
      </c>
      <c r="AE225">
        <v>404</v>
      </c>
      <c r="AF225">
        <v>0</v>
      </c>
      <c r="AG225">
        <v>110990</v>
      </c>
      <c r="AH225">
        <v>0</v>
      </c>
      <c r="AI225">
        <v>0</v>
      </c>
      <c r="AJ225">
        <v>0</v>
      </c>
      <c r="AK225">
        <v>0</v>
      </c>
      <c r="AL225">
        <v>0</v>
      </c>
      <c r="AM225">
        <v>8032</v>
      </c>
      <c r="AN225">
        <v>16997</v>
      </c>
      <c r="AO225">
        <v>22804</v>
      </c>
      <c r="AP225">
        <v>0</v>
      </c>
      <c r="AQ225">
        <v>0</v>
      </c>
      <c r="AR225">
        <v>0</v>
      </c>
      <c r="AS225">
        <v>5243</v>
      </c>
      <c r="AT225">
        <v>0</v>
      </c>
      <c r="AU225">
        <v>0</v>
      </c>
      <c r="AV225">
        <v>0</v>
      </c>
      <c r="AW225">
        <v>0</v>
      </c>
      <c r="AX225">
        <v>975</v>
      </c>
      <c r="AY225">
        <v>0</v>
      </c>
      <c r="AZ225">
        <v>0</v>
      </c>
      <c r="BA225">
        <v>0</v>
      </c>
      <c r="BB225">
        <v>0</v>
      </c>
      <c r="BC225">
        <v>29521</v>
      </c>
      <c r="BD225">
        <v>0</v>
      </c>
      <c r="BE225">
        <v>10819</v>
      </c>
      <c r="BF225">
        <v>0</v>
      </c>
      <c r="BG225">
        <v>0</v>
      </c>
      <c r="BH225">
        <v>5623</v>
      </c>
      <c r="BI225">
        <v>17462</v>
      </c>
      <c r="BJ225">
        <v>141149</v>
      </c>
      <c r="BK225">
        <v>0</v>
      </c>
      <c r="BL225">
        <v>0</v>
      </c>
      <c r="BM225">
        <v>0</v>
      </c>
      <c r="BN225">
        <v>62468</v>
      </c>
      <c r="BO225">
        <v>46000</v>
      </c>
      <c r="BP225">
        <v>0</v>
      </c>
      <c r="BQ225">
        <v>0</v>
      </c>
      <c r="BR225">
        <v>2734</v>
      </c>
      <c r="BS225">
        <v>0</v>
      </c>
      <c r="BT225">
        <v>0</v>
      </c>
      <c r="BU225">
        <v>0</v>
      </c>
      <c r="BV225">
        <v>15822</v>
      </c>
      <c r="BW225">
        <v>0</v>
      </c>
      <c r="BX225">
        <v>0</v>
      </c>
      <c r="BY225">
        <v>16271</v>
      </c>
      <c r="BZ225">
        <v>0</v>
      </c>
      <c r="CA225">
        <v>0</v>
      </c>
      <c r="CB225">
        <v>34641</v>
      </c>
      <c r="CC225">
        <v>17990</v>
      </c>
      <c r="CD225">
        <v>0</v>
      </c>
      <c r="CE225">
        <v>262760</v>
      </c>
      <c r="CF225">
        <v>0</v>
      </c>
      <c r="CG225">
        <v>7618</v>
      </c>
      <c r="CH225">
        <v>0</v>
      </c>
      <c r="CI225">
        <v>16693</v>
      </c>
      <c r="CJ225">
        <v>467506</v>
      </c>
      <c r="CK225">
        <v>7880</v>
      </c>
      <c r="CL225">
        <v>10472</v>
      </c>
      <c r="CM225">
        <v>0</v>
      </c>
      <c r="CN225">
        <v>0</v>
      </c>
      <c r="CO225">
        <v>10135</v>
      </c>
      <c r="CP225">
        <v>59582</v>
      </c>
      <c r="CQ225">
        <v>10676</v>
      </c>
      <c r="CR225">
        <v>0</v>
      </c>
      <c r="CS225">
        <v>0</v>
      </c>
    </row>
    <row r="226" spans="1:97" x14ac:dyDescent="0.3">
      <c r="A226" s="155">
        <v>636</v>
      </c>
      <c r="B226" t="s">
        <v>1667</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15603</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row>
    <row r="227" spans="1:97" x14ac:dyDescent="0.3">
      <c r="A227" s="155">
        <v>637</v>
      </c>
      <c r="B227" t="s">
        <v>1668</v>
      </c>
      <c r="D227">
        <v>0</v>
      </c>
      <c r="E227">
        <v>0</v>
      </c>
      <c r="F227">
        <v>0</v>
      </c>
      <c r="G227">
        <v>0</v>
      </c>
      <c r="H227">
        <v>0</v>
      </c>
      <c r="I227">
        <v>0</v>
      </c>
      <c r="J227">
        <v>328790</v>
      </c>
      <c r="K227">
        <v>0</v>
      </c>
      <c r="L227">
        <v>1875</v>
      </c>
      <c r="M227">
        <v>0</v>
      </c>
      <c r="N227">
        <v>22369</v>
      </c>
      <c r="O227">
        <v>0</v>
      </c>
      <c r="P227">
        <v>0</v>
      </c>
      <c r="Q227">
        <v>0</v>
      </c>
      <c r="R227">
        <v>0</v>
      </c>
      <c r="S227">
        <v>0</v>
      </c>
      <c r="T227">
        <v>0</v>
      </c>
      <c r="U227">
        <v>0</v>
      </c>
      <c r="V227">
        <v>0</v>
      </c>
      <c r="W227">
        <v>523847</v>
      </c>
      <c r="X227">
        <v>0</v>
      </c>
      <c r="Y227">
        <v>0</v>
      </c>
      <c r="Z227">
        <v>0</v>
      </c>
      <c r="AA227">
        <v>0</v>
      </c>
      <c r="AB227">
        <v>0</v>
      </c>
      <c r="AC227">
        <v>47705</v>
      </c>
      <c r="AD227">
        <v>2318</v>
      </c>
      <c r="AE227">
        <v>0</v>
      </c>
      <c r="AF227">
        <v>0</v>
      </c>
      <c r="AG227">
        <v>392948</v>
      </c>
      <c r="AH227">
        <v>0</v>
      </c>
      <c r="AI227">
        <v>0</v>
      </c>
      <c r="AJ227">
        <v>0</v>
      </c>
      <c r="AK227">
        <v>3261</v>
      </c>
      <c r="AL227">
        <v>0</v>
      </c>
      <c r="AM227">
        <v>170713</v>
      </c>
      <c r="AN227">
        <v>685</v>
      </c>
      <c r="AO227">
        <v>131007</v>
      </c>
      <c r="AP227">
        <v>0</v>
      </c>
      <c r="AQ227">
        <v>0</v>
      </c>
      <c r="AR227">
        <v>79258</v>
      </c>
      <c r="AS227">
        <v>45451</v>
      </c>
      <c r="AT227">
        <v>0</v>
      </c>
      <c r="AU227">
        <v>0</v>
      </c>
      <c r="AV227">
        <v>0</v>
      </c>
      <c r="AW227">
        <v>0</v>
      </c>
      <c r="AX227">
        <v>0</v>
      </c>
      <c r="AY227">
        <v>268298</v>
      </c>
      <c r="AZ227">
        <v>0</v>
      </c>
      <c r="BA227">
        <v>0</v>
      </c>
      <c r="BB227">
        <v>0</v>
      </c>
      <c r="BC227">
        <v>0</v>
      </c>
      <c r="BD227">
        <v>0</v>
      </c>
      <c r="BE227">
        <v>24239</v>
      </c>
      <c r="BF227">
        <v>16400</v>
      </c>
      <c r="BG227">
        <v>12711</v>
      </c>
      <c r="BH227">
        <v>0</v>
      </c>
      <c r="BI227">
        <v>0</v>
      </c>
      <c r="BJ227">
        <v>72333</v>
      </c>
      <c r="BK227">
        <v>0</v>
      </c>
      <c r="BL227">
        <v>0</v>
      </c>
      <c r="BM227">
        <v>0</v>
      </c>
      <c r="BN227">
        <v>0</v>
      </c>
      <c r="BO227">
        <v>31260</v>
      </c>
      <c r="BP227">
        <v>0</v>
      </c>
      <c r="BQ227">
        <v>0</v>
      </c>
      <c r="BR227">
        <v>50336</v>
      </c>
      <c r="BS227">
        <v>0</v>
      </c>
      <c r="BT227">
        <v>0</v>
      </c>
      <c r="BU227">
        <v>0</v>
      </c>
      <c r="BV227">
        <v>40360</v>
      </c>
      <c r="BW227">
        <v>0</v>
      </c>
      <c r="BX227">
        <v>0</v>
      </c>
      <c r="BY227">
        <v>174740</v>
      </c>
      <c r="BZ227">
        <v>144180</v>
      </c>
      <c r="CA227">
        <v>0</v>
      </c>
      <c r="CB227">
        <v>0</v>
      </c>
      <c r="CC227">
        <v>162800</v>
      </c>
      <c r="CD227">
        <v>0</v>
      </c>
      <c r="CE227">
        <v>352704</v>
      </c>
      <c r="CF227">
        <v>0</v>
      </c>
      <c r="CG227">
        <v>0</v>
      </c>
      <c r="CH227">
        <v>45152</v>
      </c>
      <c r="CI227">
        <v>55575</v>
      </c>
      <c r="CJ227">
        <v>0</v>
      </c>
      <c r="CK227">
        <v>26945</v>
      </c>
      <c r="CL227">
        <v>0</v>
      </c>
      <c r="CM227">
        <v>0</v>
      </c>
      <c r="CN227">
        <v>0</v>
      </c>
      <c r="CO227">
        <v>0</v>
      </c>
      <c r="CP227">
        <v>50957</v>
      </c>
      <c r="CQ227">
        <v>0</v>
      </c>
      <c r="CR227">
        <v>0</v>
      </c>
      <c r="CS227">
        <v>0</v>
      </c>
    </row>
    <row r="228" spans="1:97" x14ac:dyDescent="0.3">
      <c r="A228" s="155">
        <v>638</v>
      </c>
      <c r="B228" t="s">
        <v>1669</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row>
    <row r="229" spans="1:97" x14ac:dyDescent="0.3">
      <c r="A229" s="155">
        <v>639</v>
      </c>
      <c r="B229" t="s">
        <v>1670</v>
      </c>
      <c r="D229">
        <v>0</v>
      </c>
      <c r="E229">
        <v>0</v>
      </c>
      <c r="F229">
        <v>0</v>
      </c>
      <c r="G229">
        <v>0</v>
      </c>
      <c r="H229">
        <v>0</v>
      </c>
      <c r="I229">
        <v>0</v>
      </c>
      <c r="J229">
        <v>0</v>
      </c>
      <c r="K229">
        <v>272349</v>
      </c>
      <c r="L229">
        <v>0</v>
      </c>
      <c r="M229">
        <v>5523112</v>
      </c>
      <c r="N229">
        <v>0</v>
      </c>
      <c r="O229">
        <v>0</v>
      </c>
      <c r="P229">
        <v>0</v>
      </c>
      <c r="Q229">
        <v>0</v>
      </c>
      <c r="R229">
        <v>0</v>
      </c>
      <c r="S229">
        <v>0</v>
      </c>
      <c r="T229">
        <v>0</v>
      </c>
      <c r="U229">
        <v>0</v>
      </c>
      <c r="V229">
        <v>0</v>
      </c>
      <c r="W229">
        <v>0</v>
      </c>
      <c r="X229">
        <v>0</v>
      </c>
      <c r="Y229">
        <v>0</v>
      </c>
      <c r="Z229">
        <v>0</v>
      </c>
      <c r="AA229">
        <v>0</v>
      </c>
      <c r="AB229">
        <v>0</v>
      </c>
      <c r="AC229">
        <v>2148610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2998198</v>
      </c>
      <c r="BB229">
        <v>0</v>
      </c>
      <c r="BC229">
        <v>0</v>
      </c>
      <c r="BD229">
        <v>0</v>
      </c>
      <c r="BE229">
        <v>0</v>
      </c>
      <c r="BF229">
        <v>0</v>
      </c>
      <c r="BG229">
        <v>10331</v>
      </c>
      <c r="BH229">
        <v>0</v>
      </c>
      <c r="BI229">
        <v>0</v>
      </c>
      <c r="BJ229">
        <v>3135816</v>
      </c>
      <c r="BK229">
        <v>0</v>
      </c>
      <c r="BL229">
        <v>0</v>
      </c>
      <c r="BM229">
        <v>0</v>
      </c>
      <c r="BN229">
        <v>583276</v>
      </c>
      <c r="BO229">
        <v>0</v>
      </c>
      <c r="BP229">
        <v>0</v>
      </c>
      <c r="BQ229">
        <v>0</v>
      </c>
      <c r="BR229">
        <v>0</v>
      </c>
      <c r="BS229">
        <v>0</v>
      </c>
      <c r="BT229">
        <v>0</v>
      </c>
      <c r="BU229">
        <v>0</v>
      </c>
      <c r="BV229">
        <v>0</v>
      </c>
      <c r="BW229">
        <v>0</v>
      </c>
      <c r="BX229">
        <v>0</v>
      </c>
      <c r="BY229">
        <v>0</v>
      </c>
      <c r="BZ229">
        <v>0</v>
      </c>
      <c r="CA229">
        <v>0</v>
      </c>
      <c r="CB229">
        <v>0</v>
      </c>
      <c r="CC229">
        <v>0</v>
      </c>
      <c r="CD229">
        <v>0</v>
      </c>
      <c r="CE229">
        <v>11794980</v>
      </c>
      <c r="CF229">
        <v>0</v>
      </c>
      <c r="CG229">
        <v>847945</v>
      </c>
      <c r="CH229">
        <v>0</v>
      </c>
      <c r="CI229">
        <v>0</v>
      </c>
      <c r="CJ229">
        <v>0</v>
      </c>
      <c r="CK229">
        <v>570223</v>
      </c>
      <c r="CL229">
        <v>0</v>
      </c>
      <c r="CM229">
        <v>0</v>
      </c>
      <c r="CN229">
        <v>0</v>
      </c>
      <c r="CO229">
        <v>0</v>
      </c>
      <c r="CP229">
        <v>0</v>
      </c>
      <c r="CQ229">
        <v>0</v>
      </c>
      <c r="CR229">
        <v>0</v>
      </c>
      <c r="CS229">
        <v>0</v>
      </c>
    </row>
    <row r="230" spans="1:97" x14ac:dyDescent="0.3">
      <c r="A230" s="155">
        <v>640</v>
      </c>
      <c r="B230" t="s">
        <v>1671</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row>
    <row r="231" spans="1:97" x14ac:dyDescent="0.3">
      <c r="A231" s="155">
        <v>641</v>
      </c>
      <c r="B231" t="s">
        <v>1672</v>
      </c>
      <c r="D231">
        <v>0</v>
      </c>
      <c r="E231">
        <v>0</v>
      </c>
      <c r="F231">
        <v>0</v>
      </c>
      <c r="G231">
        <v>0</v>
      </c>
      <c r="H231">
        <v>0</v>
      </c>
      <c r="I231">
        <v>0</v>
      </c>
      <c r="J231">
        <v>0</v>
      </c>
      <c r="K231">
        <v>10799</v>
      </c>
      <c r="L231">
        <v>0</v>
      </c>
      <c r="M231">
        <v>179616</v>
      </c>
      <c r="N231">
        <v>0</v>
      </c>
      <c r="O231">
        <v>0</v>
      </c>
      <c r="P231">
        <v>0</v>
      </c>
      <c r="Q231">
        <v>0</v>
      </c>
      <c r="R231">
        <v>0</v>
      </c>
      <c r="S231">
        <v>0</v>
      </c>
      <c r="T231">
        <v>0</v>
      </c>
      <c r="U231">
        <v>0</v>
      </c>
      <c r="V231">
        <v>0</v>
      </c>
      <c r="W231">
        <v>0</v>
      </c>
      <c r="X231">
        <v>0</v>
      </c>
      <c r="Y231">
        <v>0</v>
      </c>
      <c r="Z231">
        <v>0</v>
      </c>
      <c r="AA231">
        <v>0</v>
      </c>
      <c r="AB231">
        <v>0</v>
      </c>
      <c r="AC231">
        <v>15425</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51053</v>
      </c>
      <c r="BB231">
        <v>0</v>
      </c>
      <c r="BC231">
        <v>0</v>
      </c>
      <c r="BD231">
        <v>0</v>
      </c>
      <c r="BE231">
        <v>0</v>
      </c>
      <c r="BF231">
        <v>0</v>
      </c>
      <c r="BG231">
        <v>0</v>
      </c>
      <c r="BH231">
        <v>0</v>
      </c>
      <c r="BI231">
        <v>0</v>
      </c>
      <c r="BJ231">
        <v>133363</v>
      </c>
      <c r="BK231">
        <v>0</v>
      </c>
      <c r="BL231">
        <v>0</v>
      </c>
      <c r="BM231">
        <v>0</v>
      </c>
      <c r="BN231">
        <v>8132</v>
      </c>
      <c r="BO231">
        <v>0</v>
      </c>
      <c r="BP231">
        <v>0</v>
      </c>
      <c r="BQ231">
        <v>0</v>
      </c>
      <c r="BR231">
        <v>0</v>
      </c>
      <c r="BS231">
        <v>0</v>
      </c>
      <c r="BT231">
        <v>0</v>
      </c>
      <c r="BU231">
        <v>0</v>
      </c>
      <c r="BV231">
        <v>0</v>
      </c>
      <c r="BW231">
        <v>0</v>
      </c>
      <c r="BX231">
        <v>0</v>
      </c>
      <c r="BY231">
        <v>0</v>
      </c>
      <c r="BZ231">
        <v>0</v>
      </c>
      <c r="CA231">
        <v>0</v>
      </c>
      <c r="CB231">
        <v>0</v>
      </c>
      <c r="CC231">
        <v>0</v>
      </c>
      <c r="CD231">
        <v>0</v>
      </c>
      <c r="CE231">
        <v>304591</v>
      </c>
      <c r="CF231">
        <v>0</v>
      </c>
      <c r="CG231">
        <v>11729</v>
      </c>
      <c r="CH231">
        <v>0</v>
      </c>
      <c r="CI231">
        <v>0</v>
      </c>
      <c r="CJ231">
        <v>0</v>
      </c>
      <c r="CK231">
        <v>23509</v>
      </c>
      <c r="CL231">
        <v>0</v>
      </c>
      <c r="CM231">
        <v>0</v>
      </c>
      <c r="CN231">
        <v>0</v>
      </c>
      <c r="CO231">
        <v>0</v>
      </c>
      <c r="CP231">
        <v>0</v>
      </c>
      <c r="CQ231">
        <v>0</v>
      </c>
      <c r="CR231">
        <v>0</v>
      </c>
      <c r="CS231">
        <v>0</v>
      </c>
    </row>
    <row r="232" spans="1:97" x14ac:dyDescent="0.3">
      <c r="A232" s="155">
        <v>642</v>
      </c>
      <c r="B232" t="s">
        <v>1673</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row>
    <row r="233" spans="1:97" x14ac:dyDescent="0.3">
      <c r="A233" s="155">
        <v>643</v>
      </c>
      <c r="B233" t="s">
        <v>1674</v>
      </c>
      <c r="D233">
        <v>0</v>
      </c>
      <c r="E233">
        <v>0</v>
      </c>
      <c r="F233">
        <v>0</v>
      </c>
      <c r="G233">
        <v>0</v>
      </c>
      <c r="H233">
        <v>0</v>
      </c>
      <c r="I233">
        <v>0</v>
      </c>
      <c r="J233">
        <v>0</v>
      </c>
      <c r="K233">
        <v>115925</v>
      </c>
      <c r="L233">
        <v>0</v>
      </c>
      <c r="M233">
        <v>1199597</v>
      </c>
      <c r="N233">
        <v>0</v>
      </c>
      <c r="O233">
        <v>0</v>
      </c>
      <c r="P233">
        <v>0</v>
      </c>
      <c r="Q233">
        <v>0</v>
      </c>
      <c r="R233">
        <v>0</v>
      </c>
      <c r="S233">
        <v>0</v>
      </c>
      <c r="T233">
        <v>0</v>
      </c>
      <c r="U233">
        <v>0</v>
      </c>
      <c r="V233">
        <v>0</v>
      </c>
      <c r="W233">
        <v>0</v>
      </c>
      <c r="X233">
        <v>0</v>
      </c>
      <c r="Y233">
        <v>0</v>
      </c>
      <c r="Z233">
        <v>0</v>
      </c>
      <c r="AA233">
        <v>0</v>
      </c>
      <c r="AB233">
        <v>0</v>
      </c>
      <c r="AC233">
        <v>544786</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696813</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2136300</v>
      </c>
      <c r="CF233">
        <v>0</v>
      </c>
      <c r="CG233">
        <v>114905</v>
      </c>
      <c r="CH233">
        <v>0</v>
      </c>
      <c r="CI233">
        <v>0</v>
      </c>
      <c r="CJ233">
        <v>0</v>
      </c>
      <c r="CK233">
        <v>124083</v>
      </c>
      <c r="CL233">
        <v>0</v>
      </c>
      <c r="CM233">
        <v>0</v>
      </c>
      <c r="CN233">
        <v>0</v>
      </c>
      <c r="CO233">
        <v>0</v>
      </c>
      <c r="CP233">
        <v>0</v>
      </c>
      <c r="CQ233">
        <v>0</v>
      </c>
      <c r="CR233">
        <v>0</v>
      </c>
      <c r="CS233">
        <v>0</v>
      </c>
    </row>
    <row r="234" spans="1:97" x14ac:dyDescent="0.3">
      <c r="A234" s="155">
        <v>644</v>
      </c>
      <c r="B234" t="s">
        <v>1675</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row>
    <row r="235" spans="1:97" x14ac:dyDescent="0.3">
      <c r="A235" s="155">
        <v>645</v>
      </c>
      <c r="B235" t="s">
        <v>386</v>
      </c>
      <c r="D235">
        <v>110045</v>
      </c>
      <c r="E235">
        <v>0</v>
      </c>
      <c r="F235">
        <v>0</v>
      </c>
      <c r="G235">
        <v>103650</v>
      </c>
      <c r="H235">
        <v>2518622</v>
      </c>
      <c r="I235">
        <v>0</v>
      </c>
      <c r="J235">
        <v>0</v>
      </c>
      <c r="K235">
        <v>24000</v>
      </c>
      <c r="L235">
        <v>127703</v>
      </c>
      <c r="M235">
        <v>1000000</v>
      </c>
      <c r="N235">
        <v>105576</v>
      </c>
      <c r="O235">
        <v>0</v>
      </c>
      <c r="P235">
        <v>23500</v>
      </c>
      <c r="Q235">
        <v>0</v>
      </c>
      <c r="R235">
        <v>1785</v>
      </c>
      <c r="S235">
        <v>0</v>
      </c>
      <c r="T235">
        <v>0</v>
      </c>
      <c r="U235">
        <v>3323014</v>
      </c>
      <c r="V235">
        <v>356605</v>
      </c>
      <c r="W235">
        <v>0</v>
      </c>
      <c r="X235">
        <v>249260</v>
      </c>
      <c r="Y235">
        <v>0</v>
      </c>
      <c r="Z235">
        <v>1240302</v>
      </c>
      <c r="AA235">
        <v>396731</v>
      </c>
      <c r="AB235">
        <v>0</v>
      </c>
      <c r="AC235">
        <v>1092234</v>
      </c>
      <c r="AD235">
        <v>0</v>
      </c>
      <c r="AE235">
        <v>0</v>
      </c>
      <c r="AF235">
        <v>147039</v>
      </c>
      <c r="AG235">
        <v>271020</v>
      </c>
      <c r="AH235">
        <v>3831</v>
      </c>
      <c r="AI235">
        <v>325400</v>
      </c>
      <c r="AJ235">
        <v>485451</v>
      </c>
      <c r="AK235">
        <v>102852</v>
      </c>
      <c r="AL235">
        <v>0</v>
      </c>
      <c r="AM235">
        <v>0</v>
      </c>
      <c r="AN235">
        <v>3029</v>
      </c>
      <c r="AO235">
        <v>29635</v>
      </c>
      <c r="AP235">
        <v>65029</v>
      </c>
      <c r="AQ235">
        <v>0</v>
      </c>
      <c r="AR235">
        <v>0</v>
      </c>
      <c r="AS235">
        <v>0</v>
      </c>
      <c r="AT235">
        <v>120288</v>
      </c>
      <c r="AU235">
        <v>129314</v>
      </c>
      <c r="AV235">
        <v>96577</v>
      </c>
      <c r="AW235">
        <v>0</v>
      </c>
      <c r="AX235">
        <v>14485</v>
      </c>
      <c r="AY235">
        <v>713540</v>
      </c>
      <c r="AZ235">
        <v>32370</v>
      </c>
      <c r="BA235">
        <v>1200600</v>
      </c>
      <c r="BB235">
        <v>0</v>
      </c>
      <c r="BC235">
        <v>0</v>
      </c>
      <c r="BD235">
        <v>0</v>
      </c>
      <c r="BE235">
        <v>0</v>
      </c>
      <c r="BF235">
        <v>313072</v>
      </c>
      <c r="BG235">
        <v>0</v>
      </c>
      <c r="BH235">
        <v>13255</v>
      </c>
      <c r="BI235">
        <v>0</v>
      </c>
      <c r="BJ235">
        <v>68917</v>
      </c>
      <c r="BK235">
        <v>12645</v>
      </c>
      <c r="BL235">
        <v>0</v>
      </c>
      <c r="BM235">
        <v>0</v>
      </c>
      <c r="BN235">
        <v>1092566</v>
      </c>
      <c r="BO235">
        <v>595239</v>
      </c>
      <c r="BP235">
        <v>0</v>
      </c>
      <c r="BQ235">
        <v>895000</v>
      </c>
      <c r="BR235">
        <v>437529</v>
      </c>
      <c r="BS235">
        <v>744618</v>
      </c>
      <c r="BT235">
        <v>186109</v>
      </c>
      <c r="BU235">
        <v>161024</v>
      </c>
      <c r="BV235">
        <v>200000</v>
      </c>
      <c r="BW235">
        <v>0</v>
      </c>
      <c r="BX235">
        <v>174923</v>
      </c>
      <c r="BY235">
        <v>0</v>
      </c>
      <c r="BZ235">
        <v>0</v>
      </c>
      <c r="CA235">
        <v>0</v>
      </c>
      <c r="CB235">
        <v>1068000</v>
      </c>
      <c r="CC235">
        <v>0</v>
      </c>
      <c r="CD235">
        <v>10171500</v>
      </c>
      <c r="CE235">
        <v>5931252</v>
      </c>
      <c r="CF235">
        <v>27320</v>
      </c>
      <c r="CG235">
        <v>0</v>
      </c>
      <c r="CH235">
        <v>0</v>
      </c>
      <c r="CI235">
        <v>0</v>
      </c>
      <c r="CJ235">
        <v>1350000</v>
      </c>
      <c r="CK235">
        <v>469544</v>
      </c>
      <c r="CL235">
        <v>0</v>
      </c>
      <c r="CM235">
        <v>3460</v>
      </c>
      <c r="CN235">
        <v>51186</v>
      </c>
      <c r="CO235">
        <v>0</v>
      </c>
      <c r="CP235">
        <v>42591</v>
      </c>
      <c r="CQ235">
        <v>0</v>
      </c>
      <c r="CR235">
        <v>0</v>
      </c>
      <c r="CS235">
        <v>2490000</v>
      </c>
    </row>
    <row r="236" spans="1:97" x14ac:dyDescent="0.3">
      <c r="A236" s="155">
        <v>646</v>
      </c>
      <c r="B236" t="s">
        <v>361</v>
      </c>
      <c r="D236">
        <v>688898</v>
      </c>
      <c r="E236">
        <v>2814123</v>
      </c>
      <c r="F236">
        <v>850375</v>
      </c>
      <c r="G236">
        <v>460463</v>
      </c>
      <c r="H236">
        <v>6424313</v>
      </c>
      <c r="I236">
        <v>956435</v>
      </c>
      <c r="J236">
        <v>1306000</v>
      </c>
      <c r="K236">
        <v>491697</v>
      </c>
      <c r="L236">
        <v>738889</v>
      </c>
      <c r="M236">
        <v>23189923</v>
      </c>
      <c r="N236">
        <v>474598</v>
      </c>
      <c r="O236">
        <v>417399</v>
      </c>
      <c r="P236">
        <v>2993857</v>
      </c>
      <c r="Q236">
        <v>666175</v>
      </c>
      <c r="R236">
        <v>267149</v>
      </c>
      <c r="S236">
        <v>332111</v>
      </c>
      <c r="T236">
        <v>1217918</v>
      </c>
      <c r="U236">
        <v>3630258</v>
      </c>
      <c r="V236">
        <v>7566439</v>
      </c>
      <c r="W236">
        <v>3046886</v>
      </c>
      <c r="X236">
        <v>2432008</v>
      </c>
      <c r="Y236">
        <v>3061941</v>
      </c>
      <c r="Z236">
        <v>4016233</v>
      </c>
      <c r="AA236">
        <v>1546618</v>
      </c>
      <c r="AB236">
        <v>73361</v>
      </c>
      <c r="AC236">
        <v>1922344</v>
      </c>
      <c r="AD236">
        <v>1539273</v>
      </c>
      <c r="AE236">
        <v>731394</v>
      </c>
      <c r="AF236">
        <v>663647</v>
      </c>
      <c r="AG236">
        <v>9063686</v>
      </c>
      <c r="AH236">
        <v>1388953</v>
      </c>
      <c r="AI236">
        <v>1705739</v>
      </c>
      <c r="AJ236">
        <v>1260193</v>
      </c>
      <c r="AK236">
        <v>403132</v>
      </c>
      <c r="AL236">
        <v>7219785</v>
      </c>
      <c r="AM236">
        <v>2758659</v>
      </c>
      <c r="AN236">
        <v>899915</v>
      </c>
      <c r="AO236">
        <v>908165</v>
      </c>
      <c r="AP236">
        <v>27707</v>
      </c>
      <c r="AQ236">
        <v>3154791</v>
      </c>
      <c r="AR236">
        <v>4299677</v>
      </c>
      <c r="AS236">
        <v>815522</v>
      </c>
      <c r="AT236">
        <v>241423</v>
      </c>
      <c r="AU236">
        <v>1609621</v>
      </c>
      <c r="AV236">
        <v>397973</v>
      </c>
      <c r="AW236">
        <v>69952</v>
      </c>
      <c r="AX236">
        <v>152252</v>
      </c>
      <c r="AY236">
        <v>1929889</v>
      </c>
      <c r="AZ236">
        <v>705572</v>
      </c>
      <c r="BA236">
        <v>13628106</v>
      </c>
      <c r="BB236">
        <v>4418723</v>
      </c>
      <c r="BC236">
        <v>1632269</v>
      </c>
      <c r="BD236">
        <v>3152658</v>
      </c>
      <c r="BE236">
        <v>1373455</v>
      </c>
      <c r="BF236">
        <v>1273696</v>
      </c>
      <c r="BG236">
        <v>224505</v>
      </c>
      <c r="BH236">
        <v>784242</v>
      </c>
      <c r="BI236">
        <v>2295390</v>
      </c>
      <c r="BJ236">
        <v>4232373</v>
      </c>
      <c r="BK236">
        <v>427698</v>
      </c>
      <c r="BL236">
        <v>270835</v>
      </c>
      <c r="BM236">
        <v>9481987</v>
      </c>
      <c r="BN236">
        <v>8268928</v>
      </c>
      <c r="BO236">
        <v>4501895</v>
      </c>
      <c r="BP236">
        <v>182179</v>
      </c>
      <c r="BQ236">
        <v>2850181</v>
      </c>
      <c r="BR236">
        <v>931796</v>
      </c>
      <c r="BS236">
        <v>5763321</v>
      </c>
      <c r="BT236">
        <v>1610688</v>
      </c>
      <c r="BU236">
        <v>1445510</v>
      </c>
      <c r="BV236">
        <v>1965571</v>
      </c>
      <c r="BW236">
        <v>1689236</v>
      </c>
      <c r="BX236">
        <v>-52791</v>
      </c>
      <c r="BY236">
        <v>722230</v>
      </c>
      <c r="BZ236">
        <v>1677129</v>
      </c>
      <c r="CA236">
        <v>617049</v>
      </c>
      <c r="CB236">
        <v>144788</v>
      </c>
      <c r="CC236">
        <v>3078365</v>
      </c>
      <c r="CD236">
        <v>47910034</v>
      </c>
      <c r="CE236">
        <v>15366856</v>
      </c>
      <c r="CF236">
        <v>1282325</v>
      </c>
      <c r="CG236">
        <v>1683782</v>
      </c>
      <c r="CH236">
        <v>221375</v>
      </c>
      <c r="CI236">
        <v>1334683</v>
      </c>
      <c r="CJ236">
        <v>33117280</v>
      </c>
      <c r="CK236">
        <v>9379125</v>
      </c>
      <c r="CL236">
        <v>1073470</v>
      </c>
      <c r="CM236">
        <v>3309053</v>
      </c>
      <c r="CN236">
        <v>844389</v>
      </c>
      <c r="CO236">
        <v>15364121</v>
      </c>
      <c r="CP236">
        <v>3083711</v>
      </c>
      <c r="CQ236">
        <v>1677482</v>
      </c>
      <c r="CR236">
        <v>2286543</v>
      </c>
      <c r="CS236">
        <v>7730654</v>
      </c>
    </row>
    <row r="237" spans="1:97" x14ac:dyDescent="0.3">
      <c r="A237" s="155">
        <v>647</v>
      </c>
      <c r="B237" t="s">
        <v>968</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369150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24899716</v>
      </c>
      <c r="CE237">
        <v>0</v>
      </c>
      <c r="CF237">
        <v>0</v>
      </c>
      <c r="CG237">
        <v>0</v>
      </c>
      <c r="CH237">
        <v>0</v>
      </c>
      <c r="CI237">
        <v>0</v>
      </c>
      <c r="CJ237">
        <v>46270882</v>
      </c>
      <c r="CK237">
        <v>0</v>
      </c>
      <c r="CL237">
        <v>0</v>
      </c>
      <c r="CM237">
        <v>0</v>
      </c>
      <c r="CN237">
        <v>0</v>
      </c>
      <c r="CO237">
        <v>0</v>
      </c>
      <c r="CP237">
        <v>0</v>
      </c>
      <c r="CQ237">
        <v>0</v>
      </c>
      <c r="CR237">
        <v>0</v>
      </c>
      <c r="CS237">
        <v>0</v>
      </c>
    </row>
    <row r="238" spans="1:97" x14ac:dyDescent="0.3">
      <c r="A238" s="155">
        <v>648</v>
      </c>
      <c r="B238" t="s">
        <v>608</v>
      </c>
      <c r="D238">
        <v>0</v>
      </c>
      <c r="E238">
        <v>0</v>
      </c>
      <c r="F238">
        <v>6.4999999999999997E-3</v>
      </c>
      <c r="G238">
        <v>0.125</v>
      </c>
      <c r="H238">
        <v>0.215</v>
      </c>
      <c r="I238">
        <v>0.32</v>
      </c>
      <c r="J238">
        <v>0</v>
      </c>
      <c r="K238">
        <v>0.5</v>
      </c>
      <c r="L238">
        <v>0.61</v>
      </c>
      <c r="M238">
        <v>0.54779999999999995</v>
      </c>
      <c r="N238">
        <v>0.32</v>
      </c>
      <c r="O238">
        <v>0</v>
      </c>
      <c r="P238">
        <v>0</v>
      </c>
      <c r="Q238">
        <v>0.69</v>
      </c>
      <c r="R238">
        <v>0.15</v>
      </c>
      <c r="S238">
        <v>0.49</v>
      </c>
      <c r="T238">
        <v>0.42</v>
      </c>
      <c r="U238">
        <v>2.75E-2</v>
      </c>
      <c r="V238">
        <v>0.16</v>
      </c>
      <c r="W238">
        <v>0</v>
      </c>
      <c r="X238">
        <v>0.35</v>
      </c>
      <c r="Y238">
        <v>0</v>
      </c>
      <c r="Z238">
        <v>0.42499999999999999</v>
      </c>
      <c r="AA238">
        <v>0.67</v>
      </c>
      <c r="AB238">
        <v>0.36</v>
      </c>
      <c r="AC238">
        <v>0.41</v>
      </c>
      <c r="AD238">
        <v>0.4</v>
      </c>
      <c r="AE238">
        <v>0.5</v>
      </c>
      <c r="AF238">
        <v>0.45</v>
      </c>
      <c r="AG238">
        <v>0.6</v>
      </c>
      <c r="AH238">
        <v>0.05</v>
      </c>
      <c r="AI238">
        <v>0.28999999999999998</v>
      </c>
      <c r="AJ238">
        <v>0</v>
      </c>
      <c r="AK238">
        <v>0.38</v>
      </c>
      <c r="AL238">
        <v>0.1</v>
      </c>
      <c r="AM238">
        <v>0</v>
      </c>
      <c r="AN238">
        <v>0.46</v>
      </c>
      <c r="AO238">
        <v>0.50280000000000002</v>
      </c>
      <c r="AP238">
        <v>0.27</v>
      </c>
      <c r="AQ238">
        <v>0.02</v>
      </c>
      <c r="AR238">
        <v>0</v>
      </c>
      <c r="AS238">
        <v>0.53</v>
      </c>
      <c r="AT238">
        <v>0.23</v>
      </c>
      <c r="AU238">
        <v>0.05</v>
      </c>
      <c r="AV238">
        <v>0</v>
      </c>
      <c r="AW238">
        <v>0.2</v>
      </c>
      <c r="AX238">
        <v>0.32</v>
      </c>
      <c r="AY238">
        <v>0.55600000000000005</v>
      </c>
      <c r="AZ238">
        <v>0.65</v>
      </c>
      <c r="BA238">
        <v>0.495</v>
      </c>
      <c r="BB238">
        <v>0.2</v>
      </c>
      <c r="BC238">
        <v>0.62</v>
      </c>
      <c r="BD238">
        <v>0</v>
      </c>
      <c r="BE238">
        <v>0.4</v>
      </c>
      <c r="BF238">
        <v>0.42</v>
      </c>
      <c r="BG238">
        <v>0.5</v>
      </c>
      <c r="BH238">
        <v>0.65</v>
      </c>
      <c r="BI238">
        <v>0.55000000000000004</v>
      </c>
      <c r="BJ238">
        <v>0.53</v>
      </c>
      <c r="BK238">
        <v>0.28999999999999998</v>
      </c>
      <c r="BL238">
        <v>0.05</v>
      </c>
      <c r="BM238">
        <v>0</v>
      </c>
      <c r="BN238">
        <v>0.49569999999999997</v>
      </c>
      <c r="BO238">
        <v>0.38</v>
      </c>
      <c r="BP238">
        <v>0</v>
      </c>
      <c r="BQ238">
        <v>0</v>
      </c>
      <c r="BR238">
        <v>0.72</v>
      </c>
      <c r="BS238">
        <v>0.47</v>
      </c>
      <c r="BT238">
        <v>0</v>
      </c>
      <c r="BU238">
        <v>1.65</v>
      </c>
      <c r="BV238">
        <v>0</v>
      </c>
      <c r="BW238">
        <v>0.42</v>
      </c>
      <c r="BX238">
        <v>0</v>
      </c>
      <c r="BY238">
        <v>0</v>
      </c>
      <c r="BZ238">
        <v>0.53</v>
      </c>
      <c r="CA238">
        <v>0.15</v>
      </c>
      <c r="CB238">
        <v>0.48</v>
      </c>
      <c r="CC238">
        <v>0.89</v>
      </c>
      <c r="CD238">
        <v>0.49840000000000001</v>
      </c>
      <c r="CE238">
        <v>0.57499999999999996</v>
      </c>
      <c r="CF238">
        <v>0.42</v>
      </c>
      <c r="CG238">
        <v>0.14499999999999999</v>
      </c>
      <c r="CH238">
        <v>0.54</v>
      </c>
      <c r="CI238">
        <v>0.43</v>
      </c>
      <c r="CJ238">
        <v>0.63739999999999997</v>
      </c>
      <c r="CK238">
        <v>0.47499999999999998</v>
      </c>
      <c r="CL238">
        <v>0</v>
      </c>
      <c r="CM238">
        <v>0.33</v>
      </c>
      <c r="CN238">
        <v>0.91</v>
      </c>
      <c r="CO238">
        <v>0.1275</v>
      </c>
      <c r="CP238">
        <v>0.42</v>
      </c>
      <c r="CQ238">
        <v>0</v>
      </c>
      <c r="CR238">
        <v>0.65</v>
      </c>
      <c r="CS238">
        <v>0</v>
      </c>
    </row>
    <row r="239" spans="1:97" x14ac:dyDescent="0.3">
      <c r="A239" s="155">
        <v>654</v>
      </c>
      <c r="B239" t="s">
        <v>416</v>
      </c>
      <c r="D239">
        <v>0</v>
      </c>
      <c r="E239">
        <v>0</v>
      </c>
      <c r="F239">
        <v>735941</v>
      </c>
      <c r="G239">
        <v>0</v>
      </c>
      <c r="H239">
        <v>0</v>
      </c>
      <c r="I239">
        <v>795079</v>
      </c>
      <c r="J239">
        <v>1929909</v>
      </c>
      <c r="K239">
        <v>2439210</v>
      </c>
      <c r="L239">
        <v>195622</v>
      </c>
      <c r="M239">
        <v>25275362</v>
      </c>
      <c r="N239">
        <v>592952</v>
      </c>
      <c r="O239">
        <v>0</v>
      </c>
      <c r="P239">
        <v>1675027</v>
      </c>
      <c r="Q239">
        <v>274038</v>
      </c>
      <c r="R239">
        <v>0</v>
      </c>
      <c r="S239">
        <v>381301</v>
      </c>
      <c r="T239">
        <v>0</v>
      </c>
      <c r="U239">
        <v>0</v>
      </c>
      <c r="V239">
        <v>0</v>
      </c>
      <c r="W239">
        <v>15113297</v>
      </c>
      <c r="X239">
        <v>0</v>
      </c>
      <c r="Y239">
        <v>2755638</v>
      </c>
      <c r="Z239">
        <v>0</v>
      </c>
      <c r="AA239">
        <v>2857051</v>
      </c>
      <c r="AB239">
        <v>0</v>
      </c>
      <c r="AC239">
        <v>2787597</v>
      </c>
      <c r="AD239">
        <v>2487735</v>
      </c>
      <c r="AE239">
        <v>718887</v>
      </c>
      <c r="AF239">
        <v>325585</v>
      </c>
      <c r="AG239">
        <v>14029041</v>
      </c>
      <c r="AH239">
        <v>0</v>
      </c>
      <c r="AI239">
        <v>2324633</v>
      </c>
      <c r="AJ239">
        <v>0</v>
      </c>
      <c r="AK239">
        <v>433654</v>
      </c>
      <c r="AL239">
        <v>2090386</v>
      </c>
      <c r="AM239">
        <v>2157324</v>
      </c>
      <c r="AN239">
        <v>1037480</v>
      </c>
      <c r="AO239">
        <v>600317</v>
      </c>
      <c r="AP239">
        <v>74413</v>
      </c>
      <c r="AQ239">
        <v>0</v>
      </c>
      <c r="AR239">
        <v>2237820</v>
      </c>
      <c r="AS239">
        <v>155719</v>
      </c>
      <c r="AT239">
        <v>0</v>
      </c>
      <c r="AU239">
        <v>0</v>
      </c>
      <c r="AV239">
        <v>0</v>
      </c>
      <c r="AW239">
        <v>0</v>
      </c>
      <c r="AX239">
        <v>236571</v>
      </c>
      <c r="AY239">
        <v>4254317</v>
      </c>
      <c r="AZ239">
        <v>497462</v>
      </c>
      <c r="BA239">
        <v>0</v>
      </c>
      <c r="BB239">
        <v>456225</v>
      </c>
      <c r="BC239">
        <v>4639724</v>
      </c>
      <c r="BD239">
        <v>0</v>
      </c>
      <c r="BE239">
        <v>1874503</v>
      </c>
      <c r="BF239">
        <v>1101403</v>
      </c>
      <c r="BG239">
        <v>217237</v>
      </c>
      <c r="BH239">
        <v>860289</v>
      </c>
      <c r="BI239">
        <v>2972326</v>
      </c>
      <c r="BJ239">
        <v>7736899</v>
      </c>
      <c r="BK239">
        <v>0</v>
      </c>
      <c r="BL239">
        <v>0</v>
      </c>
      <c r="BM239">
        <v>0</v>
      </c>
      <c r="BN239">
        <v>5884773</v>
      </c>
      <c r="BO239">
        <v>5201087</v>
      </c>
      <c r="BP239">
        <v>0</v>
      </c>
      <c r="BQ239">
        <v>0</v>
      </c>
      <c r="BR239">
        <v>3003755</v>
      </c>
      <c r="BS239">
        <v>0</v>
      </c>
      <c r="BT239">
        <v>0</v>
      </c>
      <c r="BU239">
        <v>0</v>
      </c>
      <c r="BV239">
        <v>1057255</v>
      </c>
      <c r="BW239">
        <v>0</v>
      </c>
      <c r="BX239">
        <v>255979</v>
      </c>
      <c r="BY239">
        <v>8894595</v>
      </c>
      <c r="BZ239">
        <v>3118605</v>
      </c>
      <c r="CA239">
        <v>87868</v>
      </c>
      <c r="CB239">
        <v>2039932</v>
      </c>
      <c r="CC239">
        <v>8105279</v>
      </c>
      <c r="CD239">
        <v>0</v>
      </c>
      <c r="CE239">
        <v>23804884</v>
      </c>
      <c r="CF239">
        <v>51848</v>
      </c>
      <c r="CG239">
        <v>2560841</v>
      </c>
      <c r="CH239">
        <v>126360</v>
      </c>
      <c r="CI239">
        <v>1423476</v>
      </c>
      <c r="CJ239">
        <v>107966838</v>
      </c>
      <c r="CK239">
        <v>3796363</v>
      </c>
      <c r="CL239">
        <v>1274639</v>
      </c>
      <c r="CM239">
        <v>0</v>
      </c>
      <c r="CN239">
        <v>702843</v>
      </c>
      <c r="CO239">
        <v>9649445</v>
      </c>
      <c r="CP239">
        <v>4065124</v>
      </c>
      <c r="CQ239">
        <v>2336617</v>
      </c>
      <c r="CR239">
        <v>0</v>
      </c>
      <c r="CS239">
        <v>0</v>
      </c>
    </row>
    <row r="240" spans="1:97" x14ac:dyDescent="0.3">
      <c r="A240" s="155">
        <v>655</v>
      </c>
      <c r="B240" t="s">
        <v>969</v>
      </c>
      <c r="D240">
        <v>0</v>
      </c>
      <c r="E240">
        <v>0</v>
      </c>
      <c r="F240">
        <v>0</v>
      </c>
      <c r="G240">
        <v>0</v>
      </c>
      <c r="H240">
        <v>0</v>
      </c>
      <c r="I240">
        <v>22805</v>
      </c>
      <c r="J240">
        <v>328790</v>
      </c>
      <c r="K240">
        <v>101823</v>
      </c>
      <c r="L240">
        <v>1875</v>
      </c>
      <c r="M240">
        <v>4994151</v>
      </c>
      <c r="N240">
        <v>22369</v>
      </c>
      <c r="O240">
        <v>0</v>
      </c>
      <c r="P240">
        <v>87936</v>
      </c>
      <c r="Q240">
        <v>22760</v>
      </c>
      <c r="R240">
        <v>0</v>
      </c>
      <c r="S240">
        <v>264198</v>
      </c>
      <c r="T240">
        <v>0</v>
      </c>
      <c r="U240">
        <v>0</v>
      </c>
      <c r="V240">
        <v>0</v>
      </c>
      <c r="W240">
        <v>2623847</v>
      </c>
      <c r="X240">
        <v>0</v>
      </c>
      <c r="Y240">
        <v>193423</v>
      </c>
      <c r="Z240">
        <v>0</v>
      </c>
      <c r="AA240">
        <v>551599</v>
      </c>
      <c r="AB240">
        <v>0</v>
      </c>
      <c r="AC240">
        <v>47705</v>
      </c>
      <c r="AD240">
        <v>2318</v>
      </c>
      <c r="AE240">
        <v>7000</v>
      </c>
      <c r="AF240">
        <v>0</v>
      </c>
      <c r="AG240">
        <v>392948</v>
      </c>
      <c r="AH240">
        <v>0</v>
      </c>
      <c r="AI240">
        <v>85003</v>
      </c>
      <c r="AJ240">
        <v>0</v>
      </c>
      <c r="AK240">
        <v>3261</v>
      </c>
      <c r="AL240">
        <v>0</v>
      </c>
      <c r="AM240">
        <v>0</v>
      </c>
      <c r="AN240">
        <v>106093</v>
      </c>
      <c r="AO240">
        <v>131007</v>
      </c>
      <c r="AP240">
        <v>2955</v>
      </c>
      <c r="AQ240">
        <v>0</v>
      </c>
      <c r="AR240">
        <v>79258</v>
      </c>
      <c r="AS240">
        <v>45451</v>
      </c>
      <c r="AT240">
        <v>0</v>
      </c>
      <c r="AU240">
        <v>0</v>
      </c>
      <c r="AV240">
        <v>0</v>
      </c>
      <c r="AW240">
        <v>0</v>
      </c>
      <c r="AX240">
        <v>19093</v>
      </c>
      <c r="AY240">
        <v>1042266</v>
      </c>
      <c r="AZ240">
        <v>26072</v>
      </c>
      <c r="BA240">
        <v>0</v>
      </c>
      <c r="BB240">
        <v>0</v>
      </c>
      <c r="BC240">
        <v>0</v>
      </c>
      <c r="BD240">
        <v>0</v>
      </c>
      <c r="BE240">
        <v>24239</v>
      </c>
      <c r="BF240">
        <v>16400</v>
      </c>
      <c r="BG240">
        <v>12711</v>
      </c>
      <c r="BH240">
        <v>103133</v>
      </c>
      <c r="BI240">
        <v>163032</v>
      </c>
      <c r="BJ240">
        <v>72333</v>
      </c>
      <c r="BK240">
        <v>0</v>
      </c>
      <c r="BL240">
        <v>0</v>
      </c>
      <c r="BM240">
        <v>0</v>
      </c>
      <c r="BN240">
        <v>65275</v>
      </c>
      <c r="BO240">
        <v>31260</v>
      </c>
      <c r="BP240">
        <v>0</v>
      </c>
      <c r="BQ240">
        <v>0</v>
      </c>
      <c r="BR240">
        <v>50336</v>
      </c>
      <c r="BS240">
        <v>0</v>
      </c>
      <c r="BT240">
        <v>0</v>
      </c>
      <c r="BU240">
        <v>0</v>
      </c>
      <c r="BV240">
        <v>55682</v>
      </c>
      <c r="BW240">
        <v>0</v>
      </c>
      <c r="BX240">
        <v>86455</v>
      </c>
      <c r="BY240">
        <v>174740</v>
      </c>
      <c r="BZ240">
        <v>144180</v>
      </c>
      <c r="CA240">
        <v>1603</v>
      </c>
      <c r="CB240">
        <v>66695</v>
      </c>
      <c r="CC240">
        <v>162800</v>
      </c>
      <c r="CD240">
        <v>0</v>
      </c>
      <c r="CE240">
        <v>0</v>
      </c>
      <c r="CF240">
        <v>0</v>
      </c>
      <c r="CG240">
        <v>0</v>
      </c>
      <c r="CH240">
        <v>45152</v>
      </c>
      <c r="CI240">
        <v>124850</v>
      </c>
      <c r="CJ240">
        <v>0</v>
      </c>
      <c r="CK240">
        <v>287002</v>
      </c>
      <c r="CL240">
        <v>50602</v>
      </c>
      <c r="CM240">
        <v>0</v>
      </c>
      <c r="CN240">
        <v>22725</v>
      </c>
      <c r="CO240">
        <v>0</v>
      </c>
      <c r="CP240">
        <v>50957</v>
      </c>
      <c r="CQ240">
        <v>1790</v>
      </c>
      <c r="CR240">
        <v>0</v>
      </c>
      <c r="CS240">
        <v>0</v>
      </c>
    </row>
    <row r="241" spans="1:97" x14ac:dyDescent="0.3">
      <c r="A241" s="155">
        <v>656</v>
      </c>
      <c r="B241" t="s">
        <v>422</v>
      </c>
      <c r="D241">
        <v>2</v>
      </c>
      <c r="E241">
        <v>0</v>
      </c>
      <c r="F241">
        <v>2</v>
      </c>
      <c r="G241">
        <v>0</v>
      </c>
      <c r="H241">
        <v>0</v>
      </c>
      <c r="I241">
        <v>0</v>
      </c>
      <c r="J241">
        <v>2</v>
      </c>
      <c r="K241">
        <v>0</v>
      </c>
      <c r="L241">
        <v>0</v>
      </c>
      <c r="M241">
        <v>2</v>
      </c>
      <c r="N241">
        <v>2</v>
      </c>
      <c r="O241">
        <v>0</v>
      </c>
      <c r="P241">
        <v>2</v>
      </c>
      <c r="Q241">
        <v>0</v>
      </c>
      <c r="R241">
        <v>0</v>
      </c>
      <c r="S241">
        <v>0</v>
      </c>
      <c r="T241">
        <v>1</v>
      </c>
      <c r="U241">
        <v>2</v>
      </c>
      <c r="V241">
        <v>2</v>
      </c>
      <c r="W241">
        <v>2</v>
      </c>
      <c r="X241">
        <v>2</v>
      </c>
      <c r="Y241">
        <v>2</v>
      </c>
      <c r="Z241">
        <v>0</v>
      </c>
      <c r="AA241">
        <v>0</v>
      </c>
      <c r="AB241">
        <v>2</v>
      </c>
      <c r="AC241">
        <v>0</v>
      </c>
      <c r="AD241">
        <v>0</v>
      </c>
      <c r="AE241">
        <v>0</v>
      </c>
      <c r="AF241">
        <v>2</v>
      </c>
      <c r="AG241">
        <v>2</v>
      </c>
      <c r="AH241">
        <v>0</v>
      </c>
      <c r="AI241">
        <v>0</v>
      </c>
      <c r="AJ241">
        <v>0</v>
      </c>
      <c r="AK241">
        <v>2</v>
      </c>
      <c r="AL241">
        <v>2</v>
      </c>
      <c r="AM241">
        <v>0</v>
      </c>
      <c r="AN241">
        <v>0</v>
      </c>
      <c r="AO241">
        <v>2</v>
      </c>
      <c r="AP241">
        <v>0</v>
      </c>
      <c r="AQ241">
        <v>2</v>
      </c>
      <c r="AR241">
        <v>0</v>
      </c>
      <c r="AS241">
        <v>2</v>
      </c>
      <c r="AT241">
        <v>0</v>
      </c>
      <c r="AU241">
        <v>0</v>
      </c>
      <c r="AV241">
        <v>0</v>
      </c>
      <c r="AW241">
        <v>0</v>
      </c>
      <c r="AX241">
        <v>0</v>
      </c>
      <c r="AY241">
        <v>0</v>
      </c>
      <c r="AZ241">
        <v>0</v>
      </c>
      <c r="BA241">
        <v>2</v>
      </c>
      <c r="BB241">
        <v>0</v>
      </c>
      <c r="BC241">
        <v>2</v>
      </c>
      <c r="BD241">
        <v>2</v>
      </c>
      <c r="BE241">
        <v>2</v>
      </c>
      <c r="BF241">
        <v>0</v>
      </c>
      <c r="BG241">
        <v>2</v>
      </c>
      <c r="BH241">
        <v>2</v>
      </c>
      <c r="BI241">
        <v>0</v>
      </c>
      <c r="BJ241">
        <v>2</v>
      </c>
      <c r="BK241">
        <v>0</v>
      </c>
      <c r="BL241">
        <v>2</v>
      </c>
      <c r="BM241">
        <v>0</v>
      </c>
      <c r="BN241">
        <v>0</v>
      </c>
      <c r="BO241">
        <v>2</v>
      </c>
      <c r="BP241">
        <v>2</v>
      </c>
      <c r="BQ241">
        <v>0</v>
      </c>
      <c r="BR241">
        <v>2</v>
      </c>
      <c r="BS241">
        <v>0</v>
      </c>
      <c r="BT241">
        <v>2</v>
      </c>
      <c r="BU241">
        <v>0</v>
      </c>
      <c r="BV241">
        <v>2</v>
      </c>
      <c r="BW241">
        <v>2</v>
      </c>
      <c r="BX241">
        <v>0</v>
      </c>
      <c r="BY241">
        <v>2</v>
      </c>
      <c r="BZ241">
        <v>0</v>
      </c>
      <c r="CA241">
        <v>0</v>
      </c>
      <c r="CB241">
        <v>1</v>
      </c>
      <c r="CC241">
        <v>2</v>
      </c>
      <c r="CD241">
        <v>2</v>
      </c>
      <c r="CE241">
        <v>2</v>
      </c>
      <c r="CF241">
        <v>2</v>
      </c>
      <c r="CG241">
        <v>0</v>
      </c>
      <c r="CH241">
        <v>2</v>
      </c>
      <c r="CI241">
        <v>2</v>
      </c>
      <c r="CJ241">
        <v>2</v>
      </c>
      <c r="CK241">
        <v>2</v>
      </c>
      <c r="CL241">
        <v>0</v>
      </c>
      <c r="CM241">
        <v>2</v>
      </c>
      <c r="CN241">
        <v>2</v>
      </c>
      <c r="CO241">
        <v>0</v>
      </c>
      <c r="CP241">
        <v>2</v>
      </c>
      <c r="CQ241">
        <v>2</v>
      </c>
      <c r="CR241">
        <v>2</v>
      </c>
      <c r="CS241">
        <v>2</v>
      </c>
    </row>
    <row r="242" spans="1:97" x14ac:dyDescent="0.3">
      <c r="A242" s="155">
        <v>657</v>
      </c>
      <c r="B242" t="s">
        <v>970</v>
      </c>
      <c r="D242">
        <v>0</v>
      </c>
      <c r="E242">
        <v>0</v>
      </c>
      <c r="F242">
        <v>0</v>
      </c>
      <c r="G242">
        <v>0</v>
      </c>
      <c r="H242">
        <v>0</v>
      </c>
      <c r="I242">
        <v>0</v>
      </c>
      <c r="J242">
        <v>0</v>
      </c>
      <c r="K242">
        <v>3962252</v>
      </c>
      <c r="L242">
        <v>0</v>
      </c>
      <c r="M242">
        <v>46982054</v>
      </c>
      <c r="N242">
        <v>0</v>
      </c>
      <c r="O242">
        <v>0</v>
      </c>
      <c r="P242">
        <v>0</v>
      </c>
      <c r="Q242">
        <v>0</v>
      </c>
      <c r="R242">
        <v>0</v>
      </c>
      <c r="S242">
        <v>0</v>
      </c>
      <c r="T242">
        <v>0</v>
      </c>
      <c r="U242">
        <v>0</v>
      </c>
      <c r="V242">
        <v>0</v>
      </c>
      <c r="W242">
        <v>0</v>
      </c>
      <c r="X242">
        <v>0</v>
      </c>
      <c r="Y242">
        <v>0</v>
      </c>
      <c r="Z242">
        <v>0</v>
      </c>
      <c r="AA242">
        <v>0</v>
      </c>
      <c r="AB242">
        <v>0</v>
      </c>
      <c r="AC242">
        <v>16888633</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8666987</v>
      </c>
      <c r="BB242">
        <v>0</v>
      </c>
      <c r="BC242">
        <v>0</v>
      </c>
      <c r="BD242">
        <v>0</v>
      </c>
      <c r="BE242">
        <v>0</v>
      </c>
      <c r="BF242">
        <v>0</v>
      </c>
      <c r="BG242">
        <v>462680</v>
      </c>
      <c r="BH242">
        <v>0</v>
      </c>
      <c r="BI242">
        <v>0</v>
      </c>
      <c r="BJ242">
        <v>22313422</v>
      </c>
      <c r="BK242">
        <v>0</v>
      </c>
      <c r="BL242">
        <v>0</v>
      </c>
      <c r="BM242">
        <v>0</v>
      </c>
      <c r="BN242">
        <v>4562441</v>
      </c>
      <c r="BO242">
        <v>0</v>
      </c>
      <c r="BP242">
        <v>0</v>
      </c>
      <c r="BQ242">
        <v>0</v>
      </c>
      <c r="BR242">
        <v>0</v>
      </c>
      <c r="BS242">
        <v>0</v>
      </c>
      <c r="BT242">
        <v>0</v>
      </c>
      <c r="BU242">
        <v>0</v>
      </c>
      <c r="BV242">
        <v>0</v>
      </c>
      <c r="BW242">
        <v>0</v>
      </c>
      <c r="BX242">
        <v>0</v>
      </c>
      <c r="BY242">
        <v>0</v>
      </c>
      <c r="BZ242">
        <v>0</v>
      </c>
      <c r="CA242">
        <v>0</v>
      </c>
      <c r="CB242">
        <v>0</v>
      </c>
      <c r="CC242">
        <v>0</v>
      </c>
      <c r="CD242">
        <v>0</v>
      </c>
      <c r="CE242">
        <v>61826508</v>
      </c>
      <c r="CF242">
        <v>0</v>
      </c>
      <c r="CG242">
        <v>4634079</v>
      </c>
      <c r="CH242">
        <v>0</v>
      </c>
      <c r="CI242">
        <v>0</v>
      </c>
      <c r="CJ242">
        <v>0</v>
      </c>
      <c r="CK242">
        <v>8974831</v>
      </c>
      <c r="CL242">
        <v>0</v>
      </c>
      <c r="CM242">
        <v>0</v>
      </c>
      <c r="CN242">
        <v>0</v>
      </c>
      <c r="CO242">
        <v>0</v>
      </c>
      <c r="CP242">
        <v>0</v>
      </c>
      <c r="CQ242">
        <v>0</v>
      </c>
      <c r="CR242">
        <v>0</v>
      </c>
      <c r="CS242">
        <v>0</v>
      </c>
    </row>
    <row r="243" spans="1:97" x14ac:dyDescent="0.3">
      <c r="A243" s="155">
        <v>658</v>
      </c>
      <c r="B243" t="s">
        <v>971</v>
      </c>
      <c r="D243">
        <v>0</v>
      </c>
      <c r="E243">
        <v>0</v>
      </c>
      <c r="F243">
        <v>0</v>
      </c>
      <c r="G243">
        <v>0</v>
      </c>
      <c r="H243">
        <v>0</v>
      </c>
      <c r="I243">
        <v>0</v>
      </c>
      <c r="J243">
        <v>0</v>
      </c>
      <c r="K243">
        <v>115925</v>
      </c>
      <c r="L243">
        <v>0</v>
      </c>
      <c r="M243">
        <v>1199597</v>
      </c>
      <c r="N243">
        <v>0</v>
      </c>
      <c r="O243">
        <v>0</v>
      </c>
      <c r="P243">
        <v>0</v>
      </c>
      <c r="Q243">
        <v>0</v>
      </c>
      <c r="R243">
        <v>0</v>
      </c>
      <c r="S243">
        <v>0</v>
      </c>
      <c r="T243">
        <v>0</v>
      </c>
      <c r="U243">
        <v>0</v>
      </c>
      <c r="V243">
        <v>0</v>
      </c>
      <c r="W243">
        <v>0</v>
      </c>
      <c r="X243">
        <v>0</v>
      </c>
      <c r="Y243">
        <v>0</v>
      </c>
      <c r="Z243">
        <v>0</v>
      </c>
      <c r="AA243">
        <v>0</v>
      </c>
      <c r="AB243">
        <v>0</v>
      </c>
      <c r="AC243">
        <v>544786</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8326</v>
      </c>
      <c r="BH243">
        <v>0</v>
      </c>
      <c r="BI243">
        <v>0</v>
      </c>
      <c r="BJ243">
        <v>696813</v>
      </c>
      <c r="BK243">
        <v>0</v>
      </c>
      <c r="BL243">
        <v>0</v>
      </c>
      <c r="BM243">
        <v>0</v>
      </c>
      <c r="BN243">
        <v>159848</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114905</v>
      </c>
      <c r="CH243">
        <v>0</v>
      </c>
      <c r="CI243">
        <v>0</v>
      </c>
      <c r="CJ243">
        <v>0</v>
      </c>
      <c r="CK243">
        <v>255607</v>
      </c>
      <c r="CL243">
        <v>0</v>
      </c>
      <c r="CM243">
        <v>0</v>
      </c>
      <c r="CN243">
        <v>0</v>
      </c>
      <c r="CO243">
        <v>0</v>
      </c>
      <c r="CP243">
        <v>0</v>
      </c>
      <c r="CQ243">
        <v>0</v>
      </c>
      <c r="CR243">
        <v>0</v>
      </c>
      <c r="CS243">
        <v>0</v>
      </c>
    </row>
    <row r="244" spans="1:97" x14ac:dyDescent="0.3">
      <c r="A244" s="155">
        <v>659</v>
      </c>
      <c r="B244" t="s">
        <v>972</v>
      </c>
      <c r="D244">
        <v>0</v>
      </c>
      <c r="E244">
        <v>0</v>
      </c>
      <c r="F244">
        <v>21418</v>
      </c>
      <c r="G244">
        <v>0</v>
      </c>
      <c r="H244">
        <v>0</v>
      </c>
      <c r="I244">
        <v>0</v>
      </c>
      <c r="J244">
        <v>233756</v>
      </c>
      <c r="K244">
        <v>55787</v>
      </c>
      <c r="L244">
        <v>0</v>
      </c>
      <c r="M244">
        <v>1207781</v>
      </c>
      <c r="N244">
        <v>475569</v>
      </c>
      <c r="O244">
        <v>0</v>
      </c>
      <c r="P244">
        <v>0</v>
      </c>
      <c r="Q244">
        <v>0</v>
      </c>
      <c r="R244">
        <v>0</v>
      </c>
      <c r="S244">
        <v>0</v>
      </c>
      <c r="T244">
        <v>0</v>
      </c>
      <c r="U244">
        <v>0</v>
      </c>
      <c r="V244">
        <v>0</v>
      </c>
      <c r="W244">
        <v>0</v>
      </c>
      <c r="X244">
        <v>740094</v>
      </c>
      <c r="Y244">
        <v>0</v>
      </c>
      <c r="Z244">
        <v>1077777</v>
      </c>
      <c r="AA244">
        <v>0</v>
      </c>
      <c r="AB244">
        <v>0</v>
      </c>
      <c r="AC244">
        <v>28128352</v>
      </c>
      <c r="AD244">
        <v>0</v>
      </c>
      <c r="AE244">
        <v>0</v>
      </c>
      <c r="AF244">
        <v>0</v>
      </c>
      <c r="AG244">
        <v>11701294</v>
      </c>
      <c r="AH244">
        <v>0</v>
      </c>
      <c r="AI244">
        <v>274935</v>
      </c>
      <c r="AJ244">
        <v>0</v>
      </c>
      <c r="AK244">
        <v>0</v>
      </c>
      <c r="AL244">
        <v>0</v>
      </c>
      <c r="AM244">
        <v>262979</v>
      </c>
      <c r="AN244">
        <v>0</v>
      </c>
      <c r="AO244">
        <v>0</v>
      </c>
      <c r="AP244">
        <v>0</v>
      </c>
      <c r="AQ244">
        <v>0</v>
      </c>
      <c r="AR244">
        <v>1109120</v>
      </c>
      <c r="AS244">
        <v>0</v>
      </c>
      <c r="AT244">
        <v>0</v>
      </c>
      <c r="AU244">
        <v>0</v>
      </c>
      <c r="AV244">
        <v>0</v>
      </c>
      <c r="AW244">
        <v>0</v>
      </c>
      <c r="AX244">
        <v>218989</v>
      </c>
      <c r="AY244">
        <v>7078224</v>
      </c>
      <c r="AZ244">
        <v>0</v>
      </c>
      <c r="BA244">
        <v>11844909</v>
      </c>
      <c r="BB244">
        <v>0</v>
      </c>
      <c r="BC244">
        <v>0</v>
      </c>
      <c r="BD244">
        <v>0</v>
      </c>
      <c r="BE244">
        <v>0</v>
      </c>
      <c r="BF244">
        <v>0</v>
      </c>
      <c r="BG244">
        <v>0</v>
      </c>
      <c r="BH244">
        <v>0</v>
      </c>
      <c r="BI244">
        <v>71286</v>
      </c>
      <c r="BJ244">
        <v>7847414</v>
      </c>
      <c r="BK244">
        <v>0</v>
      </c>
      <c r="BL244">
        <v>0</v>
      </c>
      <c r="BM244">
        <v>0</v>
      </c>
      <c r="BN244">
        <v>0</v>
      </c>
      <c r="BO244">
        <v>1507325</v>
      </c>
      <c r="BP244">
        <v>0</v>
      </c>
      <c r="BQ244">
        <v>0</v>
      </c>
      <c r="BR244">
        <v>299087</v>
      </c>
      <c r="BS244">
        <v>5245035</v>
      </c>
      <c r="BT244">
        <v>0</v>
      </c>
      <c r="BU244">
        <v>0</v>
      </c>
      <c r="BV244">
        <v>0</v>
      </c>
      <c r="BW244">
        <v>0</v>
      </c>
      <c r="BX244">
        <v>0</v>
      </c>
      <c r="BY244">
        <v>0</v>
      </c>
      <c r="BZ244">
        <v>2215480</v>
      </c>
      <c r="CA244">
        <v>0</v>
      </c>
      <c r="CB244">
        <v>9030127</v>
      </c>
      <c r="CC244">
        <v>4991438</v>
      </c>
      <c r="CD244">
        <v>45931761</v>
      </c>
      <c r="CE244">
        <v>68568501</v>
      </c>
      <c r="CF244">
        <v>0</v>
      </c>
      <c r="CG244">
        <v>2823150</v>
      </c>
      <c r="CH244">
        <v>0</v>
      </c>
      <c r="CI244">
        <v>0</v>
      </c>
      <c r="CJ244">
        <v>71586371</v>
      </c>
      <c r="CK244">
        <v>2461246</v>
      </c>
      <c r="CL244">
        <v>0</v>
      </c>
      <c r="CM244">
        <v>2203528</v>
      </c>
      <c r="CN244">
        <v>0</v>
      </c>
      <c r="CO244">
        <v>7043691</v>
      </c>
      <c r="CP244">
        <v>0</v>
      </c>
      <c r="CQ244">
        <v>0</v>
      </c>
      <c r="CR244">
        <v>0</v>
      </c>
      <c r="CS244">
        <v>6555095</v>
      </c>
    </row>
    <row r="245" spans="1:97" x14ac:dyDescent="0.3">
      <c r="A245" s="155">
        <v>660</v>
      </c>
      <c r="B245" t="s">
        <v>973</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1305529</v>
      </c>
      <c r="CD245">
        <v>3059579</v>
      </c>
      <c r="CE245">
        <v>0</v>
      </c>
      <c r="CF245">
        <v>0</v>
      </c>
      <c r="CG245">
        <v>0</v>
      </c>
      <c r="CH245">
        <v>0</v>
      </c>
      <c r="CI245">
        <v>0</v>
      </c>
      <c r="CJ245">
        <v>83685557</v>
      </c>
      <c r="CK245">
        <v>0</v>
      </c>
      <c r="CL245">
        <v>0</v>
      </c>
      <c r="CM245">
        <v>0</v>
      </c>
      <c r="CN245">
        <v>0</v>
      </c>
      <c r="CO245">
        <v>0</v>
      </c>
      <c r="CP245">
        <v>0</v>
      </c>
      <c r="CQ245">
        <v>0</v>
      </c>
      <c r="CR245">
        <v>0</v>
      </c>
      <c r="CS245">
        <v>0</v>
      </c>
    </row>
    <row r="246" spans="1:97" x14ac:dyDescent="0.3">
      <c r="A246" s="155">
        <v>661</v>
      </c>
      <c r="B246" t="s">
        <v>421</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26.16</v>
      </c>
      <c r="CD246">
        <v>6.7</v>
      </c>
      <c r="CE246">
        <v>0</v>
      </c>
      <c r="CF246">
        <v>0</v>
      </c>
      <c r="CG246">
        <v>0</v>
      </c>
      <c r="CH246">
        <v>0</v>
      </c>
      <c r="CI246">
        <v>0</v>
      </c>
      <c r="CJ246">
        <v>116.9</v>
      </c>
      <c r="CK246">
        <v>0</v>
      </c>
      <c r="CL246">
        <v>0</v>
      </c>
      <c r="CM246">
        <v>0</v>
      </c>
      <c r="CN246">
        <v>0</v>
      </c>
      <c r="CO246">
        <v>0</v>
      </c>
      <c r="CP246">
        <v>0</v>
      </c>
      <c r="CQ246">
        <v>0</v>
      </c>
      <c r="CR246">
        <v>0</v>
      </c>
      <c r="CS246">
        <v>0</v>
      </c>
    </row>
    <row r="247" spans="1:97" x14ac:dyDescent="0.3">
      <c r="A247" s="155">
        <v>662</v>
      </c>
      <c r="B247" t="s">
        <v>451</v>
      </c>
      <c r="M247">
        <v>1549347</v>
      </c>
      <c r="Q247">
        <v>28326</v>
      </c>
      <c r="W247">
        <v>0</v>
      </c>
      <c r="AA247">
        <v>153629</v>
      </c>
      <c r="AE247">
        <v>31060</v>
      </c>
      <c r="AG247">
        <v>727507</v>
      </c>
      <c r="AI247">
        <v>110016</v>
      </c>
      <c r="AM247">
        <v>50251</v>
      </c>
      <c r="AR247">
        <v>124380</v>
      </c>
      <c r="BA247">
        <v>1075387</v>
      </c>
      <c r="BC247">
        <v>0</v>
      </c>
      <c r="BH247">
        <v>40985</v>
      </c>
      <c r="BI247">
        <v>102014</v>
      </c>
      <c r="BJ247">
        <v>349319</v>
      </c>
      <c r="BY247">
        <v>0</v>
      </c>
      <c r="BZ247">
        <v>134945</v>
      </c>
      <c r="CC247">
        <v>26856</v>
      </c>
      <c r="CD247">
        <v>1645285</v>
      </c>
      <c r="CE247">
        <v>676363</v>
      </c>
      <c r="CJ247">
        <v>2703110</v>
      </c>
      <c r="CK247">
        <v>140179</v>
      </c>
      <c r="CS247">
        <v>187532</v>
      </c>
    </row>
    <row r="248" spans="1:97" x14ac:dyDescent="0.3">
      <c r="A248" s="155">
        <v>663</v>
      </c>
      <c r="B248" t="s">
        <v>974</v>
      </c>
      <c r="M248">
        <v>463618</v>
      </c>
      <c r="Q248">
        <v>0</v>
      </c>
      <c r="W248">
        <v>0</v>
      </c>
      <c r="AA248">
        <v>0</v>
      </c>
      <c r="AE248">
        <v>0</v>
      </c>
      <c r="AG248">
        <v>0</v>
      </c>
      <c r="AI248">
        <v>0</v>
      </c>
      <c r="AM248">
        <v>0</v>
      </c>
      <c r="AR248">
        <v>0</v>
      </c>
      <c r="BA248">
        <v>10912</v>
      </c>
      <c r="BC248">
        <v>0</v>
      </c>
      <c r="BH248">
        <v>0</v>
      </c>
      <c r="BI248">
        <v>0</v>
      </c>
      <c r="BJ248">
        <v>0</v>
      </c>
      <c r="BY248">
        <v>0</v>
      </c>
      <c r="BZ248">
        <v>4092</v>
      </c>
      <c r="CC248">
        <v>0</v>
      </c>
      <c r="CD248">
        <v>559562</v>
      </c>
      <c r="CE248">
        <v>0</v>
      </c>
      <c r="CJ248">
        <v>621554</v>
      </c>
      <c r="CK248">
        <v>0</v>
      </c>
      <c r="CS248">
        <v>0</v>
      </c>
    </row>
    <row r="249" spans="1:97" x14ac:dyDescent="0.3">
      <c r="A249" s="155">
        <v>906</v>
      </c>
      <c r="B249" t="s">
        <v>975</v>
      </c>
      <c r="D249">
        <v>1</v>
      </c>
      <c r="E249">
        <v>1</v>
      </c>
      <c r="F249">
        <v>1</v>
      </c>
      <c r="G249">
        <v>1</v>
      </c>
      <c r="H249">
        <v>1</v>
      </c>
      <c r="I249">
        <v>1</v>
      </c>
      <c r="J249">
        <v>1</v>
      </c>
      <c r="K249">
        <v>1</v>
      </c>
      <c r="L249">
        <v>1</v>
      </c>
      <c r="M249">
        <v>1</v>
      </c>
      <c r="N249">
        <v>1</v>
      </c>
      <c r="O249">
        <v>1</v>
      </c>
      <c r="P249">
        <v>1</v>
      </c>
      <c r="Q249">
        <v>1</v>
      </c>
      <c r="R249">
        <v>1</v>
      </c>
      <c r="S249">
        <v>1</v>
      </c>
      <c r="T249">
        <v>2</v>
      </c>
      <c r="U249">
        <v>1</v>
      </c>
      <c r="V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c r="CB249">
        <v>1</v>
      </c>
      <c r="CC249">
        <v>1</v>
      </c>
      <c r="CD249">
        <v>1</v>
      </c>
      <c r="CE249">
        <v>1</v>
      </c>
      <c r="CF249">
        <v>1</v>
      </c>
      <c r="CG249">
        <v>1</v>
      </c>
      <c r="CH249">
        <v>1</v>
      </c>
      <c r="CI249">
        <v>1</v>
      </c>
      <c r="CJ249">
        <v>1</v>
      </c>
      <c r="CK249">
        <v>1</v>
      </c>
      <c r="CL249">
        <v>1</v>
      </c>
      <c r="CM249">
        <v>1</v>
      </c>
      <c r="CN249">
        <v>1</v>
      </c>
      <c r="CO249">
        <v>1</v>
      </c>
      <c r="CP249">
        <v>1</v>
      </c>
      <c r="CQ249">
        <v>1</v>
      </c>
      <c r="CR249">
        <v>1</v>
      </c>
      <c r="CS249">
        <v>1</v>
      </c>
    </row>
    <row r="250" spans="1:97" x14ac:dyDescent="0.3">
      <c r="A250" s="155">
        <v>907</v>
      </c>
      <c r="B250" t="s">
        <v>976</v>
      </c>
      <c r="D250">
        <v>2</v>
      </c>
      <c r="E250">
        <v>2</v>
      </c>
      <c r="F250">
        <v>2</v>
      </c>
      <c r="G250">
        <v>1</v>
      </c>
      <c r="H250">
        <v>2</v>
      </c>
      <c r="I250">
        <v>2</v>
      </c>
      <c r="J250">
        <v>2</v>
      </c>
      <c r="K250">
        <v>1</v>
      </c>
      <c r="L250">
        <v>1</v>
      </c>
      <c r="M250">
        <v>2</v>
      </c>
      <c r="N250">
        <v>1</v>
      </c>
      <c r="O250">
        <v>2</v>
      </c>
      <c r="P250">
        <v>1</v>
      </c>
      <c r="Q250">
        <v>2</v>
      </c>
      <c r="R250">
        <v>2</v>
      </c>
      <c r="S250">
        <v>2</v>
      </c>
      <c r="T250">
        <v>1</v>
      </c>
      <c r="U250">
        <v>2</v>
      </c>
      <c r="V250">
        <v>2</v>
      </c>
      <c r="W250">
        <v>2</v>
      </c>
      <c r="X250">
        <v>2</v>
      </c>
      <c r="Y250">
        <v>1</v>
      </c>
      <c r="Z250">
        <v>2</v>
      </c>
      <c r="AA250">
        <v>2</v>
      </c>
      <c r="AB250">
        <v>1</v>
      </c>
      <c r="AC250">
        <v>2</v>
      </c>
      <c r="AD250">
        <v>2</v>
      </c>
      <c r="AE250">
        <v>1</v>
      </c>
      <c r="AF250">
        <v>2</v>
      </c>
      <c r="AG250">
        <v>2</v>
      </c>
      <c r="AH250">
        <v>2</v>
      </c>
      <c r="AI250">
        <v>2</v>
      </c>
      <c r="AJ250">
        <v>2</v>
      </c>
      <c r="AK250">
        <v>1</v>
      </c>
      <c r="AL250">
        <v>2</v>
      </c>
      <c r="AM250">
        <v>2</v>
      </c>
      <c r="AN250">
        <v>2</v>
      </c>
      <c r="AO250">
        <v>2</v>
      </c>
      <c r="AP250">
        <v>1</v>
      </c>
      <c r="AQ250">
        <v>1</v>
      </c>
      <c r="AR250">
        <v>2</v>
      </c>
      <c r="AS250">
        <v>1</v>
      </c>
      <c r="AT250">
        <v>2</v>
      </c>
      <c r="AU250">
        <v>1</v>
      </c>
      <c r="AV250">
        <v>1</v>
      </c>
      <c r="AW250">
        <v>1</v>
      </c>
      <c r="AX250">
        <v>1</v>
      </c>
      <c r="AY250">
        <v>1</v>
      </c>
      <c r="AZ250">
        <v>1</v>
      </c>
      <c r="BA250">
        <v>2</v>
      </c>
      <c r="BB250">
        <v>1</v>
      </c>
      <c r="BC250">
        <v>2</v>
      </c>
      <c r="BD250">
        <v>2</v>
      </c>
      <c r="BE250">
        <v>1</v>
      </c>
      <c r="BF250">
        <v>2</v>
      </c>
      <c r="BG250">
        <v>1</v>
      </c>
      <c r="BH250">
        <v>2</v>
      </c>
      <c r="BI250">
        <v>2</v>
      </c>
      <c r="BJ250">
        <v>2</v>
      </c>
      <c r="BK250">
        <v>1</v>
      </c>
      <c r="BL250">
        <v>2</v>
      </c>
      <c r="BM250">
        <v>2</v>
      </c>
      <c r="BN250">
        <v>2</v>
      </c>
      <c r="BO250">
        <v>2</v>
      </c>
      <c r="BP250">
        <v>1</v>
      </c>
      <c r="BQ250">
        <v>1</v>
      </c>
      <c r="BR250">
        <v>2</v>
      </c>
      <c r="BS250">
        <v>2</v>
      </c>
      <c r="BT250">
        <v>1</v>
      </c>
      <c r="BU250">
        <v>2</v>
      </c>
      <c r="BV250">
        <v>2</v>
      </c>
      <c r="BW250">
        <v>1</v>
      </c>
      <c r="BX250">
        <v>2</v>
      </c>
      <c r="BY250">
        <v>2</v>
      </c>
      <c r="BZ250">
        <v>2</v>
      </c>
      <c r="CA250">
        <v>1</v>
      </c>
      <c r="CB250">
        <v>1</v>
      </c>
      <c r="CC250">
        <v>2</v>
      </c>
      <c r="CD250">
        <v>2</v>
      </c>
      <c r="CE250">
        <v>2</v>
      </c>
      <c r="CF250">
        <v>2</v>
      </c>
      <c r="CG250">
        <v>2</v>
      </c>
      <c r="CH250">
        <v>1</v>
      </c>
      <c r="CI250">
        <v>2</v>
      </c>
      <c r="CJ250">
        <v>2</v>
      </c>
      <c r="CK250">
        <v>2</v>
      </c>
      <c r="CL250">
        <v>1</v>
      </c>
      <c r="CM250">
        <v>2</v>
      </c>
      <c r="CN250">
        <v>1</v>
      </c>
      <c r="CO250">
        <v>1</v>
      </c>
      <c r="CP250">
        <v>2</v>
      </c>
      <c r="CQ250">
        <v>1</v>
      </c>
      <c r="CR250">
        <v>1</v>
      </c>
      <c r="CS250">
        <v>2</v>
      </c>
    </row>
    <row r="251" spans="1:97" x14ac:dyDescent="0.3">
      <c r="A251" s="155">
        <v>947</v>
      </c>
      <c r="B251" t="s">
        <v>977</v>
      </c>
      <c r="D251" t="s">
        <v>2170</v>
      </c>
      <c r="E251" t="s">
        <v>2171</v>
      </c>
      <c r="F251" t="s">
        <v>2172</v>
      </c>
      <c r="G251" t="s">
        <v>2173</v>
      </c>
      <c r="H251" t="s">
        <v>2174</v>
      </c>
      <c r="I251" t="s">
        <v>2175</v>
      </c>
      <c r="J251" t="s">
        <v>2176</v>
      </c>
      <c r="K251" t="s">
        <v>2177</v>
      </c>
      <c r="L251" t="s">
        <v>2178</v>
      </c>
      <c r="M251" t="s">
        <v>2011</v>
      </c>
      <c r="N251" t="s">
        <v>2103</v>
      </c>
      <c r="O251" t="s">
        <v>2179</v>
      </c>
      <c r="P251" t="s">
        <v>2032</v>
      </c>
      <c r="Q251" t="s">
        <v>2062</v>
      </c>
      <c r="R251" t="s">
        <v>2063</v>
      </c>
      <c r="S251" t="s">
        <v>2180</v>
      </c>
      <c r="T251" t="s">
        <v>979</v>
      </c>
      <c r="U251" t="s">
        <v>2181</v>
      </c>
      <c r="V251" t="s">
        <v>2182</v>
      </c>
      <c r="W251" t="s">
        <v>1676</v>
      </c>
      <c r="X251" t="s">
        <v>2183</v>
      </c>
      <c r="Y251" t="s">
        <v>2184</v>
      </c>
      <c r="Z251" t="s">
        <v>2034</v>
      </c>
      <c r="AA251" t="s">
        <v>2185</v>
      </c>
      <c r="AB251" t="s">
        <v>2186</v>
      </c>
      <c r="AC251" t="s">
        <v>2058</v>
      </c>
      <c r="AD251" t="s">
        <v>1676</v>
      </c>
      <c r="AE251" t="s">
        <v>2187</v>
      </c>
      <c r="AF251" t="s">
        <v>2188</v>
      </c>
      <c r="AG251" t="s">
        <v>2033</v>
      </c>
      <c r="AH251" t="s">
        <v>2099</v>
      </c>
      <c r="AI251" t="s">
        <v>2061</v>
      </c>
      <c r="AJ251" t="s">
        <v>2189</v>
      </c>
      <c r="AK251" t="s">
        <v>2190</v>
      </c>
      <c r="AL251" t="s">
        <v>2191</v>
      </c>
      <c r="AM251" t="s">
        <v>2192</v>
      </c>
      <c r="AN251" t="s">
        <v>2193</v>
      </c>
      <c r="AO251" t="s">
        <v>2194</v>
      </c>
      <c r="AP251" t="s">
        <v>2195</v>
      </c>
      <c r="AQ251" t="s">
        <v>2196</v>
      </c>
      <c r="AR251" t="s">
        <v>2197</v>
      </c>
      <c r="AS251" t="s">
        <v>2009</v>
      </c>
      <c r="AT251" t="s">
        <v>2198</v>
      </c>
      <c r="AU251" t="s">
        <v>2199</v>
      </c>
      <c r="AV251" t="s">
        <v>2200</v>
      </c>
      <c r="AW251" t="s">
        <v>2201</v>
      </c>
      <c r="AX251" t="s">
        <v>2177</v>
      </c>
      <c r="AY251" t="s">
        <v>1676</v>
      </c>
      <c r="AZ251" t="s">
        <v>2202</v>
      </c>
      <c r="BA251" t="s">
        <v>2203</v>
      </c>
      <c r="BB251" t="s">
        <v>2102</v>
      </c>
      <c r="BC251" t="s">
        <v>2204</v>
      </c>
      <c r="BD251" t="s">
        <v>2205</v>
      </c>
      <c r="BE251" t="s">
        <v>2059</v>
      </c>
      <c r="BF251" t="s">
        <v>2206</v>
      </c>
      <c r="BG251" t="s">
        <v>2207</v>
      </c>
      <c r="BH251" t="s">
        <v>2208</v>
      </c>
      <c r="BI251" t="s">
        <v>2209</v>
      </c>
      <c r="BJ251" t="s">
        <v>2210</v>
      </c>
      <c r="BK251" t="s">
        <v>2211</v>
      </c>
      <c r="BL251" t="s">
        <v>2212</v>
      </c>
      <c r="BM251" t="s">
        <v>2213</v>
      </c>
      <c r="BN251" t="s">
        <v>2214</v>
      </c>
      <c r="BO251" t="s">
        <v>2215</v>
      </c>
      <c r="BP251" t="s">
        <v>2191</v>
      </c>
      <c r="BQ251" t="s">
        <v>2216</v>
      </c>
      <c r="BR251" t="s">
        <v>2217</v>
      </c>
      <c r="BS251" t="s">
        <v>2218</v>
      </c>
      <c r="BT251" t="s">
        <v>2219</v>
      </c>
      <c r="BU251" t="s">
        <v>2220</v>
      </c>
      <c r="BV251" t="s">
        <v>2221</v>
      </c>
      <c r="BW251" t="s">
        <v>2177</v>
      </c>
      <c r="BX251" t="s">
        <v>2853</v>
      </c>
      <c r="BY251" t="s">
        <v>2222</v>
      </c>
      <c r="BZ251" t="s">
        <v>2223</v>
      </c>
      <c r="CA251" t="s">
        <v>2077</v>
      </c>
      <c r="CB251" t="s">
        <v>2224</v>
      </c>
      <c r="CC251" t="s">
        <v>2060</v>
      </c>
      <c r="CD251" t="s">
        <v>2097</v>
      </c>
      <c r="CE251" t="s">
        <v>978</v>
      </c>
      <c r="CF251" t="s">
        <v>2225</v>
      </c>
      <c r="CG251" t="s">
        <v>2226</v>
      </c>
      <c r="CH251" t="s">
        <v>2227</v>
      </c>
      <c r="CI251" t="s">
        <v>2101</v>
      </c>
      <c r="CJ251" t="s">
        <v>2035</v>
      </c>
      <c r="CK251" t="s">
        <v>2228</v>
      </c>
      <c r="CL251" t="s">
        <v>2229</v>
      </c>
      <c r="CM251" t="s">
        <v>2230</v>
      </c>
      <c r="CN251" t="s">
        <v>2231</v>
      </c>
      <c r="CO251" t="s">
        <v>2232</v>
      </c>
      <c r="CP251" t="s">
        <v>2064</v>
      </c>
      <c r="CQ251" t="s">
        <v>2233</v>
      </c>
      <c r="CR251" t="s">
        <v>2234</v>
      </c>
      <c r="CS251" t="s">
        <v>2235</v>
      </c>
    </row>
    <row r="252" spans="1:97" x14ac:dyDescent="0.3">
      <c r="A252" s="155">
        <v>948</v>
      </c>
      <c r="B252" t="s">
        <v>980</v>
      </c>
      <c r="D252" t="s">
        <v>2236</v>
      </c>
      <c r="E252" t="s">
        <v>2237</v>
      </c>
      <c r="F252" t="s">
        <v>2238</v>
      </c>
      <c r="G252" t="s">
        <v>2239</v>
      </c>
      <c r="H252" t="s">
        <v>2240</v>
      </c>
      <c r="I252" t="s">
        <v>2241</v>
      </c>
      <c r="J252" t="s">
        <v>2242</v>
      </c>
      <c r="K252" t="s">
        <v>2243</v>
      </c>
      <c r="L252" t="s">
        <v>2244</v>
      </c>
      <c r="M252" t="s">
        <v>2050</v>
      </c>
      <c r="N252" t="s">
        <v>2245</v>
      </c>
      <c r="O252" t="s">
        <v>2246</v>
      </c>
      <c r="P252" t="s">
        <v>2247</v>
      </c>
      <c r="Q252" t="s">
        <v>2248</v>
      </c>
      <c r="R252" t="s">
        <v>2249</v>
      </c>
      <c r="S252" t="s">
        <v>2250</v>
      </c>
      <c r="T252" t="s">
        <v>2106</v>
      </c>
      <c r="U252" t="s">
        <v>2251</v>
      </c>
      <c r="V252" t="s">
        <v>2252</v>
      </c>
      <c r="W252" t="s">
        <v>2253</v>
      </c>
      <c r="X252" t="s">
        <v>2141</v>
      </c>
      <c r="Y252" t="s">
        <v>2254</v>
      </c>
      <c r="Z252" t="s">
        <v>2255</v>
      </c>
      <c r="AA252" t="s">
        <v>2256</v>
      </c>
      <c r="AB252" t="s">
        <v>2257</v>
      </c>
      <c r="AC252" t="s">
        <v>2258</v>
      </c>
      <c r="AD252" t="s">
        <v>2259</v>
      </c>
      <c r="AE252" t="s">
        <v>2107</v>
      </c>
      <c r="AF252" t="s">
        <v>2260</v>
      </c>
      <c r="AG252" t="s">
        <v>2261</v>
      </c>
      <c r="AH252" t="s">
        <v>2262</v>
      </c>
      <c r="AI252" t="s">
        <v>2263</v>
      </c>
      <c r="AJ252" t="s">
        <v>2264</v>
      </c>
      <c r="AK252" t="s">
        <v>2265</v>
      </c>
      <c r="AL252" t="s">
        <v>2266</v>
      </c>
      <c r="AM252" t="s">
        <v>2267</v>
      </c>
      <c r="AN252" t="s">
        <v>2268</v>
      </c>
      <c r="AO252" t="s">
        <v>2269</v>
      </c>
      <c r="AP252" t="s">
        <v>2270</v>
      </c>
      <c r="AQ252" t="s">
        <v>2271</v>
      </c>
      <c r="AR252" t="s">
        <v>2272</v>
      </c>
      <c r="AS252" t="s">
        <v>2273</v>
      </c>
      <c r="AT252" t="s">
        <v>2274</v>
      </c>
      <c r="AU252" t="s">
        <v>2275</v>
      </c>
      <c r="AV252" t="s">
        <v>2276</v>
      </c>
      <c r="AW252" t="s">
        <v>2277</v>
      </c>
      <c r="AX252" t="s">
        <v>2278</v>
      </c>
      <c r="AY252" t="s">
        <v>2104</v>
      </c>
      <c r="AZ252" t="s">
        <v>2279</v>
      </c>
      <c r="BA252" t="s">
        <v>2280</v>
      </c>
      <c r="BB252" t="s">
        <v>2281</v>
      </c>
      <c r="BC252" t="s">
        <v>2012</v>
      </c>
      <c r="BD252" t="s">
        <v>2282</v>
      </c>
      <c r="BE252" t="s">
        <v>2255</v>
      </c>
      <c r="BF252" t="s">
        <v>2283</v>
      </c>
      <c r="BG252" t="s">
        <v>2284</v>
      </c>
      <c r="BH252" t="s">
        <v>2285</v>
      </c>
      <c r="BI252" t="s">
        <v>2286</v>
      </c>
      <c r="BJ252" t="s">
        <v>2287</v>
      </c>
      <c r="BK252" t="s">
        <v>2078</v>
      </c>
      <c r="BL252" t="s">
        <v>2288</v>
      </c>
      <c r="BM252" t="s">
        <v>2289</v>
      </c>
      <c r="BN252" t="s">
        <v>2290</v>
      </c>
      <c r="BO252" t="s">
        <v>2291</v>
      </c>
      <c r="BP252" t="s">
        <v>2292</v>
      </c>
      <c r="BQ252" t="s">
        <v>2293</v>
      </c>
      <c r="BR252" t="s">
        <v>2294</v>
      </c>
      <c r="BS252" t="s">
        <v>2098</v>
      </c>
      <c r="BT252" t="s">
        <v>2295</v>
      </c>
      <c r="BU252" t="s">
        <v>2142</v>
      </c>
      <c r="BV252" t="s">
        <v>2296</v>
      </c>
      <c r="BW252" t="s">
        <v>1134</v>
      </c>
      <c r="BX252" t="s">
        <v>2854</v>
      </c>
      <c r="BY252" t="s">
        <v>2065</v>
      </c>
      <c r="BZ252" t="s">
        <v>2013</v>
      </c>
      <c r="CA252" t="s">
        <v>2297</v>
      </c>
      <c r="CB252" t="s">
        <v>2298</v>
      </c>
      <c r="CC252" t="s">
        <v>2299</v>
      </c>
      <c r="CD252" t="s">
        <v>2300</v>
      </c>
      <c r="CE252" t="s">
        <v>2301</v>
      </c>
      <c r="CF252" t="s">
        <v>1135</v>
      </c>
      <c r="CG252" t="s">
        <v>2302</v>
      </c>
      <c r="CH252" t="s">
        <v>437</v>
      </c>
      <c r="CI252" t="s">
        <v>2303</v>
      </c>
      <c r="CJ252" t="s">
        <v>2304</v>
      </c>
      <c r="CK252" t="s">
        <v>2305</v>
      </c>
      <c r="CL252" t="s">
        <v>2104</v>
      </c>
      <c r="CM252" t="s">
        <v>2306</v>
      </c>
      <c r="CN252" t="s">
        <v>2307</v>
      </c>
      <c r="CO252" t="s">
        <v>2308</v>
      </c>
      <c r="CP252" t="s">
        <v>2309</v>
      </c>
      <c r="CQ252" t="s">
        <v>2310</v>
      </c>
      <c r="CR252" t="s">
        <v>2311</v>
      </c>
      <c r="CS252" t="s">
        <v>2312</v>
      </c>
    </row>
    <row r="253" spans="1:97" x14ac:dyDescent="0.3">
      <c r="A253" s="155">
        <v>949</v>
      </c>
      <c r="B253" t="s">
        <v>981</v>
      </c>
      <c r="D253" t="s">
        <v>413</v>
      </c>
      <c r="E253" t="s">
        <v>413</v>
      </c>
      <c r="F253" t="s">
        <v>413</v>
      </c>
      <c r="G253" t="s">
        <v>413</v>
      </c>
      <c r="H253" t="s">
        <v>413</v>
      </c>
      <c r="I253" t="s">
        <v>413</v>
      </c>
      <c r="J253" t="s">
        <v>413</v>
      </c>
      <c r="K253" t="s">
        <v>413</v>
      </c>
      <c r="L253" t="s">
        <v>413</v>
      </c>
      <c r="M253" t="s">
        <v>413</v>
      </c>
      <c r="N253" t="s">
        <v>413</v>
      </c>
      <c r="O253" t="s">
        <v>413</v>
      </c>
      <c r="P253" t="s">
        <v>413</v>
      </c>
      <c r="Q253" t="s">
        <v>413</v>
      </c>
      <c r="R253" t="s">
        <v>413</v>
      </c>
      <c r="S253" t="s">
        <v>413</v>
      </c>
      <c r="T253" t="s">
        <v>413</v>
      </c>
      <c r="U253" t="s">
        <v>413</v>
      </c>
      <c r="V253" t="s">
        <v>413</v>
      </c>
      <c r="W253" t="s">
        <v>413</v>
      </c>
      <c r="X253" t="s">
        <v>413</v>
      </c>
      <c r="Y253" t="s">
        <v>413</v>
      </c>
      <c r="Z253" t="s">
        <v>413</v>
      </c>
      <c r="AA253" t="s">
        <v>413</v>
      </c>
      <c r="AB253" t="s">
        <v>413</v>
      </c>
      <c r="AC253" t="s">
        <v>413</v>
      </c>
      <c r="AD253" t="s">
        <v>413</v>
      </c>
      <c r="AE253" t="s">
        <v>413</v>
      </c>
      <c r="AF253" t="s">
        <v>413</v>
      </c>
      <c r="AG253" t="s">
        <v>413</v>
      </c>
      <c r="AH253" t="s">
        <v>413</v>
      </c>
      <c r="AI253" t="s">
        <v>413</v>
      </c>
      <c r="AJ253" t="s">
        <v>413</v>
      </c>
      <c r="AK253" t="s">
        <v>413</v>
      </c>
      <c r="AL253" t="s">
        <v>413</v>
      </c>
      <c r="AM253" t="s">
        <v>413</v>
      </c>
      <c r="AN253" t="s">
        <v>413</v>
      </c>
      <c r="AO253" t="s">
        <v>431</v>
      </c>
      <c r="AP253" t="s">
        <v>413</v>
      </c>
      <c r="AQ253" t="s">
        <v>413</v>
      </c>
      <c r="AR253" t="s">
        <v>413</v>
      </c>
      <c r="AS253" t="s">
        <v>413</v>
      </c>
      <c r="AT253" t="s">
        <v>413</v>
      </c>
      <c r="AU253" t="s">
        <v>413</v>
      </c>
      <c r="AV253" t="s">
        <v>413</v>
      </c>
      <c r="AW253" t="s">
        <v>413</v>
      </c>
      <c r="AX253" t="s">
        <v>413</v>
      </c>
      <c r="AY253" t="s">
        <v>413</v>
      </c>
      <c r="AZ253" t="s">
        <v>413</v>
      </c>
      <c r="BA253" t="s">
        <v>413</v>
      </c>
      <c r="BB253" t="s">
        <v>431</v>
      </c>
      <c r="BC253" t="s">
        <v>413</v>
      </c>
      <c r="BD253" t="s">
        <v>413</v>
      </c>
      <c r="BE253" t="s">
        <v>413</v>
      </c>
      <c r="BF253" t="s">
        <v>413</v>
      </c>
      <c r="BG253" t="s">
        <v>413</v>
      </c>
      <c r="BH253" t="s">
        <v>413</v>
      </c>
      <c r="BI253" t="s">
        <v>413</v>
      </c>
      <c r="BJ253" t="s">
        <v>413</v>
      </c>
      <c r="BK253" t="s">
        <v>413</v>
      </c>
      <c r="BL253" t="s">
        <v>413</v>
      </c>
      <c r="BM253" t="s">
        <v>413</v>
      </c>
      <c r="BN253" t="s">
        <v>413</v>
      </c>
      <c r="BO253" t="s">
        <v>413</v>
      </c>
      <c r="BP253" t="s">
        <v>413</v>
      </c>
      <c r="BQ253" t="s">
        <v>413</v>
      </c>
      <c r="BR253" t="s">
        <v>413</v>
      </c>
      <c r="BS253" t="s">
        <v>413</v>
      </c>
      <c r="BT253" t="s">
        <v>413</v>
      </c>
      <c r="BU253" t="s">
        <v>413</v>
      </c>
      <c r="BV253" t="s">
        <v>413</v>
      </c>
      <c r="BW253" t="s">
        <v>413</v>
      </c>
      <c r="BX253" t="s">
        <v>413</v>
      </c>
      <c r="BY253" t="s">
        <v>413</v>
      </c>
      <c r="BZ253" t="s">
        <v>413</v>
      </c>
      <c r="CA253" t="s">
        <v>413</v>
      </c>
      <c r="CB253" t="s">
        <v>413</v>
      </c>
      <c r="CC253" t="s">
        <v>413</v>
      </c>
      <c r="CD253" t="s">
        <v>413</v>
      </c>
      <c r="CE253" t="s">
        <v>413</v>
      </c>
      <c r="CF253" t="s">
        <v>413</v>
      </c>
      <c r="CG253" t="s">
        <v>413</v>
      </c>
      <c r="CH253" t="s">
        <v>413</v>
      </c>
      <c r="CI253" t="s">
        <v>413</v>
      </c>
      <c r="CJ253" t="s">
        <v>413</v>
      </c>
      <c r="CK253" t="s">
        <v>413</v>
      </c>
      <c r="CL253" t="s">
        <v>413</v>
      </c>
      <c r="CM253" t="s">
        <v>413</v>
      </c>
      <c r="CN253" t="s">
        <v>413</v>
      </c>
      <c r="CO253" t="s">
        <v>413</v>
      </c>
      <c r="CP253" t="s">
        <v>413</v>
      </c>
      <c r="CQ253" t="s">
        <v>432</v>
      </c>
      <c r="CR253" t="s">
        <v>413</v>
      </c>
      <c r="CS253" t="s">
        <v>413</v>
      </c>
    </row>
    <row r="254" spans="1:97" x14ac:dyDescent="0.3">
      <c r="A254" s="155">
        <v>950</v>
      </c>
      <c r="B254" t="s">
        <v>982</v>
      </c>
      <c r="D254" t="s">
        <v>50</v>
      </c>
      <c r="E254" t="s">
        <v>50</v>
      </c>
      <c r="F254" t="s">
        <v>50</v>
      </c>
      <c r="G254" t="s">
        <v>50</v>
      </c>
      <c r="H254" t="s">
        <v>50</v>
      </c>
      <c r="I254" t="s">
        <v>50</v>
      </c>
      <c r="J254" t="s">
        <v>50</v>
      </c>
      <c r="K254" t="s">
        <v>50</v>
      </c>
      <c r="L254" t="s">
        <v>50</v>
      </c>
      <c r="M254" t="s">
        <v>50</v>
      </c>
      <c r="N254" t="s">
        <v>50</v>
      </c>
      <c r="O254" t="s">
        <v>50</v>
      </c>
      <c r="P254" t="s">
        <v>50</v>
      </c>
      <c r="Q254" t="s">
        <v>50</v>
      </c>
      <c r="R254" t="s">
        <v>50</v>
      </c>
      <c r="S254" t="s">
        <v>50</v>
      </c>
      <c r="T254" t="s">
        <v>50</v>
      </c>
      <c r="U254" t="s">
        <v>50</v>
      </c>
      <c r="V254" t="s">
        <v>50</v>
      </c>
      <c r="W254" t="s">
        <v>50</v>
      </c>
      <c r="X254" t="s">
        <v>50</v>
      </c>
      <c r="Y254" t="s">
        <v>50</v>
      </c>
      <c r="Z254" t="s">
        <v>50</v>
      </c>
      <c r="AA254" t="s">
        <v>50</v>
      </c>
      <c r="AB254" t="s">
        <v>50</v>
      </c>
      <c r="AC254" t="s">
        <v>50</v>
      </c>
      <c r="AD254" t="s">
        <v>50</v>
      </c>
      <c r="AE254" t="s">
        <v>50</v>
      </c>
      <c r="AF254" t="s">
        <v>51</v>
      </c>
      <c r="AG254" t="s">
        <v>50</v>
      </c>
      <c r="AH254" t="s">
        <v>50</v>
      </c>
      <c r="AI254" t="s">
        <v>50</v>
      </c>
      <c r="AJ254" t="s">
        <v>50</v>
      </c>
      <c r="AK254" t="s">
        <v>50</v>
      </c>
      <c r="AL254" t="s">
        <v>50</v>
      </c>
      <c r="AM254" t="s">
        <v>50</v>
      </c>
      <c r="AN254" t="s">
        <v>50</v>
      </c>
      <c r="AO254" t="s">
        <v>51</v>
      </c>
      <c r="AP254" t="s">
        <v>50</v>
      </c>
      <c r="AQ254" t="s">
        <v>50</v>
      </c>
      <c r="AR254" t="s">
        <v>50</v>
      </c>
      <c r="AS254" t="s">
        <v>50</v>
      </c>
      <c r="AT254" t="s">
        <v>50</v>
      </c>
      <c r="AU254" t="s">
        <v>50</v>
      </c>
      <c r="AV254" t="s">
        <v>50</v>
      </c>
      <c r="AW254" t="s">
        <v>50</v>
      </c>
      <c r="AX254" t="s">
        <v>50</v>
      </c>
      <c r="AY254" t="s">
        <v>50</v>
      </c>
      <c r="AZ254" t="s">
        <v>50</v>
      </c>
      <c r="BA254" t="s">
        <v>50</v>
      </c>
      <c r="BB254" t="s">
        <v>50</v>
      </c>
      <c r="BC254" t="s">
        <v>50</v>
      </c>
      <c r="BD254" t="s">
        <v>50</v>
      </c>
      <c r="BE254" t="s">
        <v>50</v>
      </c>
      <c r="BF254" t="s">
        <v>50</v>
      </c>
      <c r="BG254" t="s">
        <v>50</v>
      </c>
      <c r="BH254" t="s">
        <v>50</v>
      </c>
      <c r="BI254" t="s">
        <v>50</v>
      </c>
      <c r="BJ254" t="s">
        <v>50</v>
      </c>
      <c r="BK254" t="s">
        <v>50</v>
      </c>
      <c r="BL254" t="s">
        <v>50</v>
      </c>
      <c r="BM254" t="s">
        <v>50</v>
      </c>
      <c r="BN254" t="s">
        <v>50</v>
      </c>
      <c r="BO254" t="s">
        <v>50</v>
      </c>
      <c r="BP254" t="s">
        <v>50</v>
      </c>
      <c r="BQ254" t="s">
        <v>50</v>
      </c>
      <c r="BR254" t="s">
        <v>50</v>
      </c>
      <c r="BS254" t="s">
        <v>50</v>
      </c>
      <c r="BT254" t="s">
        <v>50</v>
      </c>
      <c r="BU254" t="s">
        <v>50</v>
      </c>
      <c r="BV254" t="s">
        <v>50</v>
      </c>
      <c r="BW254" t="s">
        <v>50</v>
      </c>
      <c r="BX254" t="s">
        <v>50</v>
      </c>
      <c r="BY254" t="s">
        <v>50</v>
      </c>
      <c r="BZ254" t="s">
        <v>50</v>
      </c>
      <c r="CA254" t="s">
        <v>1678</v>
      </c>
      <c r="CB254" t="s">
        <v>50</v>
      </c>
      <c r="CC254" t="s">
        <v>50</v>
      </c>
      <c r="CD254" t="s">
        <v>50</v>
      </c>
      <c r="CE254" t="s">
        <v>50</v>
      </c>
      <c r="CF254" t="s">
        <v>50</v>
      </c>
      <c r="CG254" t="s">
        <v>50</v>
      </c>
      <c r="CH254" t="s">
        <v>50</v>
      </c>
      <c r="CI254" t="s">
        <v>50</v>
      </c>
      <c r="CJ254" t="s">
        <v>50</v>
      </c>
      <c r="CK254" t="s">
        <v>50</v>
      </c>
      <c r="CL254" t="s">
        <v>50</v>
      </c>
      <c r="CM254" t="s">
        <v>51</v>
      </c>
      <c r="CN254" t="s">
        <v>51</v>
      </c>
      <c r="CO254" t="s">
        <v>50</v>
      </c>
      <c r="CP254" t="s">
        <v>50</v>
      </c>
      <c r="CQ254" t="s">
        <v>51</v>
      </c>
      <c r="CR254" t="s">
        <v>50</v>
      </c>
      <c r="CS254" t="s">
        <v>50</v>
      </c>
    </row>
    <row r="255" spans="1:97" x14ac:dyDescent="0.3">
      <c r="A255" s="155">
        <v>951</v>
      </c>
      <c r="B255" t="s">
        <v>983</v>
      </c>
      <c r="D255">
        <v>2</v>
      </c>
      <c r="E255">
        <v>2</v>
      </c>
      <c r="F255">
        <v>2</v>
      </c>
      <c r="G255">
        <v>2</v>
      </c>
      <c r="H255">
        <v>2</v>
      </c>
      <c r="I255">
        <v>2</v>
      </c>
      <c r="J255">
        <v>2</v>
      </c>
      <c r="K255">
        <v>2</v>
      </c>
      <c r="L255">
        <v>2</v>
      </c>
      <c r="M255">
        <v>2</v>
      </c>
      <c r="N255">
        <v>1</v>
      </c>
      <c r="O255">
        <v>2</v>
      </c>
      <c r="P255">
        <v>2</v>
      </c>
      <c r="Q255">
        <v>2</v>
      </c>
      <c r="R255">
        <v>2</v>
      </c>
      <c r="S255">
        <v>2</v>
      </c>
      <c r="T255">
        <v>2</v>
      </c>
      <c r="U255">
        <v>2</v>
      </c>
      <c r="V255">
        <v>2</v>
      </c>
      <c r="W255">
        <v>2</v>
      </c>
      <c r="X255">
        <v>2</v>
      </c>
      <c r="Y255">
        <v>2</v>
      </c>
      <c r="Z255">
        <v>2</v>
      </c>
      <c r="AA255">
        <v>2</v>
      </c>
      <c r="AB255">
        <v>2</v>
      </c>
      <c r="AC255">
        <v>2</v>
      </c>
      <c r="AD255">
        <v>2</v>
      </c>
      <c r="AE255">
        <v>2</v>
      </c>
      <c r="AF255">
        <v>2</v>
      </c>
      <c r="AG255">
        <v>2</v>
      </c>
      <c r="AH255">
        <v>2</v>
      </c>
      <c r="AI255">
        <v>2</v>
      </c>
      <c r="AJ255">
        <v>2</v>
      </c>
      <c r="AK255">
        <v>1</v>
      </c>
      <c r="AL255">
        <v>2</v>
      </c>
      <c r="AM255">
        <v>2</v>
      </c>
      <c r="AN255">
        <v>2</v>
      </c>
      <c r="AO255">
        <v>2</v>
      </c>
      <c r="AP255">
        <v>2</v>
      </c>
      <c r="AQ255">
        <v>2</v>
      </c>
      <c r="AR255">
        <v>2</v>
      </c>
      <c r="AS255">
        <v>1</v>
      </c>
      <c r="AT255">
        <v>2</v>
      </c>
      <c r="AU255">
        <v>2</v>
      </c>
      <c r="AV255">
        <v>1</v>
      </c>
      <c r="AW255">
        <v>1</v>
      </c>
      <c r="AX255">
        <v>1</v>
      </c>
      <c r="AY255">
        <v>2</v>
      </c>
      <c r="AZ255">
        <v>2</v>
      </c>
      <c r="BA255">
        <v>2</v>
      </c>
      <c r="BB255">
        <v>2</v>
      </c>
      <c r="BC255">
        <v>2</v>
      </c>
      <c r="BD255">
        <v>2</v>
      </c>
      <c r="BE255">
        <v>2</v>
      </c>
      <c r="BF255">
        <v>2</v>
      </c>
      <c r="BG255">
        <v>1</v>
      </c>
      <c r="BH255">
        <v>2</v>
      </c>
      <c r="BI255">
        <v>2</v>
      </c>
      <c r="BJ255">
        <v>2</v>
      </c>
      <c r="BK255">
        <v>2</v>
      </c>
      <c r="BL255">
        <v>2</v>
      </c>
      <c r="BM255">
        <v>2</v>
      </c>
      <c r="BN255">
        <v>2</v>
      </c>
      <c r="BO255">
        <v>2</v>
      </c>
      <c r="BP255">
        <v>2</v>
      </c>
      <c r="BQ255">
        <v>2</v>
      </c>
      <c r="BR255">
        <v>2</v>
      </c>
      <c r="BS255">
        <v>2</v>
      </c>
      <c r="BT255">
        <v>2</v>
      </c>
      <c r="BU255">
        <v>2</v>
      </c>
      <c r="BV255">
        <v>2</v>
      </c>
      <c r="BW255">
        <v>2</v>
      </c>
      <c r="BX255">
        <v>2</v>
      </c>
      <c r="BY255">
        <v>2</v>
      </c>
      <c r="BZ255">
        <v>2</v>
      </c>
      <c r="CA255">
        <v>2</v>
      </c>
      <c r="CB255">
        <v>2</v>
      </c>
      <c r="CC255">
        <v>2</v>
      </c>
      <c r="CD255">
        <v>2</v>
      </c>
      <c r="CE255">
        <v>2</v>
      </c>
      <c r="CF255">
        <v>2</v>
      </c>
      <c r="CG255">
        <v>2</v>
      </c>
      <c r="CH255">
        <v>1</v>
      </c>
      <c r="CI255">
        <v>2</v>
      </c>
      <c r="CJ255">
        <v>2</v>
      </c>
      <c r="CK255">
        <v>2</v>
      </c>
      <c r="CL255">
        <v>2</v>
      </c>
      <c r="CM255">
        <v>2</v>
      </c>
      <c r="CN255">
        <v>1</v>
      </c>
      <c r="CO255">
        <v>2</v>
      </c>
      <c r="CP255">
        <v>2</v>
      </c>
      <c r="CQ255">
        <v>2</v>
      </c>
      <c r="CR255">
        <v>2</v>
      </c>
      <c r="CS255">
        <v>2</v>
      </c>
    </row>
    <row r="256" spans="1:97" x14ac:dyDescent="0.3">
      <c r="A256" s="155">
        <v>952</v>
      </c>
      <c r="B256" t="s">
        <v>984</v>
      </c>
      <c r="D256" t="s">
        <v>2313</v>
      </c>
      <c r="F256" t="s">
        <v>2314</v>
      </c>
      <c r="G256" t="s">
        <v>2068</v>
      </c>
      <c r="H256" t="s">
        <v>2315</v>
      </c>
      <c r="J256" t="s">
        <v>2109</v>
      </c>
      <c r="K256" t="s">
        <v>2316</v>
      </c>
      <c r="L256" t="s">
        <v>2317</v>
      </c>
      <c r="M256" t="s">
        <v>2131</v>
      </c>
      <c r="N256" t="s">
        <v>2318</v>
      </c>
      <c r="P256" t="s">
        <v>2319</v>
      </c>
      <c r="Q256" t="s">
        <v>2131</v>
      </c>
      <c r="R256" t="s">
        <v>2320</v>
      </c>
      <c r="S256" t="s">
        <v>2321</v>
      </c>
      <c r="T256" t="s">
        <v>1987</v>
      </c>
      <c r="U256" t="s">
        <v>2322</v>
      </c>
      <c r="V256" t="s">
        <v>1989</v>
      </c>
      <c r="W256" t="s">
        <v>986</v>
      </c>
      <c r="X256" t="s">
        <v>2070</v>
      </c>
      <c r="Y256" t="s">
        <v>985</v>
      </c>
      <c r="Z256" t="s">
        <v>2014</v>
      </c>
      <c r="AA256" t="s">
        <v>2323</v>
      </c>
      <c r="AB256" t="s">
        <v>2324</v>
      </c>
      <c r="AC256" t="s">
        <v>2325</v>
      </c>
      <c r="AD256" t="s">
        <v>2326</v>
      </c>
      <c r="AE256" t="s">
        <v>2109</v>
      </c>
      <c r="AG256" t="s">
        <v>2327</v>
      </c>
      <c r="AH256" t="s">
        <v>2328</v>
      </c>
      <c r="AI256" t="s">
        <v>2329</v>
      </c>
      <c r="AL256" t="s">
        <v>2330</v>
      </c>
      <c r="AN256" t="s">
        <v>2331</v>
      </c>
      <c r="AO256" t="s">
        <v>1989</v>
      </c>
      <c r="AP256" t="s">
        <v>2332</v>
      </c>
      <c r="AQ256" t="s">
        <v>2333</v>
      </c>
      <c r="AR256" t="s">
        <v>2334</v>
      </c>
      <c r="AS256" t="s">
        <v>2335</v>
      </c>
      <c r="AT256" t="s">
        <v>2109</v>
      </c>
      <c r="AU256" t="s">
        <v>2015</v>
      </c>
      <c r="AW256" t="s">
        <v>2328</v>
      </c>
      <c r="AX256" t="s">
        <v>2336</v>
      </c>
      <c r="AY256" t="s">
        <v>2112</v>
      </c>
      <c r="AZ256" t="s">
        <v>2337</v>
      </c>
      <c r="BA256" t="s">
        <v>2338</v>
      </c>
      <c r="BB256" t="s">
        <v>1988</v>
      </c>
      <c r="BC256" t="s">
        <v>2339</v>
      </c>
      <c r="BD256" t="s">
        <v>1986</v>
      </c>
      <c r="BE256" t="s">
        <v>2340</v>
      </c>
      <c r="BF256" t="s">
        <v>1001</v>
      </c>
      <c r="BG256" t="s">
        <v>2341</v>
      </c>
      <c r="BH256" t="s">
        <v>2111</v>
      </c>
      <c r="BI256" t="s">
        <v>2342</v>
      </c>
      <c r="BJ256" t="s">
        <v>2343</v>
      </c>
      <c r="BK256" t="s">
        <v>2344</v>
      </c>
      <c r="BL256" t="s">
        <v>2345</v>
      </c>
      <c r="BM256" t="s">
        <v>2346</v>
      </c>
      <c r="BN256" t="s">
        <v>1006</v>
      </c>
      <c r="BO256" t="s">
        <v>1989</v>
      </c>
      <c r="BP256" t="s">
        <v>2347</v>
      </c>
      <c r="BQ256" t="s">
        <v>2328</v>
      </c>
      <c r="BR256" t="s">
        <v>2348</v>
      </c>
      <c r="BS256" t="s">
        <v>2349</v>
      </c>
      <c r="BT256" t="s">
        <v>2350</v>
      </c>
      <c r="BU256" t="s">
        <v>2068</v>
      </c>
      <c r="BV256" t="s">
        <v>2351</v>
      </c>
      <c r="BW256" t="s">
        <v>2352</v>
      </c>
      <c r="BX256" t="s">
        <v>985</v>
      </c>
      <c r="BY256" t="s">
        <v>2353</v>
      </c>
      <c r="BZ256" t="s">
        <v>2354</v>
      </c>
      <c r="CA256" t="s">
        <v>986</v>
      </c>
      <c r="CC256" t="s">
        <v>1990</v>
      </c>
      <c r="CD256" t="s">
        <v>2355</v>
      </c>
      <c r="CE256" t="s">
        <v>2356</v>
      </c>
      <c r="CF256" t="s">
        <v>1988</v>
      </c>
      <c r="CG256" t="s">
        <v>2357</v>
      </c>
      <c r="CH256" t="s">
        <v>986</v>
      </c>
      <c r="CI256" t="s">
        <v>2071</v>
      </c>
      <c r="CJ256" t="s">
        <v>2358</v>
      </c>
      <c r="CK256" t="s">
        <v>2359</v>
      </c>
      <c r="CL256" t="s">
        <v>2360</v>
      </c>
      <c r="CM256" t="s">
        <v>2361</v>
      </c>
      <c r="CO256" t="s">
        <v>2362</v>
      </c>
      <c r="CP256" t="s">
        <v>986</v>
      </c>
      <c r="CR256" t="s">
        <v>2363</v>
      </c>
      <c r="CS256" t="s">
        <v>2364</v>
      </c>
    </row>
    <row r="257" spans="1:97" x14ac:dyDescent="0.3">
      <c r="A257" s="155">
        <v>953</v>
      </c>
      <c r="B257" t="s">
        <v>987</v>
      </c>
      <c r="D257">
        <v>2</v>
      </c>
      <c r="E257">
        <v>2</v>
      </c>
      <c r="F257">
        <v>2</v>
      </c>
      <c r="G257">
        <v>2</v>
      </c>
      <c r="H257">
        <v>2</v>
      </c>
      <c r="I257">
        <v>2</v>
      </c>
      <c r="J257">
        <v>2</v>
      </c>
      <c r="K257">
        <v>2</v>
      </c>
      <c r="L257">
        <v>2</v>
      </c>
      <c r="M257">
        <v>2</v>
      </c>
      <c r="N257">
        <v>2</v>
      </c>
      <c r="O257">
        <v>2</v>
      </c>
      <c r="P257">
        <v>2</v>
      </c>
      <c r="Q257">
        <v>2</v>
      </c>
      <c r="R257">
        <v>2</v>
      </c>
      <c r="S257">
        <v>2</v>
      </c>
      <c r="T257">
        <v>2</v>
      </c>
      <c r="U257">
        <v>2</v>
      </c>
      <c r="V257">
        <v>2</v>
      </c>
      <c r="W257">
        <v>2</v>
      </c>
      <c r="X257">
        <v>2</v>
      </c>
      <c r="Y257">
        <v>2</v>
      </c>
      <c r="Z257">
        <v>2</v>
      </c>
      <c r="AA257">
        <v>2</v>
      </c>
      <c r="AB257">
        <v>2</v>
      </c>
      <c r="AC257">
        <v>2</v>
      </c>
      <c r="AD257">
        <v>2</v>
      </c>
      <c r="AE257">
        <v>2</v>
      </c>
      <c r="AF257">
        <v>2</v>
      </c>
      <c r="AG257">
        <v>2</v>
      </c>
      <c r="AH257">
        <v>2</v>
      </c>
      <c r="AI257">
        <v>2</v>
      </c>
      <c r="AJ257">
        <v>2</v>
      </c>
      <c r="AK257">
        <v>2</v>
      </c>
      <c r="AL257">
        <v>2</v>
      </c>
      <c r="AM257">
        <v>2</v>
      </c>
      <c r="AN257">
        <v>2</v>
      </c>
      <c r="AO257">
        <v>2</v>
      </c>
      <c r="AP257">
        <v>2</v>
      </c>
      <c r="AQ257">
        <v>2</v>
      </c>
      <c r="AR257">
        <v>2</v>
      </c>
      <c r="AS257">
        <v>2</v>
      </c>
      <c r="AT257">
        <v>2</v>
      </c>
      <c r="AU257">
        <v>2</v>
      </c>
      <c r="AV257">
        <v>2</v>
      </c>
      <c r="AW257">
        <v>2</v>
      </c>
      <c r="AX257">
        <v>2</v>
      </c>
      <c r="AY257">
        <v>2</v>
      </c>
      <c r="AZ257">
        <v>2</v>
      </c>
      <c r="BA257">
        <v>2</v>
      </c>
      <c r="BB257">
        <v>2</v>
      </c>
      <c r="BC257">
        <v>2</v>
      </c>
      <c r="BD257">
        <v>2</v>
      </c>
      <c r="BE257">
        <v>2</v>
      </c>
      <c r="BF257">
        <v>2</v>
      </c>
      <c r="BG257">
        <v>2</v>
      </c>
      <c r="BH257">
        <v>2</v>
      </c>
      <c r="BI257">
        <v>2</v>
      </c>
      <c r="BJ257">
        <v>2</v>
      </c>
      <c r="BK257">
        <v>2</v>
      </c>
      <c r="BL257">
        <v>2</v>
      </c>
      <c r="BM257">
        <v>2</v>
      </c>
      <c r="BN257">
        <v>2</v>
      </c>
      <c r="BO257">
        <v>2</v>
      </c>
      <c r="BP257">
        <v>2</v>
      </c>
      <c r="BQ257">
        <v>2</v>
      </c>
      <c r="BR257">
        <v>2</v>
      </c>
      <c r="BS257">
        <v>2</v>
      </c>
      <c r="BT257">
        <v>2</v>
      </c>
      <c r="BU257">
        <v>2</v>
      </c>
      <c r="BV257">
        <v>2</v>
      </c>
      <c r="BW257">
        <v>2</v>
      </c>
      <c r="BX257">
        <v>2</v>
      </c>
      <c r="BY257">
        <v>2</v>
      </c>
      <c r="BZ257">
        <v>2</v>
      </c>
      <c r="CA257">
        <v>2</v>
      </c>
      <c r="CB257">
        <v>2</v>
      </c>
      <c r="CC257">
        <v>2</v>
      </c>
      <c r="CD257">
        <v>2</v>
      </c>
      <c r="CE257">
        <v>2</v>
      </c>
      <c r="CF257">
        <v>2</v>
      </c>
      <c r="CG257">
        <v>2</v>
      </c>
      <c r="CH257">
        <v>2</v>
      </c>
      <c r="CI257">
        <v>2</v>
      </c>
      <c r="CJ257">
        <v>2</v>
      </c>
      <c r="CK257">
        <v>2</v>
      </c>
      <c r="CL257">
        <v>2</v>
      </c>
      <c r="CM257">
        <v>2</v>
      </c>
      <c r="CN257">
        <v>2</v>
      </c>
      <c r="CO257">
        <v>2</v>
      </c>
      <c r="CP257">
        <v>2</v>
      </c>
      <c r="CQ257">
        <v>2</v>
      </c>
      <c r="CR257">
        <v>2</v>
      </c>
      <c r="CS257">
        <v>2</v>
      </c>
    </row>
    <row r="258" spans="1:97" x14ac:dyDescent="0.3">
      <c r="A258" s="155">
        <v>954</v>
      </c>
      <c r="B258" t="s">
        <v>411</v>
      </c>
      <c r="D258" t="s">
        <v>50</v>
      </c>
      <c r="E258" t="s">
        <v>50</v>
      </c>
      <c r="F258" t="s">
        <v>50</v>
      </c>
      <c r="G258" t="s">
        <v>50</v>
      </c>
      <c r="H258" t="s">
        <v>50</v>
      </c>
      <c r="I258" t="s">
        <v>50</v>
      </c>
      <c r="J258" t="s">
        <v>50</v>
      </c>
      <c r="K258" t="s">
        <v>50</v>
      </c>
      <c r="L258" t="s">
        <v>50</v>
      </c>
      <c r="M258" t="s">
        <v>50</v>
      </c>
      <c r="N258" t="s">
        <v>50</v>
      </c>
      <c r="O258" t="s">
        <v>50</v>
      </c>
      <c r="P258" t="s">
        <v>50</v>
      </c>
      <c r="Q258" t="s">
        <v>50</v>
      </c>
      <c r="R258" t="s">
        <v>50</v>
      </c>
      <c r="S258" t="s">
        <v>50</v>
      </c>
      <c r="T258" t="s">
        <v>50</v>
      </c>
      <c r="U258" t="s">
        <v>50</v>
      </c>
      <c r="V258" t="s">
        <v>50</v>
      </c>
      <c r="W258" t="s">
        <v>50</v>
      </c>
      <c r="X258" t="s">
        <v>50</v>
      </c>
      <c r="Y258" t="s">
        <v>50</v>
      </c>
      <c r="Z258" t="s">
        <v>50</v>
      </c>
      <c r="AA258" t="s">
        <v>50</v>
      </c>
      <c r="AB258" t="s">
        <v>50</v>
      </c>
      <c r="AC258" t="s">
        <v>50</v>
      </c>
      <c r="AD258" t="s">
        <v>50</v>
      </c>
      <c r="AE258" t="s">
        <v>50</v>
      </c>
      <c r="AF258" t="s">
        <v>50</v>
      </c>
      <c r="AG258" t="s">
        <v>50</v>
      </c>
      <c r="AH258" t="s">
        <v>50</v>
      </c>
      <c r="AI258" t="s">
        <v>50</v>
      </c>
      <c r="AJ258" t="s">
        <v>50</v>
      </c>
      <c r="AK258" t="s">
        <v>50</v>
      </c>
      <c r="AL258" t="s">
        <v>50</v>
      </c>
      <c r="AM258" t="s">
        <v>50</v>
      </c>
      <c r="AN258" t="s">
        <v>50</v>
      </c>
      <c r="AO258" t="s">
        <v>51</v>
      </c>
      <c r="AP258" t="s">
        <v>50</v>
      </c>
      <c r="AQ258" t="s">
        <v>50</v>
      </c>
      <c r="AR258" t="s">
        <v>50</v>
      </c>
      <c r="AS258" t="s">
        <v>50</v>
      </c>
      <c r="AT258" t="s">
        <v>50</v>
      </c>
      <c r="AU258" t="s">
        <v>50</v>
      </c>
      <c r="AV258" t="s">
        <v>51</v>
      </c>
      <c r="AW258" t="s">
        <v>50</v>
      </c>
      <c r="AX258" t="s">
        <v>50</v>
      </c>
      <c r="AY258" t="s">
        <v>50</v>
      </c>
      <c r="AZ258" t="s">
        <v>50</v>
      </c>
      <c r="BA258" t="s">
        <v>50</v>
      </c>
      <c r="BB258" t="s">
        <v>50</v>
      </c>
      <c r="BC258" t="s">
        <v>50</v>
      </c>
      <c r="BD258" t="s">
        <v>50</v>
      </c>
      <c r="BE258" t="s">
        <v>50</v>
      </c>
      <c r="BF258" t="s">
        <v>50</v>
      </c>
      <c r="BG258" t="s">
        <v>50</v>
      </c>
      <c r="BH258" t="s">
        <v>50</v>
      </c>
      <c r="BI258" t="s">
        <v>50</v>
      </c>
      <c r="BJ258" t="s">
        <v>50</v>
      </c>
      <c r="BK258" t="s">
        <v>50</v>
      </c>
      <c r="BL258" t="s">
        <v>50</v>
      </c>
      <c r="BM258" t="s">
        <v>50</v>
      </c>
      <c r="BN258" t="s">
        <v>50</v>
      </c>
      <c r="BO258" t="s">
        <v>50</v>
      </c>
      <c r="BP258" t="s">
        <v>50</v>
      </c>
      <c r="BQ258" t="s">
        <v>50</v>
      </c>
      <c r="BR258" t="s">
        <v>50</v>
      </c>
      <c r="BS258" t="s">
        <v>50</v>
      </c>
      <c r="BT258" t="s">
        <v>50</v>
      </c>
      <c r="BU258" t="s">
        <v>50</v>
      </c>
      <c r="BV258" t="s">
        <v>50</v>
      </c>
      <c r="BW258" t="s">
        <v>50</v>
      </c>
      <c r="BX258" t="s">
        <v>50</v>
      </c>
      <c r="BY258" t="s">
        <v>50</v>
      </c>
      <c r="BZ258" t="s">
        <v>50</v>
      </c>
      <c r="CA258" t="s">
        <v>1678</v>
      </c>
      <c r="CB258" t="s">
        <v>50</v>
      </c>
      <c r="CC258" t="s">
        <v>50</v>
      </c>
      <c r="CD258" t="s">
        <v>50</v>
      </c>
      <c r="CE258" t="s">
        <v>50</v>
      </c>
      <c r="CF258" t="s">
        <v>50</v>
      </c>
      <c r="CG258" t="s">
        <v>50</v>
      </c>
      <c r="CH258" t="s">
        <v>50</v>
      </c>
      <c r="CI258" t="s">
        <v>50</v>
      </c>
      <c r="CJ258" t="s">
        <v>50</v>
      </c>
      <c r="CK258" t="s">
        <v>50</v>
      </c>
      <c r="CL258" t="s">
        <v>50</v>
      </c>
      <c r="CM258" t="s">
        <v>50</v>
      </c>
      <c r="CN258" t="s">
        <v>50</v>
      </c>
      <c r="CO258" t="s">
        <v>50</v>
      </c>
      <c r="CP258" t="s">
        <v>50</v>
      </c>
      <c r="CQ258" t="s">
        <v>50</v>
      </c>
      <c r="CR258" t="s">
        <v>50</v>
      </c>
      <c r="CS258" t="s">
        <v>50</v>
      </c>
    </row>
    <row r="259" spans="1:97" x14ac:dyDescent="0.3">
      <c r="A259" s="155">
        <v>955</v>
      </c>
      <c r="B259" t="s">
        <v>988</v>
      </c>
      <c r="D259">
        <v>0</v>
      </c>
      <c r="E259">
        <v>1</v>
      </c>
      <c r="F259">
        <v>1</v>
      </c>
      <c r="G259">
        <v>3</v>
      </c>
      <c r="H259">
        <v>3</v>
      </c>
      <c r="I259">
        <v>0</v>
      </c>
      <c r="J259">
        <v>0</v>
      </c>
      <c r="K259">
        <v>0</v>
      </c>
      <c r="L259">
        <v>2</v>
      </c>
      <c r="M259">
        <v>0</v>
      </c>
      <c r="N259">
        <v>0</v>
      </c>
      <c r="O259">
        <v>0</v>
      </c>
      <c r="P259">
        <v>0</v>
      </c>
      <c r="Q259">
        <v>0</v>
      </c>
      <c r="R259">
        <v>0</v>
      </c>
      <c r="S259">
        <v>0</v>
      </c>
      <c r="T259">
        <v>0</v>
      </c>
      <c r="U259">
        <v>0</v>
      </c>
      <c r="V259">
        <v>0</v>
      </c>
      <c r="W259">
        <v>0</v>
      </c>
      <c r="X259">
        <v>0</v>
      </c>
      <c r="Y259">
        <v>0</v>
      </c>
      <c r="Z259">
        <v>0</v>
      </c>
      <c r="AA259">
        <v>0</v>
      </c>
      <c r="AB259">
        <v>1</v>
      </c>
      <c r="AC259">
        <v>0</v>
      </c>
      <c r="AD259">
        <v>0</v>
      </c>
      <c r="AE259">
        <v>1</v>
      </c>
      <c r="AF259">
        <v>1</v>
      </c>
      <c r="AG259">
        <v>0</v>
      </c>
      <c r="AH259">
        <v>0</v>
      </c>
      <c r="AI259">
        <v>0</v>
      </c>
      <c r="AJ259">
        <v>0</v>
      </c>
      <c r="AK259">
        <v>0</v>
      </c>
      <c r="AL259">
        <v>0</v>
      </c>
      <c r="AM259">
        <v>0</v>
      </c>
      <c r="AN259">
        <v>2</v>
      </c>
      <c r="AO259">
        <v>0</v>
      </c>
      <c r="AP259">
        <v>0</v>
      </c>
      <c r="AQ259">
        <v>0</v>
      </c>
      <c r="AR259">
        <v>0</v>
      </c>
      <c r="AS259">
        <v>4</v>
      </c>
      <c r="AT259">
        <v>1</v>
      </c>
      <c r="AU259">
        <v>0</v>
      </c>
      <c r="AV259">
        <v>0</v>
      </c>
      <c r="AW259">
        <v>0</v>
      </c>
      <c r="AX259">
        <v>0</v>
      </c>
      <c r="AY259">
        <v>0</v>
      </c>
      <c r="AZ259">
        <v>0</v>
      </c>
      <c r="BA259">
        <v>0</v>
      </c>
      <c r="BB259">
        <v>0</v>
      </c>
      <c r="BC259">
        <v>0</v>
      </c>
      <c r="BD259">
        <v>0</v>
      </c>
      <c r="BE259">
        <v>0</v>
      </c>
      <c r="BF259">
        <v>3</v>
      </c>
      <c r="BG259">
        <v>0</v>
      </c>
      <c r="BH259">
        <v>0</v>
      </c>
      <c r="BI259">
        <v>0</v>
      </c>
      <c r="BJ259">
        <v>0</v>
      </c>
      <c r="BK259">
        <v>2</v>
      </c>
      <c r="BL259">
        <v>0</v>
      </c>
      <c r="BM259">
        <v>0</v>
      </c>
      <c r="BN259">
        <v>0</v>
      </c>
      <c r="BO259">
        <v>0</v>
      </c>
      <c r="BP259">
        <v>0</v>
      </c>
      <c r="BQ259">
        <v>0</v>
      </c>
      <c r="BR259">
        <v>1</v>
      </c>
      <c r="BS259">
        <v>0</v>
      </c>
      <c r="BT259">
        <v>0</v>
      </c>
      <c r="BU259">
        <v>0</v>
      </c>
      <c r="BV259">
        <v>0</v>
      </c>
      <c r="BW259">
        <v>0</v>
      </c>
      <c r="BX259">
        <v>0</v>
      </c>
      <c r="BY259">
        <v>0</v>
      </c>
      <c r="BZ259">
        <v>0</v>
      </c>
      <c r="CA259">
        <v>0</v>
      </c>
      <c r="CB259">
        <v>0</v>
      </c>
      <c r="CC259">
        <v>1</v>
      </c>
      <c r="CD259">
        <v>0</v>
      </c>
      <c r="CE259">
        <v>0</v>
      </c>
      <c r="CF259">
        <v>0</v>
      </c>
      <c r="CG259">
        <v>1</v>
      </c>
      <c r="CH259">
        <v>0</v>
      </c>
      <c r="CI259">
        <v>0</v>
      </c>
      <c r="CJ259">
        <v>0</v>
      </c>
      <c r="CK259">
        <v>0</v>
      </c>
      <c r="CL259">
        <v>1</v>
      </c>
      <c r="CM259">
        <v>0</v>
      </c>
      <c r="CN259">
        <v>0</v>
      </c>
      <c r="CO259">
        <v>0</v>
      </c>
      <c r="CP259">
        <v>0</v>
      </c>
      <c r="CQ259">
        <v>0</v>
      </c>
      <c r="CR259">
        <v>0</v>
      </c>
      <c r="CS259">
        <v>0</v>
      </c>
    </row>
    <row r="260" spans="1:97" x14ac:dyDescent="0.3">
      <c r="A260" s="155">
        <v>956</v>
      </c>
      <c r="B260" t="s">
        <v>412</v>
      </c>
      <c r="D260" t="s">
        <v>50</v>
      </c>
      <c r="E260" t="s">
        <v>50</v>
      </c>
      <c r="F260" t="s">
        <v>50</v>
      </c>
      <c r="G260" t="s">
        <v>50</v>
      </c>
      <c r="H260" t="s">
        <v>50</v>
      </c>
      <c r="I260" t="s">
        <v>50</v>
      </c>
      <c r="J260" t="s">
        <v>50</v>
      </c>
      <c r="K260" t="s">
        <v>50</v>
      </c>
      <c r="L260" t="s">
        <v>50</v>
      </c>
      <c r="M260" t="s">
        <v>50</v>
      </c>
      <c r="N260" t="s">
        <v>50</v>
      </c>
      <c r="O260" t="s">
        <v>50</v>
      </c>
      <c r="P260" t="s">
        <v>50</v>
      </c>
      <c r="Q260" t="s">
        <v>50</v>
      </c>
      <c r="R260" t="s">
        <v>50</v>
      </c>
      <c r="S260" t="s">
        <v>50</v>
      </c>
      <c r="T260" t="s">
        <v>50</v>
      </c>
      <c r="U260" t="s">
        <v>50</v>
      </c>
      <c r="V260" t="s">
        <v>50</v>
      </c>
      <c r="W260" t="s">
        <v>50</v>
      </c>
      <c r="X260" t="s">
        <v>50</v>
      </c>
      <c r="Y260" t="s">
        <v>50</v>
      </c>
      <c r="Z260" t="s">
        <v>50</v>
      </c>
      <c r="AA260" t="s">
        <v>50</v>
      </c>
      <c r="AB260" t="s">
        <v>50</v>
      </c>
      <c r="AC260" t="s">
        <v>50</v>
      </c>
      <c r="AD260" t="s">
        <v>50</v>
      </c>
      <c r="AE260" t="s">
        <v>50</v>
      </c>
      <c r="AF260" t="s">
        <v>50</v>
      </c>
      <c r="AG260" t="s">
        <v>50</v>
      </c>
      <c r="AH260" t="s">
        <v>50</v>
      </c>
      <c r="AI260" t="s">
        <v>50</v>
      </c>
      <c r="AJ260" t="s">
        <v>50</v>
      </c>
      <c r="AK260" t="s">
        <v>50</v>
      </c>
      <c r="AL260" t="s">
        <v>50</v>
      </c>
      <c r="AM260" t="s">
        <v>50</v>
      </c>
      <c r="AN260" t="s">
        <v>50</v>
      </c>
      <c r="AO260" t="s">
        <v>51</v>
      </c>
      <c r="AP260" t="s">
        <v>50</v>
      </c>
      <c r="AQ260" t="s">
        <v>50</v>
      </c>
      <c r="AR260" t="s">
        <v>50</v>
      </c>
      <c r="AS260" t="s">
        <v>51</v>
      </c>
      <c r="AT260" t="s">
        <v>50</v>
      </c>
      <c r="AU260" t="s">
        <v>50</v>
      </c>
      <c r="AV260" t="s">
        <v>50</v>
      </c>
      <c r="AW260" t="s">
        <v>50</v>
      </c>
      <c r="AX260" t="s">
        <v>50</v>
      </c>
      <c r="AY260" t="s">
        <v>50</v>
      </c>
      <c r="AZ260" t="s">
        <v>50</v>
      </c>
      <c r="BA260" t="s">
        <v>50</v>
      </c>
      <c r="BB260" t="s">
        <v>50</v>
      </c>
      <c r="BC260" t="s">
        <v>50</v>
      </c>
      <c r="BD260" t="s">
        <v>50</v>
      </c>
      <c r="BE260" t="s">
        <v>50</v>
      </c>
      <c r="BF260" t="s">
        <v>50</v>
      </c>
      <c r="BG260" t="s">
        <v>50</v>
      </c>
      <c r="BH260" t="s">
        <v>50</v>
      </c>
      <c r="BI260" t="s">
        <v>50</v>
      </c>
      <c r="BJ260" t="s">
        <v>50</v>
      </c>
      <c r="BK260" t="s">
        <v>50</v>
      </c>
      <c r="BL260" t="s">
        <v>50</v>
      </c>
      <c r="BM260" t="s">
        <v>50</v>
      </c>
      <c r="BN260" t="s">
        <v>50</v>
      </c>
      <c r="BO260" t="s">
        <v>50</v>
      </c>
      <c r="BP260" t="s">
        <v>50</v>
      </c>
      <c r="BQ260" t="s">
        <v>50</v>
      </c>
      <c r="BR260" t="s">
        <v>50</v>
      </c>
      <c r="BS260" t="s">
        <v>50</v>
      </c>
      <c r="BT260" t="s">
        <v>50</v>
      </c>
      <c r="BU260" t="s">
        <v>50</v>
      </c>
      <c r="BV260" t="s">
        <v>50</v>
      </c>
      <c r="BW260" t="s">
        <v>50</v>
      </c>
      <c r="BX260" t="s">
        <v>50</v>
      </c>
      <c r="BY260" t="s">
        <v>50</v>
      </c>
      <c r="BZ260" t="s">
        <v>50</v>
      </c>
      <c r="CA260" t="s">
        <v>1678</v>
      </c>
      <c r="CB260" t="s">
        <v>50</v>
      </c>
      <c r="CC260" t="s">
        <v>50</v>
      </c>
      <c r="CD260" t="s">
        <v>50</v>
      </c>
      <c r="CE260" t="s">
        <v>50</v>
      </c>
      <c r="CF260" t="s">
        <v>50</v>
      </c>
      <c r="CG260" t="s">
        <v>50</v>
      </c>
      <c r="CH260" t="s">
        <v>50</v>
      </c>
      <c r="CI260" t="s">
        <v>50</v>
      </c>
      <c r="CJ260" t="s">
        <v>50</v>
      </c>
      <c r="CK260" t="s">
        <v>50</v>
      </c>
      <c r="CL260" t="s">
        <v>51</v>
      </c>
      <c r="CM260" t="s">
        <v>50</v>
      </c>
      <c r="CN260" t="s">
        <v>50</v>
      </c>
      <c r="CO260" t="s">
        <v>50</v>
      </c>
      <c r="CP260" t="s">
        <v>50</v>
      </c>
      <c r="CQ260" t="s">
        <v>50</v>
      </c>
      <c r="CR260" t="s">
        <v>50</v>
      </c>
      <c r="CS260" t="s">
        <v>50</v>
      </c>
    </row>
    <row r="261" spans="1:97" x14ac:dyDescent="0.3">
      <c r="A261" s="155">
        <v>957</v>
      </c>
      <c r="B261" t="s">
        <v>989</v>
      </c>
      <c r="D261">
        <v>0</v>
      </c>
      <c r="E261">
        <v>0</v>
      </c>
      <c r="F261">
        <v>0</v>
      </c>
      <c r="G261">
        <v>0</v>
      </c>
      <c r="H261">
        <v>0</v>
      </c>
      <c r="I261">
        <v>0</v>
      </c>
      <c r="J261">
        <v>0</v>
      </c>
      <c r="K261">
        <v>1</v>
      </c>
      <c r="L261">
        <v>0</v>
      </c>
      <c r="M261">
        <v>0</v>
      </c>
      <c r="N261">
        <v>0</v>
      </c>
      <c r="O261">
        <v>0</v>
      </c>
      <c r="P261">
        <v>0</v>
      </c>
      <c r="Q261">
        <v>3</v>
      </c>
      <c r="R261">
        <v>0</v>
      </c>
      <c r="S261">
        <v>0</v>
      </c>
      <c r="T261">
        <v>0</v>
      </c>
      <c r="U261">
        <v>0</v>
      </c>
      <c r="V261">
        <v>0</v>
      </c>
      <c r="W261">
        <v>0</v>
      </c>
      <c r="X261">
        <v>0</v>
      </c>
      <c r="Y261">
        <v>0</v>
      </c>
      <c r="Z261">
        <v>0</v>
      </c>
      <c r="AA261">
        <v>0</v>
      </c>
      <c r="AB261">
        <v>0</v>
      </c>
      <c r="AC261">
        <v>0</v>
      </c>
      <c r="AD261">
        <v>0</v>
      </c>
      <c r="AE261">
        <v>1</v>
      </c>
      <c r="AF261">
        <v>0</v>
      </c>
      <c r="AG261">
        <v>0</v>
      </c>
      <c r="AH261">
        <v>0</v>
      </c>
      <c r="AI261">
        <v>0</v>
      </c>
      <c r="AJ261">
        <v>0</v>
      </c>
      <c r="AK261">
        <v>0</v>
      </c>
      <c r="AL261">
        <v>0</v>
      </c>
      <c r="AM261">
        <v>0</v>
      </c>
      <c r="AN261">
        <v>0</v>
      </c>
      <c r="AO261">
        <v>4</v>
      </c>
      <c r="AP261">
        <v>1</v>
      </c>
      <c r="AQ261">
        <v>0</v>
      </c>
      <c r="AR261">
        <v>0</v>
      </c>
      <c r="AS261">
        <v>3</v>
      </c>
      <c r="AT261">
        <v>0</v>
      </c>
      <c r="AU261">
        <v>0</v>
      </c>
      <c r="AV261">
        <v>0</v>
      </c>
      <c r="AW261">
        <v>0</v>
      </c>
      <c r="AX261">
        <v>0</v>
      </c>
      <c r="AY261">
        <v>0</v>
      </c>
      <c r="AZ261">
        <v>0</v>
      </c>
      <c r="BA261">
        <v>0</v>
      </c>
      <c r="BB261">
        <v>1</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1</v>
      </c>
      <c r="BX261">
        <v>0</v>
      </c>
      <c r="BY261">
        <v>0</v>
      </c>
      <c r="BZ261">
        <v>0</v>
      </c>
      <c r="CA261">
        <v>1</v>
      </c>
      <c r="CB261">
        <v>1</v>
      </c>
      <c r="CC261">
        <v>0</v>
      </c>
      <c r="CD261">
        <v>0</v>
      </c>
      <c r="CE261">
        <v>0</v>
      </c>
      <c r="CF261">
        <v>0</v>
      </c>
      <c r="CG261">
        <v>0</v>
      </c>
      <c r="CH261">
        <v>0</v>
      </c>
      <c r="CI261">
        <v>0</v>
      </c>
      <c r="CJ261">
        <v>0</v>
      </c>
      <c r="CK261">
        <v>0</v>
      </c>
      <c r="CL261">
        <v>0</v>
      </c>
      <c r="CM261">
        <v>0</v>
      </c>
      <c r="CN261">
        <v>0</v>
      </c>
      <c r="CO261">
        <v>1</v>
      </c>
      <c r="CP261">
        <v>0</v>
      </c>
      <c r="CQ261">
        <v>3</v>
      </c>
      <c r="CR261">
        <v>1</v>
      </c>
      <c r="CS261">
        <v>0</v>
      </c>
    </row>
    <row r="262" spans="1:97" x14ac:dyDescent="0.3">
      <c r="A262" s="155">
        <v>958</v>
      </c>
      <c r="B262" t="s">
        <v>990</v>
      </c>
      <c r="D262" t="s">
        <v>50</v>
      </c>
      <c r="E262" t="s">
        <v>50</v>
      </c>
      <c r="F262" t="s">
        <v>50</v>
      </c>
      <c r="G262" t="s">
        <v>50</v>
      </c>
      <c r="H262" t="s">
        <v>50</v>
      </c>
      <c r="I262" t="s">
        <v>50</v>
      </c>
      <c r="J262" t="s">
        <v>50</v>
      </c>
      <c r="K262" t="s">
        <v>50</v>
      </c>
      <c r="L262" t="s">
        <v>50</v>
      </c>
      <c r="M262" t="s">
        <v>50</v>
      </c>
      <c r="N262" t="s">
        <v>50</v>
      </c>
      <c r="O262" t="s">
        <v>50</v>
      </c>
      <c r="P262" t="s">
        <v>50</v>
      </c>
      <c r="Q262" t="s">
        <v>50</v>
      </c>
      <c r="R262" t="s">
        <v>50</v>
      </c>
      <c r="S262" t="s">
        <v>50</v>
      </c>
      <c r="T262" t="s">
        <v>50</v>
      </c>
      <c r="U262" t="s">
        <v>50</v>
      </c>
      <c r="V262" t="s">
        <v>50</v>
      </c>
      <c r="W262" t="s">
        <v>50</v>
      </c>
      <c r="X262" t="s">
        <v>50</v>
      </c>
      <c r="Y262" t="s">
        <v>50</v>
      </c>
      <c r="Z262" t="s">
        <v>50</v>
      </c>
      <c r="AA262" t="s">
        <v>50</v>
      </c>
      <c r="AB262" t="s">
        <v>50</v>
      </c>
      <c r="AC262" t="s">
        <v>50</v>
      </c>
      <c r="AD262" t="s">
        <v>50</v>
      </c>
      <c r="AE262" t="s">
        <v>50</v>
      </c>
      <c r="AF262" t="s">
        <v>50</v>
      </c>
      <c r="AG262" t="s">
        <v>50</v>
      </c>
      <c r="AH262" t="s">
        <v>50</v>
      </c>
      <c r="AI262" t="s">
        <v>50</v>
      </c>
      <c r="AJ262" t="s">
        <v>50</v>
      </c>
      <c r="AK262" t="s">
        <v>50</v>
      </c>
      <c r="AL262" t="s">
        <v>50</v>
      </c>
      <c r="AM262" t="s">
        <v>50</v>
      </c>
      <c r="AN262" t="s">
        <v>50</v>
      </c>
      <c r="AO262" t="s">
        <v>51</v>
      </c>
      <c r="AP262" t="s">
        <v>50</v>
      </c>
      <c r="AQ262" t="s">
        <v>50</v>
      </c>
      <c r="AR262" t="s">
        <v>50</v>
      </c>
      <c r="AS262" t="s">
        <v>51</v>
      </c>
      <c r="AT262" t="s">
        <v>50</v>
      </c>
      <c r="AU262" t="s">
        <v>50</v>
      </c>
      <c r="AV262" t="s">
        <v>50</v>
      </c>
      <c r="AW262" t="s">
        <v>50</v>
      </c>
      <c r="AX262" t="s">
        <v>50</v>
      </c>
      <c r="AY262" t="s">
        <v>50</v>
      </c>
      <c r="AZ262" t="s">
        <v>50</v>
      </c>
      <c r="BA262" t="s">
        <v>50</v>
      </c>
      <c r="BB262" t="s">
        <v>50</v>
      </c>
      <c r="BC262" t="s">
        <v>50</v>
      </c>
      <c r="BD262" t="s">
        <v>50</v>
      </c>
      <c r="BE262" t="s">
        <v>50</v>
      </c>
      <c r="BF262" t="s">
        <v>50</v>
      </c>
      <c r="BG262" t="s">
        <v>50</v>
      </c>
      <c r="BH262" t="s">
        <v>50</v>
      </c>
      <c r="BI262" t="s">
        <v>50</v>
      </c>
      <c r="BJ262" t="s">
        <v>50</v>
      </c>
      <c r="BK262" t="s">
        <v>50</v>
      </c>
      <c r="BL262" t="s">
        <v>50</v>
      </c>
      <c r="BM262" t="s">
        <v>50</v>
      </c>
      <c r="BN262" t="s">
        <v>51</v>
      </c>
      <c r="BO262" t="s">
        <v>50</v>
      </c>
      <c r="BP262" t="s">
        <v>50</v>
      </c>
      <c r="BQ262" t="s">
        <v>50</v>
      </c>
      <c r="BR262" t="s">
        <v>50</v>
      </c>
      <c r="BS262" t="s">
        <v>50</v>
      </c>
      <c r="BT262" t="s">
        <v>50</v>
      </c>
      <c r="BU262" t="s">
        <v>50</v>
      </c>
      <c r="BV262" t="s">
        <v>50</v>
      </c>
      <c r="BW262" t="s">
        <v>50</v>
      </c>
      <c r="BX262" t="s">
        <v>50</v>
      </c>
      <c r="BY262" t="s">
        <v>50</v>
      </c>
      <c r="BZ262" t="s">
        <v>50</v>
      </c>
      <c r="CA262" t="s">
        <v>1678</v>
      </c>
      <c r="CB262" t="s">
        <v>50</v>
      </c>
      <c r="CC262" t="s">
        <v>50</v>
      </c>
      <c r="CD262" t="s">
        <v>50</v>
      </c>
      <c r="CE262" t="s">
        <v>50</v>
      </c>
      <c r="CF262" t="s">
        <v>50</v>
      </c>
      <c r="CG262" t="s">
        <v>50</v>
      </c>
      <c r="CH262" t="s">
        <v>50</v>
      </c>
      <c r="CI262" t="s">
        <v>50</v>
      </c>
      <c r="CJ262" t="s">
        <v>50</v>
      </c>
      <c r="CK262" t="s">
        <v>50</v>
      </c>
      <c r="CL262" t="s">
        <v>50</v>
      </c>
      <c r="CM262" t="s">
        <v>50</v>
      </c>
      <c r="CN262" t="s">
        <v>50</v>
      </c>
      <c r="CO262" t="s">
        <v>50</v>
      </c>
      <c r="CP262" t="s">
        <v>50</v>
      </c>
      <c r="CQ262" t="s">
        <v>50</v>
      </c>
      <c r="CR262" t="s">
        <v>50</v>
      </c>
      <c r="CS262" t="s">
        <v>50</v>
      </c>
    </row>
    <row r="263" spans="1:97" x14ac:dyDescent="0.3">
      <c r="A263" s="155">
        <v>959</v>
      </c>
      <c r="B263" t="s">
        <v>991</v>
      </c>
      <c r="D263">
        <v>2</v>
      </c>
      <c r="E263">
        <v>2</v>
      </c>
      <c r="F263">
        <v>2</v>
      </c>
      <c r="G263">
        <v>3</v>
      </c>
      <c r="H263">
        <v>2</v>
      </c>
      <c r="I263">
        <v>2</v>
      </c>
      <c r="J263">
        <v>2</v>
      </c>
      <c r="K263">
        <v>2</v>
      </c>
      <c r="L263">
        <v>2</v>
      </c>
      <c r="M263">
        <v>2</v>
      </c>
      <c r="N263">
        <v>2</v>
      </c>
      <c r="O263">
        <v>2</v>
      </c>
      <c r="P263">
        <v>2</v>
      </c>
      <c r="Q263">
        <v>2</v>
      </c>
      <c r="R263">
        <v>3</v>
      </c>
      <c r="S263">
        <v>2</v>
      </c>
      <c r="T263">
        <v>3</v>
      </c>
      <c r="U263">
        <v>3</v>
      </c>
      <c r="V263">
        <v>2</v>
      </c>
      <c r="W263">
        <v>2</v>
      </c>
      <c r="X263">
        <v>2</v>
      </c>
      <c r="Y263">
        <v>2</v>
      </c>
      <c r="Z263">
        <v>2</v>
      </c>
      <c r="AA263">
        <v>2</v>
      </c>
      <c r="AB263">
        <v>3</v>
      </c>
      <c r="AC263">
        <v>2</v>
      </c>
      <c r="AD263">
        <v>2</v>
      </c>
      <c r="AE263">
        <v>2</v>
      </c>
      <c r="AF263">
        <v>2</v>
      </c>
      <c r="AG263">
        <v>2</v>
      </c>
      <c r="AH263">
        <v>3</v>
      </c>
      <c r="AI263">
        <v>2</v>
      </c>
      <c r="AJ263">
        <v>2</v>
      </c>
      <c r="AK263">
        <v>3</v>
      </c>
      <c r="AL263">
        <v>2</v>
      </c>
      <c r="AM263">
        <v>3</v>
      </c>
      <c r="AN263">
        <v>2</v>
      </c>
      <c r="AO263">
        <v>2</v>
      </c>
      <c r="AP263">
        <v>2</v>
      </c>
      <c r="AQ263">
        <v>2</v>
      </c>
      <c r="AR263">
        <v>2</v>
      </c>
      <c r="AS263">
        <v>2</v>
      </c>
      <c r="AT263">
        <v>2</v>
      </c>
      <c r="AU263">
        <v>3</v>
      </c>
      <c r="AV263">
        <v>2</v>
      </c>
      <c r="AW263">
        <v>3</v>
      </c>
      <c r="AX263">
        <v>2</v>
      </c>
      <c r="AY263">
        <v>2</v>
      </c>
      <c r="AZ263">
        <v>2</v>
      </c>
      <c r="BA263">
        <v>2</v>
      </c>
      <c r="BB263">
        <v>3</v>
      </c>
      <c r="BC263">
        <v>2</v>
      </c>
      <c r="BD263">
        <v>2</v>
      </c>
      <c r="BE263">
        <v>2</v>
      </c>
      <c r="BF263">
        <v>2</v>
      </c>
      <c r="BG263">
        <v>2</v>
      </c>
      <c r="BH263">
        <v>2</v>
      </c>
      <c r="BI263">
        <v>2</v>
      </c>
      <c r="BJ263">
        <v>2</v>
      </c>
      <c r="BK263">
        <v>3</v>
      </c>
      <c r="BL263">
        <v>2</v>
      </c>
      <c r="BM263">
        <v>2</v>
      </c>
      <c r="BN263">
        <v>2</v>
      </c>
      <c r="BO263">
        <v>2</v>
      </c>
      <c r="BP263">
        <v>3</v>
      </c>
      <c r="BQ263">
        <v>2</v>
      </c>
      <c r="BR263">
        <v>2</v>
      </c>
      <c r="BS263">
        <v>2</v>
      </c>
      <c r="BT263">
        <v>3</v>
      </c>
      <c r="BU263">
        <v>3</v>
      </c>
      <c r="BV263">
        <v>2</v>
      </c>
      <c r="BW263">
        <v>2</v>
      </c>
      <c r="BX263">
        <v>3</v>
      </c>
      <c r="BY263">
        <v>2</v>
      </c>
      <c r="BZ263">
        <v>1</v>
      </c>
      <c r="CA263">
        <v>3</v>
      </c>
      <c r="CB263">
        <v>2</v>
      </c>
      <c r="CC263">
        <v>2</v>
      </c>
      <c r="CD263">
        <v>2</v>
      </c>
      <c r="CE263">
        <v>2</v>
      </c>
      <c r="CF263">
        <v>2</v>
      </c>
      <c r="CG263">
        <v>2</v>
      </c>
      <c r="CH263">
        <v>2</v>
      </c>
      <c r="CI263">
        <v>2</v>
      </c>
      <c r="CJ263">
        <v>2</v>
      </c>
      <c r="CK263">
        <v>2</v>
      </c>
      <c r="CL263">
        <v>2</v>
      </c>
      <c r="CM263">
        <v>2</v>
      </c>
      <c r="CN263">
        <v>2</v>
      </c>
      <c r="CO263">
        <v>2</v>
      </c>
      <c r="CP263">
        <v>2</v>
      </c>
      <c r="CQ263">
        <v>2</v>
      </c>
      <c r="CR263">
        <v>2</v>
      </c>
      <c r="CS263">
        <v>2</v>
      </c>
    </row>
    <row r="264" spans="1:97" x14ac:dyDescent="0.3">
      <c r="A264" s="155">
        <v>960</v>
      </c>
      <c r="B264" t="s">
        <v>992</v>
      </c>
      <c r="D264" t="s">
        <v>2365</v>
      </c>
      <c r="E264" t="s">
        <v>2366</v>
      </c>
      <c r="F264" t="s">
        <v>2367</v>
      </c>
      <c r="G264" t="s">
        <v>2368</v>
      </c>
      <c r="H264" t="s">
        <v>2369</v>
      </c>
      <c r="I264" t="s">
        <v>2370</v>
      </c>
      <c r="J264" t="s">
        <v>2371</v>
      </c>
      <c r="K264" t="s">
        <v>2372</v>
      </c>
      <c r="L264" t="s">
        <v>2373</v>
      </c>
      <c r="M264" t="s">
        <v>2374</v>
      </c>
      <c r="N264" t="s">
        <v>2375</v>
      </c>
      <c r="O264" t="s">
        <v>2376</v>
      </c>
      <c r="P264" t="s">
        <v>2377</v>
      </c>
      <c r="Q264" t="s">
        <v>2378</v>
      </c>
      <c r="R264" t="s">
        <v>2379</v>
      </c>
      <c r="S264" t="s">
        <v>2380</v>
      </c>
      <c r="T264" t="s">
        <v>2381</v>
      </c>
      <c r="U264" t="s">
        <v>2382</v>
      </c>
      <c r="V264" t="s">
        <v>2383</v>
      </c>
      <c r="W264" t="s">
        <v>2384</v>
      </c>
      <c r="X264" t="s">
        <v>2385</v>
      </c>
      <c r="Y264" t="s">
        <v>2386</v>
      </c>
      <c r="Z264" t="s">
        <v>2387</v>
      </c>
      <c r="AA264" t="s">
        <v>2388</v>
      </c>
      <c r="AB264" t="s">
        <v>2389</v>
      </c>
      <c r="AC264" t="s">
        <v>2390</v>
      </c>
      <c r="AD264" t="s">
        <v>2391</v>
      </c>
      <c r="AE264" t="s">
        <v>2392</v>
      </c>
      <c r="AF264" t="s">
        <v>2393</v>
      </c>
      <c r="AG264" t="s">
        <v>2394</v>
      </c>
      <c r="AH264" t="s">
        <v>2395</v>
      </c>
      <c r="AI264" t="s">
        <v>2396</v>
      </c>
      <c r="AJ264" t="s">
        <v>2397</v>
      </c>
      <c r="AK264" t="s">
        <v>2398</v>
      </c>
      <c r="AL264" t="s">
        <v>2399</v>
      </c>
      <c r="AM264" t="s">
        <v>2400</v>
      </c>
      <c r="AN264" t="s">
        <v>2401</v>
      </c>
      <c r="AO264" t="s">
        <v>2402</v>
      </c>
      <c r="AP264" t="s">
        <v>2403</v>
      </c>
      <c r="AQ264" t="s">
        <v>2404</v>
      </c>
      <c r="AR264" t="s">
        <v>2405</v>
      </c>
      <c r="AS264" t="s">
        <v>2406</v>
      </c>
      <c r="AT264" t="s">
        <v>2407</v>
      </c>
      <c r="AU264" t="s">
        <v>2408</v>
      </c>
      <c r="AV264" t="s">
        <v>2409</v>
      </c>
      <c r="AW264" t="s">
        <v>2410</v>
      </c>
      <c r="AX264" t="s">
        <v>2411</v>
      </c>
      <c r="AY264" t="s">
        <v>2412</v>
      </c>
      <c r="AZ264" t="s">
        <v>2413</v>
      </c>
      <c r="BA264" t="s">
        <v>2414</v>
      </c>
      <c r="BB264" t="s">
        <v>2415</v>
      </c>
      <c r="BC264" t="s">
        <v>2416</v>
      </c>
      <c r="BD264" t="s">
        <v>2417</v>
      </c>
      <c r="BE264" t="s">
        <v>2418</v>
      </c>
      <c r="BF264" t="s">
        <v>2206</v>
      </c>
      <c r="BG264" t="s">
        <v>2419</v>
      </c>
      <c r="BH264" t="s">
        <v>2420</v>
      </c>
      <c r="BI264" t="s">
        <v>2421</v>
      </c>
      <c r="BJ264" t="s">
        <v>2422</v>
      </c>
      <c r="BK264" t="s">
        <v>2423</v>
      </c>
      <c r="BL264" t="s">
        <v>2424</v>
      </c>
      <c r="BM264" t="s">
        <v>2425</v>
      </c>
      <c r="BN264" t="s">
        <v>2426</v>
      </c>
      <c r="BO264" t="s">
        <v>2427</v>
      </c>
      <c r="BP264" t="s">
        <v>2428</v>
      </c>
      <c r="BQ264" t="s">
        <v>2429</v>
      </c>
      <c r="BR264" t="s">
        <v>2430</v>
      </c>
      <c r="BS264" t="s">
        <v>2431</v>
      </c>
      <c r="BT264" t="s">
        <v>2432</v>
      </c>
      <c r="BU264" t="s">
        <v>2433</v>
      </c>
      <c r="BV264" t="s">
        <v>2434</v>
      </c>
      <c r="BW264" t="s">
        <v>2435</v>
      </c>
      <c r="BX264" t="s">
        <v>2855</v>
      </c>
      <c r="BY264" t="s">
        <v>2436</v>
      </c>
      <c r="BZ264" t="s">
        <v>2437</v>
      </c>
      <c r="CA264" t="s">
        <v>2438</v>
      </c>
      <c r="CB264" t="s">
        <v>2439</v>
      </c>
      <c r="CC264" t="s">
        <v>2440</v>
      </c>
      <c r="CD264" t="s">
        <v>2441</v>
      </c>
      <c r="CE264" t="s">
        <v>2442</v>
      </c>
      <c r="CF264" t="s">
        <v>2443</v>
      </c>
      <c r="CG264" t="s">
        <v>2444</v>
      </c>
      <c r="CH264" t="s">
        <v>2445</v>
      </c>
      <c r="CI264" t="s">
        <v>2446</v>
      </c>
      <c r="CJ264" t="s">
        <v>2447</v>
      </c>
      <c r="CK264" t="s">
        <v>2448</v>
      </c>
      <c r="CL264" t="s">
        <v>2449</v>
      </c>
      <c r="CM264" t="s">
        <v>2450</v>
      </c>
      <c r="CN264" t="s">
        <v>2451</v>
      </c>
      <c r="CO264" t="s">
        <v>2452</v>
      </c>
      <c r="CP264" t="s">
        <v>2453</v>
      </c>
      <c r="CQ264" t="s">
        <v>2454</v>
      </c>
      <c r="CR264" t="s">
        <v>2455</v>
      </c>
      <c r="CS264" t="s">
        <v>2456</v>
      </c>
    </row>
    <row r="265" spans="1:97" x14ac:dyDescent="0.3">
      <c r="A265" s="155">
        <v>962</v>
      </c>
      <c r="B265" t="s">
        <v>993</v>
      </c>
      <c r="D265" t="s">
        <v>995</v>
      </c>
      <c r="E265" t="s">
        <v>2082</v>
      </c>
      <c r="F265" t="s">
        <v>995</v>
      </c>
      <c r="G265" t="s">
        <v>997</v>
      </c>
      <c r="H265" t="s">
        <v>995</v>
      </c>
      <c r="I265" t="s">
        <v>995</v>
      </c>
      <c r="J265" t="s">
        <v>994</v>
      </c>
      <c r="K265" t="s">
        <v>995</v>
      </c>
      <c r="L265" t="s">
        <v>997</v>
      </c>
      <c r="M265" t="s">
        <v>994</v>
      </c>
      <c r="N265" t="s">
        <v>998</v>
      </c>
      <c r="O265" t="s">
        <v>997</v>
      </c>
      <c r="P265" t="s">
        <v>2457</v>
      </c>
      <c r="Q265" t="s">
        <v>2458</v>
      </c>
      <c r="R265" t="s">
        <v>995</v>
      </c>
      <c r="S265" t="s">
        <v>2459</v>
      </c>
      <c r="T265" t="s">
        <v>2460</v>
      </c>
      <c r="U265" t="s">
        <v>995</v>
      </c>
      <c r="V265" t="s">
        <v>994</v>
      </c>
      <c r="W265" t="s">
        <v>994</v>
      </c>
      <c r="X265" t="s">
        <v>994</v>
      </c>
      <c r="Y265" t="s">
        <v>995</v>
      </c>
      <c r="Z265" t="s">
        <v>995</v>
      </c>
      <c r="AA265" t="s">
        <v>2037</v>
      </c>
      <c r="AB265" t="s">
        <v>2461</v>
      </c>
      <c r="AC265" t="s">
        <v>994</v>
      </c>
      <c r="AD265" t="s">
        <v>2462</v>
      </c>
      <c r="AE265" t="s">
        <v>2463</v>
      </c>
      <c r="AF265" t="s">
        <v>2464</v>
      </c>
      <c r="AG265" t="s">
        <v>994</v>
      </c>
      <c r="AH265" t="s">
        <v>2465</v>
      </c>
      <c r="AI265" t="s">
        <v>995</v>
      </c>
      <c r="AJ265" t="s">
        <v>995</v>
      </c>
      <c r="AK265" t="s">
        <v>995</v>
      </c>
      <c r="AL265" t="s">
        <v>2466</v>
      </c>
      <c r="AM265" t="s">
        <v>995</v>
      </c>
      <c r="AN265" t="s">
        <v>2467</v>
      </c>
      <c r="AO265" t="s">
        <v>2037</v>
      </c>
      <c r="AP265" t="s">
        <v>2467</v>
      </c>
      <c r="AQ265" t="s">
        <v>994</v>
      </c>
      <c r="AR265" t="s">
        <v>2468</v>
      </c>
      <c r="AS265" t="s">
        <v>997</v>
      </c>
      <c r="AT265" t="s">
        <v>995</v>
      </c>
      <c r="AU265" t="s">
        <v>995</v>
      </c>
      <c r="AV265" t="s">
        <v>996</v>
      </c>
      <c r="AW265" t="s">
        <v>2469</v>
      </c>
      <c r="AX265" t="s">
        <v>2470</v>
      </c>
      <c r="AY265" t="s">
        <v>2081</v>
      </c>
      <c r="AZ265" t="s">
        <v>995</v>
      </c>
      <c r="BA265" t="s">
        <v>1991</v>
      </c>
      <c r="BB265" t="s">
        <v>995</v>
      </c>
      <c r="BC265" t="s">
        <v>995</v>
      </c>
      <c r="BD265" t="s">
        <v>995</v>
      </c>
      <c r="BE265" t="s">
        <v>998</v>
      </c>
      <c r="BF265" t="s">
        <v>2283</v>
      </c>
      <c r="BG265" t="s">
        <v>2471</v>
      </c>
      <c r="BH265" t="s">
        <v>995</v>
      </c>
      <c r="BI265" t="s">
        <v>995</v>
      </c>
      <c r="BJ265" t="s">
        <v>2472</v>
      </c>
      <c r="BK265" t="s">
        <v>997</v>
      </c>
      <c r="BL265" t="s">
        <v>995</v>
      </c>
      <c r="BM265" t="s">
        <v>994</v>
      </c>
      <c r="BN265" t="s">
        <v>995</v>
      </c>
      <c r="BO265" t="s">
        <v>994</v>
      </c>
      <c r="BP265" t="s">
        <v>995</v>
      </c>
      <c r="BQ265" t="s">
        <v>995</v>
      </c>
      <c r="BR265" t="s">
        <v>995</v>
      </c>
      <c r="BS265" t="s">
        <v>994</v>
      </c>
      <c r="BT265" t="s">
        <v>2473</v>
      </c>
      <c r="BU265" t="s">
        <v>995</v>
      </c>
      <c r="BV265" t="s">
        <v>996</v>
      </c>
      <c r="BW265" t="s">
        <v>995</v>
      </c>
      <c r="BX265" t="s">
        <v>2856</v>
      </c>
      <c r="BY265" t="s">
        <v>2072</v>
      </c>
      <c r="BZ265" t="s">
        <v>994</v>
      </c>
      <c r="CA265" t="s">
        <v>995</v>
      </c>
      <c r="CB265" t="s">
        <v>994</v>
      </c>
      <c r="CC265" t="s">
        <v>994</v>
      </c>
      <c r="CD265" t="s">
        <v>994</v>
      </c>
      <c r="CE265" t="s">
        <v>1991</v>
      </c>
      <c r="CF265" t="s">
        <v>995</v>
      </c>
      <c r="CG265" t="s">
        <v>1136</v>
      </c>
      <c r="CH265" t="s">
        <v>997</v>
      </c>
      <c r="CI265" t="s">
        <v>995</v>
      </c>
      <c r="CJ265" t="s">
        <v>1991</v>
      </c>
      <c r="CK265" t="s">
        <v>994</v>
      </c>
      <c r="CL265" t="s">
        <v>995</v>
      </c>
      <c r="CM265" t="s">
        <v>995</v>
      </c>
      <c r="CN265" t="s">
        <v>997</v>
      </c>
      <c r="CO265" t="s">
        <v>994</v>
      </c>
      <c r="CP265" t="s">
        <v>994</v>
      </c>
      <c r="CQ265" t="s">
        <v>2037</v>
      </c>
      <c r="CR265" t="s">
        <v>995</v>
      </c>
      <c r="CS265" t="s">
        <v>994</v>
      </c>
    </row>
    <row r="266" spans="1:97" x14ac:dyDescent="0.3">
      <c r="A266" s="155">
        <v>964</v>
      </c>
      <c r="B266" t="s">
        <v>999</v>
      </c>
      <c r="D266" t="s">
        <v>2019</v>
      </c>
      <c r="E266" t="s">
        <v>2110</v>
      </c>
      <c r="F266" t="s">
        <v>1008</v>
      </c>
      <c r="G266" t="s">
        <v>1994</v>
      </c>
      <c r="H266" t="s">
        <v>2018</v>
      </c>
      <c r="I266" t="s">
        <v>2020</v>
      </c>
      <c r="J266" t="s">
        <v>1007</v>
      </c>
      <c r="K266" t="s">
        <v>2133</v>
      </c>
      <c r="L266" t="s">
        <v>2116</v>
      </c>
      <c r="M266" t="s">
        <v>1994</v>
      </c>
      <c r="N266" t="s">
        <v>2049</v>
      </c>
      <c r="O266" t="s">
        <v>2474</v>
      </c>
      <c r="P266" t="s">
        <v>1000</v>
      </c>
      <c r="Q266" t="s">
        <v>2118</v>
      </c>
      <c r="R266" t="s">
        <v>1007</v>
      </c>
      <c r="S266" t="s">
        <v>2123</v>
      </c>
      <c r="T266" t="s">
        <v>2016</v>
      </c>
      <c r="U266" t="s">
        <v>2017</v>
      </c>
      <c r="V266" t="s">
        <v>2475</v>
      </c>
      <c r="W266" t="s">
        <v>1001</v>
      </c>
      <c r="X266" t="s">
        <v>1007</v>
      </c>
      <c r="Y266" t="s">
        <v>2019</v>
      </c>
      <c r="Z266" t="s">
        <v>1994</v>
      </c>
      <c r="AA266" t="s">
        <v>2133</v>
      </c>
      <c r="AB266" t="s">
        <v>2476</v>
      </c>
      <c r="AC266" t="s">
        <v>2477</v>
      </c>
      <c r="AD266" t="s">
        <v>1005</v>
      </c>
      <c r="AE266" t="s">
        <v>2040</v>
      </c>
      <c r="AF266" t="s">
        <v>2040</v>
      </c>
      <c r="AG266" t="s">
        <v>2137</v>
      </c>
      <c r="AH266" t="s">
        <v>2117</v>
      </c>
      <c r="AI266" t="s">
        <v>1002</v>
      </c>
      <c r="AJ266" t="s">
        <v>2478</v>
      </c>
      <c r="AK266" t="s">
        <v>2122</v>
      </c>
      <c r="AL266" t="s">
        <v>1015</v>
      </c>
      <c r="AM266" t="s">
        <v>2076</v>
      </c>
      <c r="AN266" t="s">
        <v>2143</v>
      </c>
      <c r="AO266" t="s">
        <v>2132</v>
      </c>
      <c r="AP266" t="s">
        <v>2041</v>
      </c>
      <c r="AQ266" t="s">
        <v>1001</v>
      </c>
      <c r="AR266" t="s">
        <v>1005</v>
      </c>
      <c r="AS266" t="s">
        <v>2479</v>
      </c>
      <c r="AT266" t="s">
        <v>1007</v>
      </c>
      <c r="AU266" t="s">
        <v>1007</v>
      </c>
      <c r="AV266" t="s">
        <v>2119</v>
      </c>
      <c r="AW266" t="s">
        <v>2480</v>
      </c>
      <c r="AX266" t="s">
        <v>2474</v>
      </c>
      <c r="AY266" t="s">
        <v>2124</v>
      </c>
      <c r="AZ266" t="s">
        <v>2041</v>
      </c>
      <c r="BA266" t="s">
        <v>2481</v>
      </c>
      <c r="BB266" t="s">
        <v>2482</v>
      </c>
      <c r="BC266" t="s">
        <v>1006</v>
      </c>
      <c r="BD266" t="s">
        <v>2127</v>
      </c>
      <c r="BE266" t="s">
        <v>2474</v>
      </c>
      <c r="BF266" t="s">
        <v>2483</v>
      </c>
      <c r="BG266" t="s">
        <v>1006</v>
      </c>
      <c r="BH266" t="s">
        <v>2075</v>
      </c>
      <c r="BI266" t="s">
        <v>2484</v>
      </c>
      <c r="BJ266" t="s">
        <v>2128</v>
      </c>
      <c r="BK266" t="s">
        <v>1000</v>
      </c>
      <c r="BL266" t="s">
        <v>1005</v>
      </c>
      <c r="BM266" t="s">
        <v>1020</v>
      </c>
      <c r="BN266" t="s">
        <v>2047</v>
      </c>
      <c r="BO266" t="s">
        <v>2120</v>
      </c>
      <c r="BP266" t="s">
        <v>1007</v>
      </c>
      <c r="BQ266" t="s">
        <v>1007</v>
      </c>
      <c r="BR266" t="s">
        <v>2116</v>
      </c>
      <c r="BS266" t="s">
        <v>2018</v>
      </c>
      <c r="BT266" t="s">
        <v>1003</v>
      </c>
      <c r="BU266" t="s">
        <v>1006</v>
      </c>
      <c r="BV266" t="s">
        <v>1005</v>
      </c>
      <c r="BW266" t="s">
        <v>1007</v>
      </c>
      <c r="BX266" t="s">
        <v>2857</v>
      </c>
      <c r="BY266" t="s">
        <v>2485</v>
      </c>
      <c r="BZ266" t="s">
        <v>2040</v>
      </c>
      <c r="CA266" t="s">
        <v>2486</v>
      </c>
      <c r="CB266" t="s">
        <v>2487</v>
      </c>
      <c r="CC266" t="s">
        <v>2038</v>
      </c>
      <c r="CD266" t="s">
        <v>1015</v>
      </c>
      <c r="CE266" t="s">
        <v>2488</v>
      </c>
      <c r="CF266" t="s">
        <v>1003</v>
      </c>
      <c r="CG266" t="s">
        <v>2115</v>
      </c>
      <c r="CH266" t="s">
        <v>1001</v>
      </c>
      <c r="CI266" t="s">
        <v>1007</v>
      </c>
      <c r="CJ266" t="s">
        <v>1002</v>
      </c>
      <c r="CK266" t="s">
        <v>2019</v>
      </c>
      <c r="CL266" t="s">
        <v>2042</v>
      </c>
      <c r="CM266" t="s">
        <v>2067</v>
      </c>
      <c r="CN266" t="s">
        <v>1001</v>
      </c>
      <c r="CO266" t="s">
        <v>2018</v>
      </c>
      <c r="CP266" t="s">
        <v>2073</v>
      </c>
      <c r="CQ266" t="s">
        <v>1007</v>
      </c>
      <c r="CR266" t="s">
        <v>1004</v>
      </c>
      <c r="CS266" t="s">
        <v>2074</v>
      </c>
    </row>
    <row r="267" spans="1:97" x14ac:dyDescent="0.3">
      <c r="A267" s="155">
        <v>965</v>
      </c>
      <c r="B267" t="s">
        <v>1009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row>
    <row r="268" spans="1:97" x14ac:dyDescent="0.3">
      <c r="A268" s="155">
        <v>966</v>
      </c>
      <c r="B268" t="s">
        <v>1010</v>
      </c>
      <c r="D268" t="s">
        <v>2489</v>
      </c>
      <c r="E268" t="s">
        <v>2490</v>
      </c>
      <c r="F268" t="s">
        <v>2491</v>
      </c>
      <c r="G268" t="s">
        <v>2492</v>
      </c>
      <c r="H268" t="s">
        <v>2493</v>
      </c>
      <c r="I268" t="s">
        <v>2494</v>
      </c>
      <c r="J268" t="s">
        <v>2495</v>
      </c>
      <c r="K268" t="s">
        <v>2496</v>
      </c>
      <c r="L268" t="s">
        <v>2497</v>
      </c>
      <c r="M268" t="s">
        <v>2498</v>
      </c>
      <c r="N268" t="s">
        <v>2499</v>
      </c>
      <c r="O268" t="s">
        <v>2500</v>
      </c>
      <c r="P268" t="s">
        <v>2501</v>
      </c>
      <c r="Q268" t="s">
        <v>2502</v>
      </c>
      <c r="R268" t="s">
        <v>2503</v>
      </c>
      <c r="T268" t="s">
        <v>2504</v>
      </c>
      <c r="U268" t="s">
        <v>2505</v>
      </c>
      <c r="V268" t="s">
        <v>2506</v>
      </c>
      <c r="W268" t="s">
        <v>2507</v>
      </c>
      <c r="X268" t="s">
        <v>2508</v>
      </c>
      <c r="Y268" t="s">
        <v>2509</v>
      </c>
      <c r="Z268" t="s">
        <v>2510</v>
      </c>
      <c r="AA268" t="s">
        <v>2511</v>
      </c>
      <c r="AB268" t="s">
        <v>2512</v>
      </c>
      <c r="AC268" t="s">
        <v>2513</v>
      </c>
      <c r="AD268" t="s">
        <v>2514</v>
      </c>
      <c r="AE268" t="s">
        <v>2515</v>
      </c>
      <c r="AF268" t="s">
        <v>2516</v>
      </c>
      <c r="AG268" t="s">
        <v>2517</v>
      </c>
      <c r="AH268" t="s">
        <v>2518</v>
      </c>
      <c r="AI268" t="s">
        <v>2519</v>
      </c>
      <c r="AJ268" t="s">
        <v>2520</v>
      </c>
      <c r="AK268" t="s">
        <v>2521</v>
      </c>
      <c r="AL268" t="s">
        <v>2522</v>
      </c>
      <c r="AM268" t="s">
        <v>2523</v>
      </c>
      <c r="AN268" t="s">
        <v>2524</v>
      </c>
      <c r="AO268" t="s">
        <v>2525</v>
      </c>
      <c r="AP268" t="s">
        <v>2526</v>
      </c>
      <c r="AQ268" t="s">
        <v>2527</v>
      </c>
      <c r="AR268" t="s">
        <v>2528</v>
      </c>
      <c r="AS268" t="s">
        <v>2529</v>
      </c>
      <c r="AT268" t="s">
        <v>2530</v>
      </c>
      <c r="AU268" t="s">
        <v>2531</v>
      </c>
      <c r="AV268" t="s">
        <v>2532</v>
      </c>
      <c r="AW268" t="s">
        <v>2533</v>
      </c>
      <c r="AX268" t="s">
        <v>2534</v>
      </c>
      <c r="AY268" t="s">
        <v>2535</v>
      </c>
      <c r="AZ268" t="s">
        <v>2536</v>
      </c>
      <c r="BA268" t="s">
        <v>2537</v>
      </c>
      <c r="BB268" t="s">
        <v>2538</v>
      </c>
      <c r="BC268" t="s">
        <v>2539</v>
      </c>
      <c r="BD268" t="s">
        <v>2540</v>
      </c>
      <c r="BE268" t="s">
        <v>2541</v>
      </c>
      <c r="BF268" t="s">
        <v>2542</v>
      </c>
      <c r="BG268" t="s">
        <v>2543</v>
      </c>
      <c r="BH268" t="s">
        <v>2544</v>
      </c>
      <c r="BI268" t="s">
        <v>2545</v>
      </c>
      <c r="BJ268" t="s">
        <v>2546</v>
      </c>
      <c r="BK268" t="s">
        <v>2547</v>
      </c>
      <c r="BL268" t="s">
        <v>2548</v>
      </c>
      <c r="BM268" t="s">
        <v>2549</v>
      </c>
      <c r="BN268" t="s">
        <v>2550</v>
      </c>
      <c r="BO268" t="s">
        <v>2551</v>
      </c>
      <c r="BP268" t="s">
        <v>2552</v>
      </c>
      <c r="BQ268" t="s">
        <v>2553</v>
      </c>
      <c r="BR268" t="s">
        <v>2554</v>
      </c>
      <c r="BS268" t="s">
        <v>2555</v>
      </c>
      <c r="BT268" t="s">
        <v>2556</v>
      </c>
      <c r="BU268" t="s">
        <v>2557</v>
      </c>
      <c r="BV268" t="s">
        <v>2558</v>
      </c>
      <c r="BW268" t="s">
        <v>2559</v>
      </c>
      <c r="BX268" t="s">
        <v>2858</v>
      </c>
      <c r="BY268" t="s">
        <v>2560</v>
      </c>
      <c r="BZ268" t="s">
        <v>2561</v>
      </c>
      <c r="CA268" t="s">
        <v>2562</v>
      </c>
      <c r="CB268" t="s">
        <v>2563</v>
      </c>
      <c r="CC268" t="s">
        <v>2564</v>
      </c>
      <c r="CE268" t="s">
        <v>2565</v>
      </c>
      <c r="CF268" t="s">
        <v>2566</v>
      </c>
      <c r="CG268" t="s">
        <v>2567</v>
      </c>
      <c r="CH268" t="s">
        <v>2568</v>
      </c>
      <c r="CI268" t="s">
        <v>2569</v>
      </c>
      <c r="CJ268" t="s">
        <v>2570</v>
      </c>
      <c r="CK268" t="s">
        <v>2571</v>
      </c>
      <c r="CL268" t="s">
        <v>2572</v>
      </c>
      <c r="CM268" t="s">
        <v>2573</v>
      </c>
      <c r="CN268" t="s">
        <v>2574</v>
      </c>
      <c r="CO268" t="s">
        <v>2575</v>
      </c>
      <c r="CP268" t="s">
        <v>2576</v>
      </c>
      <c r="CQ268" t="s">
        <v>2577</v>
      </c>
      <c r="CR268" t="s">
        <v>2578</v>
      </c>
      <c r="CS268" t="s">
        <v>2579</v>
      </c>
    </row>
    <row r="269" spans="1:97" x14ac:dyDescent="0.3">
      <c r="A269" s="155">
        <v>968</v>
      </c>
      <c r="B269" t="s">
        <v>1011</v>
      </c>
      <c r="D269" t="s">
        <v>2580</v>
      </c>
      <c r="E269" t="s">
        <v>2581</v>
      </c>
      <c r="F269" t="s">
        <v>2582</v>
      </c>
      <c r="G269" t="s">
        <v>2583</v>
      </c>
      <c r="H269" t="s">
        <v>2584</v>
      </c>
      <c r="I269" t="s">
        <v>2585</v>
      </c>
      <c r="J269" t="s">
        <v>2586</v>
      </c>
      <c r="K269" t="s">
        <v>2587</v>
      </c>
      <c r="L269" t="s">
        <v>2588</v>
      </c>
      <c r="M269" t="s">
        <v>2589</v>
      </c>
      <c r="N269" t="s">
        <v>2590</v>
      </c>
      <c r="O269" t="s">
        <v>2591</v>
      </c>
      <c r="P269" t="s">
        <v>2592</v>
      </c>
      <c r="Q269" t="s">
        <v>2593</v>
      </c>
      <c r="R269" t="s">
        <v>2594</v>
      </c>
      <c r="S269" t="s">
        <v>2595</v>
      </c>
      <c r="T269" t="s">
        <v>2596</v>
      </c>
      <c r="U269" t="s">
        <v>2597</v>
      </c>
      <c r="V269" t="s">
        <v>2598</v>
      </c>
      <c r="W269" t="s">
        <v>2599</v>
      </c>
      <c r="X269" t="s">
        <v>2600</v>
      </c>
      <c r="Y269" t="s">
        <v>2601</v>
      </c>
      <c r="Z269" t="s">
        <v>2602</v>
      </c>
      <c r="AA269" t="s">
        <v>2603</v>
      </c>
      <c r="AB269" t="s">
        <v>2604</v>
      </c>
      <c r="AC269" t="s">
        <v>2605</v>
      </c>
      <c r="AD269" t="s">
        <v>2606</v>
      </c>
      <c r="AE269" t="s">
        <v>2607</v>
      </c>
      <c r="AF269" t="s">
        <v>2608</v>
      </c>
      <c r="AG269" t="s">
        <v>2609</v>
      </c>
      <c r="AH269" t="s">
        <v>2610</v>
      </c>
      <c r="AI269" t="s">
        <v>2611</v>
      </c>
      <c r="AJ269" t="s">
        <v>2612</v>
      </c>
      <c r="AK269" t="s">
        <v>2613</v>
      </c>
      <c r="AL269" t="s">
        <v>2614</v>
      </c>
      <c r="AM269" t="s">
        <v>2615</v>
      </c>
      <c r="AN269" t="s">
        <v>2616</v>
      </c>
      <c r="AO269" t="s">
        <v>2617</v>
      </c>
      <c r="AP269" t="s">
        <v>2618</v>
      </c>
      <c r="AQ269" t="s">
        <v>2619</v>
      </c>
      <c r="AR269" t="s">
        <v>2620</v>
      </c>
      <c r="AS269" t="s">
        <v>2621</v>
      </c>
      <c r="AT269" t="s">
        <v>2622</v>
      </c>
      <c r="AU269" t="s">
        <v>2623</v>
      </c>
      <c r="AV269" t="s">
        <v>2624</v>
      </c>
      <c r="AW269" t="s">
        <v>2625</v>
      </c>
      <c r="AX269" t="s">
        <v>2626</v>
      </c>
      <c r="AY269" t="s">
        <v>2627</v>
      </c>
      <c r="AZ269" t="s">
        <v>2628</v>
      </c>
      <c r="BA269" t="s">
        <v>2629</v>
      </c>
      <c r="BB269" t="s">
        <v>2630</v>
      </c>
      <c r="BC269" t="s">
        <v>2631</v>
      </c>
      <c r="BD269" t="s">
        <v>2632</v>
      </c>
      <c r="BE269" t="s">
        <v>2633</v>
      </c>
      <c r="BF269" t="s">
        <v>2634</v>
      </c>
      <c r="BG269" t="s">
        <v>2635</v>
      </c>
      <c r="BH269" t="s">
        <v>2636</v>
      </c>
      <c r="BI269" t="s">
        <v>2637</v>
      </c>
      <c r="BJ269" t="s">
        <v>2638</v>
      </c>
      <c r="BK269" t="s">
        <v>2639</v>
      </c>
      <c r="BL269" t="s">
        <v>2640</v>
      </c>
      <c r="BM269" t="s">
        <v>2641</v>
      </c>
      <c r="BN269" t="s">
        <v>2642</v>
      </c>
      <c r="BO269" t="s">
        <v>2643</v>
      </c>
      <c r="BP269" t="s">
        <v>2644</v>
      </c>
      <c r="BQ269" t="s">
        <v>2645</v>
      </c>
      <c r="BR269" t="s">
        <v>2646</v>
      </c>
      <c r="BS269" t="s">
        <v>2647</v>
      </c>
      <c r="BT269" t="s">
        <v>2648</v>
      </c>
      <c r="BU269" t="s">
        <v>2649</v>
      </c>
      <c r="BV269" t="s">
        <v>2650</v>
      </c>
      <c r="BW269" t="s">
        <v>2651</v>
      </c>
      <c r="BX269" t="s">
        <v>2859</v>
      </c>
      <c r="BY269" t="s">
        <v>2652</v>
      </c>
      <c r="BZ269" t="s">
        <v>2653</v>
      </c>
      <c r="CA269" t="s">
        <v>2654</v>
      </c>
      <c r="CB269" t="s">
        <v>2655</v>
      </c>
      <c r="CC269" t="s">
        <v>2656</v>
      </c>
      <c r="CD269" t="s">
        <v>2657</v>
      </c>
      <c r="CE269" t="s">
        <v>2658</v>
      </c>
      <c r="CF269" t="s">
        <v>2659</v>
      </c>
      <c r="CG269" t="s">
        <v>2660</v>
      </c>
      <c r="CH269" t="s">
        <v>2661</v>
      </c>
      <c r="CI269" t="s">
        <v>2662</v>
      </c>
      <c r="CJ269" t="s">
        <v>2663</v>
      </c>
      <c r="CK269" t="s">
        <v>2664</v>
      </c>
      <c r="CL269" t="s">
        <v>2665</v>
      </c>
      <c r="CM269" t="s">
        <v>2666</v>
      </c>
      <c r="CN269" t="s">
        <v>2667</v>
      </c>
      <c r="CO269" t="s">
        <v>2668</v>
      </c>
      <c r="CP269" t="s">
        <v>2669</v>
      </c>
      <c r="CQ269" t="s">
        <v>2670</v>
      </c>
      <c r="CR269" t="s">
        <v>2671</v>
      </c>
      <c r="CS269" t="s">
        <v>2672</v>
      </c>
    </row>
    <row r="270" spans="1:97" x14ac:dyDescent="0.3">
      <c r="A270" s="155">
        <v>973</v>
      </c>
      <c r="B270" t="s">
        <v>626</v>
      </c>
      <c r="D270">
        <v>0</v>
      </c>
      <c r="E270">
        <v>0</v>
      </c>
      <c r="F270">
        <v>0</v>
      </c>
      <c r="G270">
        <v>0</v>
      </c>
      <c r="H270">
        <v>0</v>
      </c>
      <c r="I270">
        <v>0</v>
      </c>
      <c r="J270">
        <v>0</v>
      </c>
      <c r="K270">
        <v>5</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2</v>
      </c>
      <c r="AF270">
        <v>0</v>
      </c>
      <c r="AG270">
        <v>0</v>
      </c>
      <c r="AH270">
        <v>0</v>
      </c>
      <c r="AI270">
        <v>0</v>
      </c>
      <c r="AJ270">
        <v>0</v>
      </c>
      <c r="AK270">
        <v>0</v>
      </c>
      <c r="AL270">
        <v>0</v>
      </c>
      <c r="AM270">
        <v>1</v>
      </c>
      <c r="AN270">
        <v>0</v>
      </c>
      <c r="AO270">
        <v>3</v>
      </c>
      <c r="AP270">
        <v>0</v>
      </c>
      <c r="AQ270">
        <v>0</v>
      </c>
      <c r="AR270">
        <v>0</v>
      </c>
      <c r="AS270">
        <v>0</v>
      </c>
      <c r="AT270">
        <v>0</v>
      </c>
      <c r="AU270">
        <v>0</v>
      </c>
      <c r="AV270">
        <v>0</v>
      </c>
      <c r="AW270">
        <v>0</v>
      </c>
      <c r="AX270">
        <v>0</v>
      </c>
      <c r="AY270">
        <v>4</v>
      </c>
      <c r="AZ270">
        <v>0</v>
      </c>
      <c r="BA270">
        <v>0</v>
      </c>
      <c r="BB270">
        <v>0</v>
      </c>
      <c r="BC270">
        <v>0</v>
      </c>
      <c r="BD270">
        <v>0</v>
      </c>
      <c r="BE270">
        <v>0</v>
      </c>
      <c r="BF270">
        <v>0</v>
      </c>
      <c r="BG270">
        <v>1</v>
      </c>
      <c r="BH270">
        <v>0</v>
      </c>
      <c r="BI270">
        <v>0</v>
      </c>
      <c r="BJ270">
        <v>0</v>
      </c>
      <c r="BK270">
        <v>0</v>
      </c>
      <c r="BL270">
        <v>0</v>
      </c>
      <c r="BM270">
        <v>0</v>
      </c>
      <c r="BN270">
        <v>0</v>
      </c>
      <c r="BO270">
        <v>0</v>
      </c>
      <c r="BP270">
        <v>0</v>
      </c>
      <c r="BQ270">
        <v>0</v>
      </c>
      <c r="BR270">
        <v>1</v>
      </c>
      <c r="BS270">
        <v>0</v>
      </c>
      <c r="BT270">
        <v>0</v>
      </c>
      <c r="BU270">
        <v>0</v>
      </c>
      <c r="BV270">
        <v>1</v>
      </c>
      <c r="BW270">
        <v>0</v>
      </c>
      <c r="BX270">
        <v>0</v>
      </c>
      <c r="BY270">
        <v>1</v>
      </c>
      <c r="BZ270">
        <v>0</v>
      </c>
      <c r="CA270">
        <v>0</v>
      </c>
      <c r="CB270">
        <v>2</v>
      </c>
      <c r="CC270">
        <v>0</v>
      </c>
      <c r="CD270">
        <v>0</v>
      </c>
      <c r="CE270">
        <v>0</v>
      </c>
      <c r="CF270">
        <v>0</v>
      </c>
      <c r="CG270">
        <v>0</v>
      </c>
      <c r="CH270">
        <v>2</v>
      </c>
      <c r="CI270">
        <v>0</v>
      </c>
      <c r="CJ270">
        <v>0</v>
      </c>
      <c r="CK270">
        <v>0</v>
      </c>
      <c r="CL270">
        <v>0</v>
      </c>
      <c r="CM270">
        <v>0</v>
      </c>
      <c r="CN270">
        <v>0</v>
      </c>
      <c r="CO270">
        <v>0</v>
      </c>
      <c r="CP270">
        <v>0</v>
      </c>
      <c r="CQ270">
        <v>0</v>
      </c>
      <c r="CR270">
        <v>0</v>
      </c>
      <c r="CS270">
        <v>0</v>
      </c>
    </row>
    <row r="271" spans="1:97" x14ac:dyDescent="0.3">
      <c r="A271" s="155">
        <v>974</v>
      </c>
      <c r="B271" t="s">
        <v>1012</v>
      </c>
      <c r="D271">
        <v>2</v>
      </c>
      <c r="E271">
        <v>2</v>
      </c>
      <c r="F271">
        <v>2</v>
      </c>
      <c r="G271">
        <v>3</v>
      </c>
      <c r="H271">
        <v>2</v>
      </c>
      <c r="I271">
        <v>2</v>
      </c>
      <c r="J271">
        <v>2</v>
      </c>
      <c r="K271">
        <v>2</v>
      </c>
      <c r="L271">
        <v>2</v>
      </c>
      <c r="M271">
        <v>2</v>
      </c>
      <c r="N271">
        <v>2</v>
      </c>
      <c r="O271">
        <v>2</v>
      </c>
      <c r="P271">
        <v>2</v>
      </c>
      <c r="Q271">
        <v>2</v>
      </c>
      <c r="R271">
        <v>3</v>
      </c>
      <c r="S271">
        <v>3</v>
      </c>
      <c r="T271">
        <v>3</v>
      </c>
      <c r="U271">
        <v>3</v>
      </c>
      <c r="V271">
        <v>3</v>
      </c>
      <c r="W271">
        <v>2</v>
      </c>
      <c r="X271">
        <v>2</v>
      </c>
      <c r="Y271">
        <v>3</v>
      </c>
      <c r="Z271">
        <v>2</v>
      </c>
      <c r="AA271">
        <v>2</v>
      </c>
      <c r="AB271">
        <v>3</v>
      </c>
      <c r="AC271">
        <v>3</v>
      </c>
      <c r="AD271">
        <v>2</v>
      </c>
      <c r="AE271">
        <v>2</v>
      </c>
      <c r="AF271">
        <v>2</v>
      </c>
      <c r="AG271">
        <v>2</v>
      </c>
      <c r="AH271">
        <v>3</v>
      </c>
      <c r="AI271">
        <v>2</v>
      </c>
      <c r="AJ271">
        <v>3</v>
      </c>
      <c r="AK271">
        <v>2</v>
      </c>
      <c r="AL271">
        <v>2</v>
      </c>
      <c r="AM271">
        <v>2</v>
      </c>
      <c r="AN271">
        <v>2</v>
      </c>
      <c r="AO271">
        <v>2</v>
      </c>
      <c r="AP271">
        <v>2</v>
      </c>
      <c r="AQ271">
        <v>2</v>
      </c>
      <c r="AR271">
        <v>2</v>
      </c>
      <c r="AS271">
        <v>2</v>
      </c>
      <c r="AT271">
        <v>2</v>
      </c>
      <c r="AU271">
        <v>3</v>
      </c>
      <c r="AV271">
        <v>2</v>
      </c>
      <c r="AW271">
        <v>3</v>
      </c>
      <c r="AX271">
        <v>2</v>
      </c>
      <c r="AY271">
        <v>2</v>
      </c>
      <c r="AZ271">
        <v>2</v>
      </c>
      <c r="BA271">
        <v>2</v>
      </c>
      <c r="BB271">
        <v>2</v>
      </c>
      <c r="BC271">
        <v>2</v>
      </c>
      <c r="BD271">
        <v>3</v>
      </c>
      <c r="BE271">
        <v>2</v>
      </c>
      <c r="BF271">
        <v>2</v>
      </c>
      <c r="BG271">
        <v>2</v>
      </c>
      <c r="BH271">
        <v>3</v>
      </c>
      <c r="BI271">
        <v>2</v>
      </c>
      <c r="BJ271">
        <v>2</v>
      </c>
      <c r="BK271">
        <v>3</v>
      </c>
      <c r="BL271">
        <v>2</v>
      </c>
      <c r="BM271">
        <v>2</v>
      </c>
      <c r="BN271">
        <v>2</v>
      </c>
      <c r="BO271">
        <v>2</v>
      </c>
      <c r="BP271">
        <v>3</v>
      </c>
      <c r="BQ271">
        <v>2</v>
      </c>
      <c r="BR271">
        <v>2</v>
      </c>
      <c r="BS271">
        <v>2</v>
      </c>
      <c r="BT271">
        <v>2</v>
      </c>
      <c r="BU271">
        <v>3</v>
      </c>
      <c r="BV271">
        <v>2</v>
      </c>
      <c r="BW271">
        <v>2</v>
      </c>
      <c r="BX271">
        <v>1</v>
      </c>
      <c r="BY271">
        <v>2</v>
      </c>
      <c r="BZ271">
        <v>2</v>
      </c>
      <c r="CA271">
        <v>2</v>
      </c>
      <c r="CB271">
        <v>2</v>
      </c>
      <c r="CC271">
        <v>2</v>
      </c>
      <c r="CD271">
        <v>2</v>
      </c>
      <c r="CE271">
        <v>2</v>
      </c>
      <c r="CF271">
        <v>2</v>
      </c>
      <c r="CG271">
        <v>2</v>
      </c>
      <c r="CH271">
        <v>2</v>
      </c>
      <c r="CI271">
        <v>2</v>
      </c>
      <c r="CJ271">
        <v>2</v>
      </c>
      <c r="CK271">
        <v>2</v>
      </c>
      <c r="CL271">
        <v>2</v>
      </c>
      <c r="CM271">
        <v>2</v>
      </c>
      <c r="CN271">
        <v>2</v>
      </c>
      <c r="CO271">
        <v>2</v>
      </c>
      <c r="CP271">
        <v>2</v>
      </c>
      <c r="CQ271">
        <v>3</v>
      </c>
      <c r="CR271">
        <v>2</v>
      </c>
      <c r="CS271">
        <v>2</v>
      </c>
    </row>
    <row r="272" spans="1:97" x14ac:dyDescent="0.3">
      <c r="A272" s="155">
        <v>975</v>
      </c>
      <c r="B272" t="s">
        <v>606</v>
      </c>
      <c r="D272">
        <v>2</v>
      </c>
      <c r="E272">
        <v>1</v>
      </c>
      <c r="F272">
        <v>1</v>
      </c>
      <c r="G272">
        <v>1</v>
      </c>
      <c r="H272">
        <v>1</v>
      </c>
      <c r="I272">
        <v>2</v>
      </c>
      <c r="J272">
        <v>1</v>
      </c>
      <c r="K272">
        <v>1</v>
      </c>
      <c r="L272">
        <v>1</v>
      </c>
      <c r="M272">
        <v>2</v>
      </c>
      <c r="N272">
        <v>1</v>
      </c>
      <c r="O272">
        <v>1</v>
      </c>
      <c r="P272">
        <v>1</v>
      </c>
      <c r="Q272">
        <v>1</v>
      </c>
      <c r="R272">
        <v>1</v>
      </c>
      <c r="S272">
        <v>2</v>
      </c>
      <c r="T272">
        <v>1</v>
      </c>
      <c r="U272">
        <v>1</v>
      </c>
      <c r="V272">
        <v>2</v>
      </c>
      <c r="W272">
        <v>1</v>
      </c>
      <c r="X272">
        <v>2</v>
      </c>
      <c r="Y272">
        <v>2</v>
      </c>
      <c r="Z272">
        <v>2</v>
      </c>
      <c r="AA272">
        <v>1</v>
      </c>
      <c r="AB272">
        <v>1</v>
      </c>
      <c r="AC272">
        <v>1</v>
      </c>
      <c r="AD272">
        <v>1</v>
      </c>
      <c r="AE272">
        <v>1</v>
      </c>
      <c r="AF272">
        <v>1</v>
      </c>
      <c r="AG272">
        <v>2</v>
      </c>
      <c r="AH272">
        <v>2</v>
      </c>
      <c r="AI272">
        <v>2</v>
      </c>
      <c r="AJ272">
        <v>2</v>
      </c>
      <c r="AK272">
        <v>1</v>
      </c>
      <c r="AL272">
        <v>1</v>
      </c>
      <c r="AM272">
        <v>1</v>
      </c>
      <c r="AN272">
        <v>1</v>
      </c>
      <c r="AO272">
        <v>1</v>
      </c>
      <c r="AP272">
        <v>1</v>
      </c>
      <c r="AQ272">
        <v>1</v>
      </c>
      <c r="AR272">
        <v>1</v>
      </c>
      <c r="AS272">
        <v>2</v>
      </c>
      <c r="AT272">
        <v>1</v>
      </c>
      <c r="AU272">
        <v>1</v>
      </c>
      <c r="AV272">
        <v>1</v>
      </c>
      <c r="AW272">
        <v>1</v>
      </c>
      <c r="AX272">
        <v>1</v>
      </c>
      <c r="AY272">
        <v>1</v>
      </c>
      <c r="AZ272">
        <v>1</v>
      </c>
      <c r="BA272">
        <v>1</v>
      </c>
      <c r="BB272">
        <v>1</v>
      </c>
      <c r="BC272">
        <v>2</v>
      </c>
      <c r="BD272">
        <v>2</v>
      </c>
      <c r="BE272">
        <v>1</v>
      </c>
      <c r="BF272">
        <v>1</v>
      </c>
      <c r="BG272">
        <v>1</v>
      </c>
      <c r="BH272">
        <v>1</v>
      </c>
      <c r="BI272">
        <v>2</v>
      </c>
      <c r="BJ272">
        <v>2</v>
      </c>
      <c r="BK272">
        <v>1</v>
      </c>
      <c r="BL272">
        <v>1</v>
      </c>
      <c r="BM272">
        <v>1</v>
      </c>
      <c r="BN272">
        <v>1</v>
      </c>
      <c r="BO272">
        <v>2</v>
      </c>
      <c r="BP272">
        <v>2</v>
      </c>
      <c r="BQ272">
        <v>1</v>
      </c>
      <c r="BR272">
        <v>1</v>
      </c>
      <c r="BS272">
        <v>2</v>
      </c>
      <c r="BT272">
        <v>1</v>
      </c>
      <c r="BU272">
        <v>2</v>
      </c>
      <c r="BV272">
        <v>1</v>
      </c>
      <c r="BW272">
        <v>1</v>
      </c>
      <c r="BX272">
        <v>1</v>
      </c>
      <c r="BY272">
        <v>1</v>
      </c>
      <c r="BZ272">
        <v>1</v>
      </c>
      <c r="CA272">
        <v>1</v>
      </c>
      <c r="CB272">
        <v>1</v>
      </c>
      <c r="CC272">
        <v>1</v>
      </c>
      <c r="CD272">
        <v>2</v>
      </c>
      <c r="CE272">
        <v>2</v>
      </c>
      <c r="CF272">
        <v>2</v>
      </c>
      <c r="CG272">
        <v>1</v>
      </c>
      <c r="CH272">
        <v>1</v>
      </c>
      <c r="CI272">
        <v>2</v>
      </c>
      <c r="CJ272">
        <v>1</v>
      </c>
      <c r="CK272">
        <v>2</v>
      </c>
      <c r="CL272">
        <v>1</v>
      </c>
      <c r="CM272">
        <v>2</v>
      </c>
      <c r="CN272">
        <v>2</v>
      </c>
      <c r="CO272">
        <v>1</v>
      </c>
      <c r="CP272">
        <v>1</v>
      </c>
      <c r="CQ272">
        <v>1</v>
      </c>
      <c r="CR272">
        <v>1</v>
      </c>
      <c r="CS272">
        <v>1</v>
      </c>
    </row>
    <row r="273" spans="1:97" x14ac:dyDescent="0.3">
      <c r="A273" s="155">
        <v>976</v>
      </c>
      <c r="B273" t="s">
        <v>627</v>
      </c>
      <c r="D273">
        <v>3</v>
      </c>
      <c r="E273">
        <v>3</v>
      </c>
      <c r="F273">
        <v>1</v>
      </c>
      <c r="G273">
        <v>1</v>
      </c>
      <c r="H273">
        <v>1</v>
      </c>
      <c r="I273">
        <v>3</v>
      </c>
      <c r="J273">
        <v>1</v>
      </c>
      <c r="K273">
        <v>1</v>
      </c>
      <c r="L273">
        <v>1</v>
      </c>
      <c r="M273">
        <v>3</v>
      </c>
      <c r="N273">
        <v>1</v>
      </c>
      <c r="O273">
        <v>1</v>
      </c>
      <c r="P273">
        <v>1</v>
      </c>
      <c r="Q273">
        <v>1</v>
      </c>
      <c r="R273">
        <v>1</v>
      </c>
      <c r="S273">
        <v>3</v>
      </c>
      <c r="T273">
        <v>1</v>
      </c>
      <c r="U273">
        <v>1</v>
      </c>
      <c r="V273">
        <v>3</v>
      </c>
      <c r="W273">
        <v>1</v>
      </c>
      <c r="X273">
        <v>3</v>
      </c>
      <c r="Y273">
        <v>3</v>
      </c>
      <c r="Z273">
        <v>3</v>
      </c>
      <c r="AA273">
        <v>1</v>
      </c>
      <c r="AB273">
        <v>1</v>
      </c>
      <c r="AC273">
        <v>1</v>
      </c>
      <c r="AD273">
        <v>1</v>
      </c>
      <c r="AE273">
        <v>1</v>
      </c>
      <c r="AF273">
        <v>1</v>
      </c>
      <c r="AG273">
        <v>3</v>
      </c>
      <c r="AH273">
        <v>3</v>
      </c>
      <c r="AI273">
        <v>3</v>
      </c>
      <c r="AJ273">
        <v>3</v>
      </c>
      <c r="AK273">
        <v>1</v>
      </c>
      <c r="AL273">
        <v>1</v>
      </c>
      <c r="AM273">
        <v>1</v>
      </c>
      <c r="AN273">
        <v>1</v>
      </c>
      <c r="AO273">
        <v>1</v>
      </c>
      <c r="AP273">
        <v>1</v>
      </c>
      <c r="AQ273">
        <v>1</v>
      </c>
      <c r="AR273">
        <v>1</v>
      </c>
      <c r="AS273">
        <v>3</v>
      </c>
      <c r="AT273">
        <v>1</v>
      </c>
      <c r="AU273">
        <v>1</v>
      </c>
      <c r="AV273">
        <v>1</v>
      </c>
      <c r="AW273">
        <v>1</v>
      </c>
      <c r="AX273">
        <v>1</v>
      </c>
      <c r="AY273">
        <v>1</v>
      </c>
      <c r="AZ273">
        <v>1</v>
      </c>
      <c r="BA273">
        <v>1</v>
      </c>
      <c r="BB273">
        <v>1</v>
      </c>
      <c r="BC273">
        <v>3</v>
      </c>
      <c r="BD273">
        <v>1</v>
      </c>
      <c r="BE273">
        <v>1</v>
      </c>
      <c r="BF273">
        <v>1</v>
      </c>
      <c r="BG273">
        <v>1</v>
      </c>
      <c r="BH273">
        <v>1</v>
      </c>
      <c r="BI273">
        <v>3</v>
      </c>
      <c r="BJ273">
        <v>3</v>
      </c>
      <c r="BK273">
        <v>1</v>
      </c>
      <c r="BL273">
        <v>1</v>
      </c>
      <c r="BM273">
        <v>1</v>
      </c>
      <c r="BN273">
        <v>1</v>
      </c>
      <c r="BO273">
        <v>3</v>
      </c>
      <c r="BP273">
        <v>1</v>
      </c>
      <c r="BQ273">
        <v>1</v>
      </c>
      <c r="BR273">
        <v>1</v>
      </c>
      <c r="BS273">
        <v>3</v>
      </c>
      <c r="BT273">
        <v>1</v>
      </c>
      <c r="BU273">
        <v>3</v>
      </c>
      <c r="BV273">
        <v>1</v>
      </c>
      <c r="BW273">
        <v>1</v>
      </c>
      <c r="BX273">
        <v>1</v>
      </c>
      <c r="BY273">
        <v>1</v>
      </c>
      <c r="BZ273">
        <v>1</v>
      </c>
      <c r="CA273">
        <v>1</v>
      </c>
      <c r="CB273">
        <v>1</v>
      </c>
      <c r="CC273">
        <v>1</v>
      </c>
      <c r="CD273">
        <v>3</v>
      </c>
      <c r="CE273">
        <v>3</v>
      </c>
      <c r="CF273">
        <v>3</v>
      </c>
      <c r="CG273">
        <v>1</v>
      </c>
      <c r="CH273">
        <v>1</v>
      </c>
      <c r="CI273">
        <v>3</v>
      </c>
      <c r="CJ273">
        <v>1</v>
      </c>
      <c r="CK273">
        <v>3</v>
      </c>
      <c r="CL273">
        <v>1</v>
      </c>
      <c r="CM273">
        <v>3</v>
      </c>
      <c r="CN273">
        <v>1</v>
      </c>
      <c r="CO273">
        <v>1</v>
      </c>
      <c r="CP273">
        <v>1</v>
      </c>
      <c r="CQ273">
        <v>1</v>
      </c>
      <c r="CR273">
        <v>1</v>
      </c>
      <c r="CS273">
        <v>1</v>
      </c>
    </row>
    <row r="274" spans="1:97" x14ac:dyDescent="0.3">
      <c r="A274" s="155">
        <v>977</v>
      </c>
      <c r="B274" t="s">
        <v>1013</v>
      </c>
      <c r="D274">
        <v>1</v>
      </c>
      <c r="E274">
        <v>1</v>
      </c>
      <c r="F274" s="581">
        <v>1</v>
      </c>
      <c r="G274">
        <v>1</v>
      </c>
      <c r="H274">
        <v>1</v>
      </c>
      <c r="I274">
        <v>1</v>
      </c>
      <c r="J274">
        <v>1</v>
      </c>
      <c r="K274">
        <v>1</v>
      </c>
      <c r="L274">
        <v>1</v>
      </c>
      <c r="M274">
        <v>1</v>
      </c>
      <c r="N274">
        <v>1</v>
      </c>
      <c r="O274">
        <v>1</v>
      </c>
      <c r="P274">
        <v>1</v>
      </c>
      <c r="Q274">
        <v>2</v>
      </c>
      <c r="R274">
        <v>1</v>
      </c>
      <c r="S274">
        <v>1</v>
      </c>
      <c r="T274">
        <v>1</v>
      </c>
      <c r="U274">
        <v>1</v>
      </c>
      <c r="V274">
        <v>1</v>
      </c>
      <c r="W274">
        <v>1</v>
      </c>
      <c r="X274">
        <v>1</v>
      </c>
      <c r="Y274">
        <v>1</v>
      </c>
      <c r="Z274">
        <v>1</v>
      </c>
      <c r="AA274">
        <v>1</v>
      </c>
      <c r="AB274">
        <v>1</v>
      </c>
      <c r="AC274">
        <v>1</v>
      </c>
      <c r="AD274">
        <v>1</v>
      </c>
      <c r="AE274">
        <v>1</v>
      </c>
      <c r="AF274">
        <v>1</v>
      </c>
      <c r="AG274">
        <v>1</v>
      </c>
      <c r="AH274">
        <v>1</v>
      </c>
      <c r="AI274">
        <v>1</v>
      </c>
      <c r="AJ274">
        <v>1</v>
      </c>
      <c r="AK274">
        <v>1</v>
      </c>
      <c r="AL274">
        <v>1</v>
      </c>
      <c r="AM274">
        <v>1</v>
      </c>
      <c r="AN274">
        <v>1</v>
      </c>
      <c r="AO274">
        <v>2</v>
      </c>
      <c r="AP274">
        <v>2</v>
      </c>
      <c r="AQ274">
        <v>1</v>
      </c>
      <c r="AR274">
        <v>1</v>
      </c>
      <c r="AS274">
        <v>1</v>
      </c>
      <c r="AT274">
        <v>1</v>
      </c>
      <c r="AU274">
        <v>1</v>
      </c>
      <c r="AV274">
        <v>1</v>
      </c>
      <c r="AW274">
        <v>2</v>
      </c>
      <c r="AX274">
        <v>1</v>
      </c>
      <c r="AY274">
        <v>1</v>
      </c>
      <c r="AZ274">
        <v>2</v>
      </c>
      <c r="BA274">
        <v>1</v>
      </c>
      <c r="BB274">
        <v>1</v>
      </c>
      <c r="BC274">
        <v>1</v>
      </c>
      <c r="BD274">
        <v>1</v>
      </c>
      <c r="BE274">
        <v>1</v>
      </c>
      <c r="BF274">
        <v>1</v>
      </c>
      <c r="BG274">
        <v>1</v>
      </c>
      <c r="BH274">
        <v>1</v>
      </c>
      <c r="BI274">
        <v>1</v>
      </c>
      <c r="BJ274">
        <v>1</v>
      </c>
      <c r="BK274">
        <v>2</v>
      </c>
      <c r="BL274">
        <v>1</v>
      </c>
      <c r="BM274">
        <v>1</v>
      </c>
      <c r="BN274">
        <v>1</v>
      </c>
      <c r="BO274">
        <v>1</v>
      </c>
      <c r="BP274">
        <v>1</v>
      </c>
      <c r="BQ274">
        <v>1</v>
      </c>
      <c r="BR274">
        <v>1</v>
      </c>
      <c r="BS274">
        <v>1</v>
      </c>
      <c r="BT274">
        <v>1</v>
      </c>
      <c r="BU274">
        <v>1</v>
      </c>
      <c r="BV274">
        <v>1</v>
      </c>
      <c r="BW274">
        <v>1</v>
      </c>
      <c r="BX274">
        <v>1</v>
      </c>
      <c r="BY274">
        <v>1</v>
      </c>
      <c r="BZ274">
        <v>1</v>
      </c>
      <c r="CA274">
        <v>2</v>
      </c>
      <c r="CB274">
        <v>1</v>
      </c>
      <c r="CC274">
        <v>1</v>
      </c>
      <c r="CD274">
        <v>1</v>
      </c>
      <c r="CE274">
        <v>1</v>
      </c>
      <c r="CF274">
        <v>1</v>
      </c>
      <c r="CG274">
        <v>1</v>
      </c>
      <c r="CH274">
        <v>1</v>
      </c>
      <c r="CI274">
        <v>1</v>
      </c>
      <c r="CJ274">
        <v>1</v>
      </c>
      <c r="CK274">
        <v>1</v>
      </c>
      <c r="CL274">
        <v>1</v>
      </c>
      <c r="CM274">
        <v>1</v>
      </c>
      <c r="CN274">
        <v>1</v>
      </c>
      <c r="CO274">
        <v>2</v>
      </c>
      <c r="CP274">
        <v>1</v>
      </c>
      <c r="CQ274">
        <v>2</v>
      </c>
      <c r="CR274">
        <v>1</v>
      </c>
      <c r="CS274">
        <v>1</v>
      </c>
    </row>
    <row r="275" spans="1:97" x14ac:dyDescent="0.3">
      <c r="A275" s="155">
        <v>978</v>
      </c>
      <c r="B275" t="s">
        <v>593</v>
      </c>
      <c r="D275">
        <v>2</v>
      </c>
      <c r="E275">
        <v>2</v>
      </c>
      <c r="F275">
        <v>1</v>
      </c>
      <c r="G275">
        <v>2</v>
      </c>
      <c r="H275">
        <v>2</v>
      </c>
      <c r="I275">
        <v>2</v>
      </c>
      <c r="J275">
        <v>2</v>
      </c>
      <c r="K275">
        <v>1</v>
      </c>
      <c r="L275">
        <v>2</v>
      </c>
      <c r="M275">
        <v>2</v>
      </c>
      <c r="N275">
        <v>2</v>
      </c>
      <c r="O275">
        <v>2</v>
      </c>
      <c r="P275">
        <v>2</v>
      </c>
      <c r="Q275">
        <v>2</v>
      </c>
      <c r="R275">
        <v>2</v>
      </c>
      <c r="S275">
        <v>2</v>
      </c>
      <c r="T275">
        <v>2</v>
      </c>
      <c r="U275">
        <v>2</v>
      </c>
      <c r="V275">
        <v>2</v>
      </c>
      <c r="W275">
        <v>2</v>
      </c>
      <c r="X275">
        <v>2</v>
      </c>
      <c r="Y275">
        <v>2</v>
      </c>
      <c r="Z275">
        <v>2</v>
      </c>
      <c r="AA275">
        <v>1</v>
      </c>
      <c r="AB275">
        <v>2</v>
      </c>
      <c r="AC275">
        <v>2</v>
      </c>
      <c r="AD275">
        <v>2</v>
      </c>
      <c r="AE275">
        <v>2</v>
      </c>
      <c r="AF275">
        <v>2</v>
      </c>
      <c r="AG275">
        <v>2</v>
      </c>
      <c r="AH275">
        <v>2</v>
      </c>
      <c r="AI275">
        <v>2</v>
      </c>
      <c r="AJ275">
        <v>2</v>
      </c>
      <c r="AK275">
        <v>2</v>
      </c>
      <c r="AL275">
        <v>2</v>
      </c>
      <c r="AM275">
        <v>0</v>
      </c>
      <c r="AN275">
        <v>2</v>
      </c>
      <c r="AO275">
        <v>1</v>
      </c>
      <c r="AP275">
        <v>2</v>
      </c>
      <c r="AQ275">
        <v>2</v>
      </c>
      <c r="AR275">
        <v>1</v>
      </c>
      <c r="AS275">
        <v>2</v>
      </c>
      <c r="AT275">
        <v>2</v>
      </c>
      <c r="AU275">
        <v>2</v>
      </c>
      <c r="AV275">
        <v>2</v>
      </c>
      <c r="AW275">
        <v>1</v>
      </c>
      <c r="AX275">
        <v>2</v>
      </c>
      <c r="AY275">
        <v>2</v>
      </c>
      <c r="AZ275">
        <v>1</v>
      </c>
      <c r="BA275">
        <v>2</v>
      </c>
      <c r="BB275">
        <v>2</v>
      </c>
      <c r="BC275">
        <v>2</v>
      </c>
      <c r="BD275">
        <v>2</v>
      </c>
      <c r="BE275">
        <v>2</v>
      </c>
      <c r="BF275">
        <v>2</v>
      </c>
      <c r="BG275">
        <v>2</v>
      </c>
      <c r="BH275">
        <v>2</v>
      </c>
      <c r="BI275">
        <v>2</v>
      </c>
      <c r="BJ275">
        <v>2</v>
      </c>
      <c r="BK275">
        <v>2</v>
      </c>
      <c r="BL275">
        <v>2</v>
      </c>
      <c r="BM275">
        <v>1</v>
      </c>
      <c r="BN275">
        <v>1</v>
      </c>
      <c r="BO275">
        <v>2</v>
      </c>
      <c r="BP275">
        <v>2</v>
      </c>
      <c r="BQ275">
        <v>2</v>
      </c>
      <c r="BR275">
        <v>2</v>
      </c>
      <c r="BS275">
        <v>2</v>
      </c>
      <c r="BT275">
        <v>2</v>
      </c>
      <c r="BU275">
        <v>2</v>
      </c>
      <c r="BV275">
        <v>1</v>
      </c>
      <c r="BW275">
        <v>2</v>
      </c>
      <c r="BX275">
        <v>2</v>
      </c>
      <c r="BY275">
        <v>1</v>
      </c>
      <c r="BZ275">
        <v>2</v>
      </c>
      <c r="CA275">
        <v>2</v>
      </c>
      <c r="CB275">
        <v>1</v>
      </c>
      <c r="CC275">
        <v>2</v>
      </c>
      <c r="CD275">
        <v>2</v>
      </c>
      <c r="CE275">
        <v>2</v>
      </c>
      <c r="CF275">
        <v>2</v>
      </c>
      <c r="CG275">
        <v>2</v>
      </c>
      <c r="CH275">
        <v>2</v>
      </c>
      <c r="CI275">
        <v>2</v>
      </c>
      <c r="CJ275">
        <v>1</v>
      </c>
      <c r="CK275">
        <v>2</v>
      </c>
      <c r="CL275">
        <v>2</v>
      </c>
      <c r="CM275">
        <v>2</v>
      </c>
      <c r="CN275">
        <v>2</v>
      </c>
      <c r="CO275">
        <v>2</v>
      </c>
      <c r="CP275">
        <v>2</v>
      </c>
      <c r="CQ275">
        <v>2</v>
      </c>
      <c r="CR275">
        <v>2</v>
      </c>
      <c r="CS275">
        <v>2</v>
      </c>
    </row>
    <row r="276" spans="1:97" x14ac:dyDescent="0.3">
      <c r="A276" s="155">
        <v>979</v>
      </c>
      <c r="B276" t="s">
        <v>1014</v>
      </c>
      <c r="D276">
        <v>1</v>
      </c>
      <c r="E276">
        <v>1</v>
      </c>
      <c r="F276">
        <v>2</v>
      </c>
      <c r="G276">
        <v>1</v>
      </c>
      <c r="H276">
        <v>1</v>
      </c>
      <c r="I276">
        <v>1</v>
      </c>
      <c r="J276">
        <v>1</v>
      </c>
      <c r="K276">
        <v>2</v>
      </c>
      <c r="L276">
        <v>1</v>
      </c>
      <c r="M276">
        <v>1</v>
      </c>
      <c r="N276">
        <v>2</v>
      </c>
      <c r="O276">
        <v>2</v>
      </c>
      <c r="P276">
        <v>1</v>
      </c>
      <c r="Q276">
        <v>2</v>
      </c>
      <c r="R276">
        <v>1</v>
      </c>
      <c r="S276">
        <v>2</v>
      </c>
      <c r="T276">
        <v>1</v>
      </c>
      <c r="U276">
        <v>2</v>
      </c>
      <c r="V276">
        <v>1</v>
      </c>
      <c r="W276">
        <v>2</v>
      </c>
      <c r="X276">
        <v>1</v>
      </c>
      <c r="Y276">
        <v>1</v>
      </c>
      <c r="Z276">
        <v>1</v>
      </c>
      <c r="AA276">
        <v>2</v>
      </c>
      <c r="AB276">
        <v>1</v>
      </c>
      <c r="AC276">
        <v>2</v>
      </c>
      <c r="AD276">
        <v>1</v>
      </c>
      <c r="AE276">
        <v>1</v>
      </c>
      <c r="AF276">
        <v>1</v>
      </c>
      <c r="AG276">
        <v>1</v>
      </c>
      <c r="AH276">
        <v>1</v>
      </c>
      <c r="AI276">
        <v>1</v>
      </c>
      <c r="AJ276">
        <v>1</v>
      </c>
      <c r="AK276">
        <v>2</v>
      </c>
      <c r="AL276">
        <v>2</v>
      </c>
      <c r="AM276">
        <v>2</v>
      </c>
      <c r="AN276">
        <v>2</v>
      </c>
      <c r="AO276">
        <v>2</v>
      </c>
      <c r="AP276">
        <v>1</v>
      </c>
      <c r="AQ276">
        <v>1</v>
      </c>
      <c r="AR276">
        <v>1</v>
      </c>
      <c r="AS276">
        <v>2</v>
      </c>
      <c r="AT276">
        <v>1</v>
      </c>
      <c r="AU276">
        <v>1</v>
      </c>
      <c r="AV276">
        <v>1</v>
      </c>
      <c r="AW276">
        <v>2</v>
      </c>
      <c r="AX276">
        <v>2</v>
      </c>
      <c r="AY276">
        <v>2</v>
      </c>
      <c r="AZ276">
        <v>1</v>
      </c>
      <c r="BA276">
        <v>2</v>
      </c>
      <c r="BB276">
        <v>2</v>
      </c>
      <c r="BC276">
        <v>1</v>
      </c>
      <c r="BD276">
        <v>1</v>
      </c>
      <c r="BE276">
        <v>2</v>
      </c>
      <c r="BF276">
        <v>2</v>
      </c>
      <c r="BG276">
        <v>1</v>
      </c>
      <c r="BH276">
        <v>2</v>
      </c>
      <c r="BI276">
        <v>1</v>
      </c>
      <c r="BJ276">
        <v>1</v>
      </c>
      <c r="BK276">
        <v>1</v>
      </c>
      <c r="BL276">
        <v>1</v>
      </c>
      <c r="BM276">
        <v>2</v>
      </c>
      <c r="BN276">
        <v>2</v>
      </c>
      <c r="BO276">
        <v>1</v>
      </c>
      <c r="BP276">
        <v>1</v>
      </c>
      <c r="BQ276">
        <v>1</v>
      </c>
      <c r="BR276">
        <v>1</v>
      </c>
      <c r="BS276">
        <v>1</v>
      </c>
      <c r="BT276">
        <v>1</v>
      </c>
      <c r="BU276">
        <v>1</v>
      </c>
      <c r="BV276">
        <v>1</v>
      </c>
      <c r="BW276">
        <v>1</v>
      </c>
      <c r="BX276">
        <v>2</v>
      </c>
      <c r="BY276">
        <v>2</v>
      </c>
      <c r="BZ276">
        <v>1</v>
      </c>
      <c r="CA276">
        <v>2</v>
      </c>
      <c r="CB276">
        <v>2</v>
      </c>
      <c r="CC276">
        <v>2</v>
      </c>
      <c r="CD276">
        <v>1</v>
      </c>
      <c r="CE276">
        <v>1</v>
      </c>
      <c r="CF276">
        <v>1</v>
      </c>
      <c r="CG276">
        <v>2</v>
      </c>
      <c r="CH276">
        <v>1</v>
      </c>
      <c r="CI276">
        <v>1</v>
      </c>
      <c r="CJ276">
        <v>1</v>
      </c>
      <c r="CK276">
        <v>1</v>
      </c>
      <c r="CL276">
        <v>2</v>
      </c>
      <c r="CM276">
        <v>1</v>
      </c>
      <c r="CN276">
        <v>1</v>
      </c>
      <c r="CO276">
        <v>1</v>
      </c>
      <c r="CP276">
        <v>2</v>
      </c>
      <c r="CQ276">
        <v>1</v>
      </c>
      <c r="CR276">
        <v>1</v>
      </c>
      <c r="CS276">
        <v>2</v>
      </c>
    </row>
    <row r="277" spans="1:97" x14ac:dyDescent="0.3">
      <c r="A277" s="155">
        <v>980</v>
      </c>
      <c r="B277" t="s">
        <v>592</v>
      </c>
      <c r="D277" t="s">
        <v>2139</v>
      </c>
      <c r="E277" t="s">
        <v>1000</v>
      </c>
      <c r="F277" t="s">
        <v>2135</v>
      </c>
      <c r="G277" t="s">
        <v>1017</v>
      </c>
      <c r="H277" t="s">
        <v>1004</v>
      </c>
      <c r="I277" t="s">
        <v>2121</v>
      </c>
      <c r="J277" t="s">
        <v>2047</v>
      </c>
      <c r="K277" t="s">
        <v>2138</v>
      </c>
      <c r="L277" t="s">
        <v>1021</v>
      </c>
      <c r="M277" t="s">
        <v>1016</v>
      </c>
      <c r="N277" t="s">
        <v>2673</v>
      </c>
      <c r="O277" t="s">
        <v>2136</v>
      </c>
      <c r="P277" t="s">
        <v>2139</v>
      </c>
      <c r="Q277" t="s">
        <v>1995</v>
      </c>
      <c r="R277" t="s">
        <v>1019</v>
      </c>
      <c r="S277" t="s">
        <v>2045</v>
      </c>
      <c r="T277" t="s">
        <v>1018</v>
      </c>
      <c r="U277" t="s">
        <v>2045</v>
      </c>
      <c r="V277" t="s">
        <v>2484</v>
      </c>
      <c r="W277" t="s">
        <v>2134</v>
      </c>
      <c r="X277" t="s">
        <v>2047</v>
      </c>
      <c r="Y277" t="s">
        <v>2120</v>
      </c>
      <c r="Z277" t="s">
        <v>2139</v>
      </c>
      <c r="AA277" t="s">
        <v>1019</v>
      </c>
      <c r="AB277" t="s">
        <v>1995</v>
      </c>
      <c r="AC277" t="s">
        <v>2674</v>
      </c>
      <c r="AD277" t="s">
        <v>1022</v>
      </c>
      <c r="AE277" t="s">
        <v>2481</v>
      </c>
      <c r="AF277" t="s">
        <v>1015</v>
      </c>
      <c r="AG277" t="s">
        <v>1000</v>
      </c>
      <c r="AH277" t="s">
        <v>2675</v>
      </c>
      <c r="AI277" t="s">
        <v>2041</v>
      </c>
      <c r="AJ277" t="s">
        <v>2675</v>
      </c>
      <c r="AK277" t="s">
        <v>2135</v>
      </c>
      <c r="AL277" t="s">
        <v>2047</v>
      </c>
      <c r="AM277" t="s">
        <v>2676</v>
      </c>
      <c r="AN277" t="s">
        <v>2000</v>
      </c>
      <c r="AO277" t="s">
        <v>2129</v>
      </c>
      <c r="AP277" t="s">
        <v>2120</v>
      </c>
      <c r="AQ277" t="s">
        <v>2677</v>
      </c>
      <c r="AR277" t="s">
        <v>2044</v>
      </c>
      <c r="AS277" t="s">
        <v>2021</v>
      </c>
      <c r="AT277" t="s">
        <v>2123</v>
      </c>
      <c r="AU277" t="s">
        <v>2047</v>
      </c>
      <c r="AV277" t="s">
        <v>1000</v>
      </c>
      <c r="AW277" t="s">
        <v>1999</v>
      </c>
      <c r="AX277" t="s">
        <v>2123</v>
      </c>
      <c r="AY277" t="s">
        <v>2000</v>
      </c>
      <c r="AZ277" t="s">
        <v>1023</v>
      </c>
      <c r="BA277" t="s">
        <v>1018</v>
      </c>
      <c r="BB277" t="s">
        <v>2678</v>
      </c>
      <c r="BC277" t="s">
        <v>2130</v>
      </c>
      <c r="BD277" t="s">
        <v>1016</v>
      </c>
      <c r="BE277" t="s">
        <v>2134</v>
      </c>
      <c r="BF277" t="s">
        <v>2679</v>
      </c>
      <c r="BG277" t="s">
        <v>1022</v>
      </c>
      <c r="BH277" t="s">
        <v>2075</v>
      </c>
      <c r="BI277" t="s">
        <v>1996</v>
      </c>
      <c r="BJ277" t="s">
        <v>1021</v>
      </c>
      <c r="BK277" t="s">
        <v>1016</v>
      </c>
      <c r="BL277" t="s">
        <v>2680</v>
      </c>
      <c r="BM277" t="s">
        <v>2045</v>
      </c>
      <c r="BN277" t="s">
        <v>2042</v>
      </c>
      <c r="BO277" t="s">
        <v>1004</v>
      </c>
      <c r="BP277" t="s">
        <v>2125</v>
      </c>
      <c r="BQ277" t="s">
        <v>2045</v>
      </c>
      <c r="BR277" t="s">
        <v>1004</v>
      </c>
      <c r="BS277" t="s">
        <v>1021</v>
      </c>
      <c r="BT277" t="s">
        <v>2019</v>
      </c>
      <c r="BU277" t="s">
        <v>2047</v>
      </c>
      <c r="BV277" t="s">
        <v>2134</v>
      </c>
      <c r="BW277" t="s">
        <v>2046</v>
      </c>
      <c r="BX277" t="s">
        <v>2860</v>
      </c>
      <c r="BY277" t="s">
        <v>2045</v>
      </c>
      <c r="BZ277" t="s">
        <v>1017</v>
      </c>
      <c r="CA277" t="s">
        <v>2681</v>
      </c>
      <c r="CB277" t="s">
        <v>2682</v>
      </c>
      <c r="CC277" t="s">
        <v>2000</v>
      </c>
      <c r="CD277" t="s">
        <v>2044</v>
      </c>
      <c r="CE277" t="s">
        <v>2039</v>
      </c>
      <c r="CF277" t="s">
        <v>1007</v>
      </c>
      <c r="CG277" t="s">
        <v>2048</v>
      </c>
      <c r="CH277" t="s">
        <v>1021</v>
      </c>
      <c r="CI277" t="s">
        <v>2136</v>
      </c>
      <c r="CJ277" t="s">
        <v>1021</v>
      </c>
      <c r="CK277" t="s">
        <v>1021</v>
      </c>
      <c r="CL277" t="s">
        <v>1998</v>
      </c>
      <c r="CM277" t="s">
        <v>2126</v>
      </c>
      <c r="CN277" t="s">
        <v>1023</v>
      </c>
      <c r="CO277" t="s">
        <v>1997</v>
      </c>
      <c r="CP277" t="s">
        <v>2000</v>
      </c>
      <c r="CQ277" t="s">
        <v>1019</v>
      </c>
      <c r="CR277" t="s">
        <v>2139</v>
      </c>
      <c r="CS277" t="s">
        <v>2000</v>
      </c>
    </row>
    <row r="278" spans="1:97" x14ac:dyDescent="0.3">
      <c r="A278" s="155">
        <v>984</v>
      </c>
      <c r="B278" t="s">
        <v>1024</v>
      </c>
      <c r="D278">
        <v>0</v>
      </c>
      <c r="E278">
        <v>0</v>
      </c>
      <c r="F278">
        <v>1614781</v>
      </c>
      <c r="G278">
        <v>29390</v>
      </c>
      <c r="H278">
        <v>4200515</v>
      </c>
      <c r="I278">
        <v>466333</v>
      </c>
      <c r="J278">
        <v>1866088</v>
      </c>
      <c r="K278">
        <v>211504</v>
      </c>
      <c r="L278">
        <v>313384</v>
      </c>
      <c r="M278">
        <v>18820501</v>
      </c>
      <c r="N278">
        <v>342611</v>
      </c>
      <c r="O278">
        <v>333484</v>
      </c>
      <c r="P278">
        <v>0</v>
      </c>
      <c r="Q278">
        <v>615244</v>
      </c>
      <c r="R278">
        <v>37445</v>
      </c>
      <c r="S278">
        <v>87655</v>
      </c>
      <c r="T278">
        <v>1320320</v>
      </c>
      <c r="U278">
        <v>455263</v>
      </c>
      <c r="V278">
        <v>2844282</v>
      </c>
      <c r="W278">
        <v>6393759</v>
      </c>
      <c r="X278">
        <v>1838055</v>
      </c>
      <c r="Y278">
        <v>0</v>
      </c>
      <c r="Z278">
        <v>1957553</v>
      </c>
      <c r="AA278">
        <v>1094021</v>
      </c>
      <c r="AB278">
        <v>27070</v>
      </c>
      <c r="AC278">
        <v>3916781</v>
      </c>
      <c r="AD278">
        <v>773592</v>
      </c>
      <c r="AE278">
        <v>630083</v>
      </c>
      <c r="AF278">
        <v>118966</v>
      </c>
      <c r="AG278">
        <v>11841167</v>
      </c>
      <c r="AH278">
        <v>113385</v>
      </c>
      <c r="AI278">
        <v>1708334</v>
      </c>
      <c r="AJ278">
        <v>1030670</v>
      </c>
      <c r="AK278">
        <v>63517</v>
      </c>
      <c r="AL278">
        <v>660504</v>
      </c>
      <c r="AM278">
        <v>3272417</v>
      </c>
      <c r="AN278">
        <v>1185878</v>
      </c>
      <c r="AO278">
        <v>914949</v>
      </c>
      <c r="AP278">
        <v>30400</v>
      </c>
      <c r="AQ278">
        <v>122261</v>
      </c>
      <c r="AR278">
        <v>2313313</v>
      </c>
      <c r="AS278">
        <v>300035</v>
      </c>
      <c r="AT278">
        <v>55259</v>
      </c>
      <c r="AU278">
        <v>28235</v>
      </c>
      <c r="AV278">
        <v>506148</v>
      </c>
      <c r="AW278">
        <v>30542</v>
      </c>
      <c r="AX278">
        <v>141516</v>
      </c>
      <c r="AY278">
        <v>1928552</v>
      </c>
      <c r="AZ278">
        <v>201009</v>
      </c>
      <c r="BA278">
        <v>0</v>
      </c>
      <c r="BB278">
        <v>1090299</v>
      </c>
      <c r="BC278">
        <v>0</v>
      </c>
      <c r="BD278">
        <v>147662</v>
      </c>
      <c r="BE278">
        <v>539972</v>
      </c>
      <c r="BF278">
        <v>829087</v>
      </c>
      <c r="BG278">
        <v>64216</v>
      </c>
      <c r="BH278">
        <v>481660</v>
      </c>
      <c r="BI278">
        <v>1285386</v>
      </c>
      <c r="BJ278">
        <v>4833834</v>
      </c>
      <c r="BK278">
        <v>160127</v>
      </c>
      <c r="BL278">
        <v>2179</v>
      </c>
      <c r="BM278">
        <v>8781472</v>
      </c>
      <c r="BN278">
        <v>6473119</v>
      </c>
      <c r="BO278">
        <v>3571162</v>
      </c>
      <c r="BP278">
        <v>85942</v>
      </c>
      <c r="BQ278">
        <v>1308590</v>
      </c>
      <c r="BR278">
        <v>635055</v>
      </c>
      <c r="BS278">
        <v>4722928</v>
      </c>
      <c r="BT278">
        <v>0</v>
      </c>
      <c r="BU278">
        <v>191866</v>
      </c>
      <c r="BV278">
        <v>1582010</v>
      </c>
      <c r="BW278">
        <v>2676459</v>
      </c>
      <c r="BX278">
        <v>264486</v>
      </c>
      <c r="BY278">
        <v>782812</v>
      </c>
      <c r="BZ278">
        <v>2453686</v>
      </c>
      <c r="CA278">
        <v>92618</v>
      </c>
      <c r="CB278">
        <v>3551781</v>
      </c>
      <c r="CC278">
        <v>3515761</v>
      </c>
      <c r="CD278">
        <v>64551588</v>
      </c>
      <c r="CE278">
        <v>25231612</v>
      </c>
      <c r="CF278">
        <v>847529</v>
      </c>
      <c r="CG278">
        <v>209298</v>
      </c>
      <c r="CH278">
        <v>254064</v>
      </c>
      <c r="CI278">
        <v>589132</v>
      </c>
      <c r="CJ278">
        <v>113715993</v>
      </c>
      <c r="CK278">
        <v>4576384</v>
      </c>
      <c r="CL278">
        <v>0</v>
      </c>
      <c r="CM278">
        <v>3162212</v>
      </c>
      <c r="CN278">
        <v>187211</v>
      </c>
      <c r="CO278">
        <v>3463894</v>
      </c>
      <c r="CP278">
        <v>1264112</v>
      </c>
      <c r="CQ278">
        <v>0</v>
      </c>
      <c r="CR278">
        <v>1940044</v>
      </c>
      <c r="CS278">
        <v>7481124</v>
      </c>
    </row>
    <row r="279" spans="1:97" x14ac:dyDescent="0.3">
      <c r="A279" s="155">
        <v>985</v>
      </c>
      <c r="B279" t="s">
        <v>1025</v>
      </c>
      <c r="D279">
        <v>0</v>
      </c>
      <c r="E279">
        <v>0</v>
      </c>
      <c r="F279">
        <v>1591850</v>
      </c>
      <c r="G279">
        <v>24000</v>
      </c>
      <c r="H279">
        <v>4032500</v>
      </c>
      <c r="I279">
        <v>426500</v>
      </c>
      <c r="J279">
        <v>1572500</v>
      </c>
      <c r="K279">
        <v>230000</v>
      </c>
      <c r="L279">
        <v>283000</v>
      </c>
      <c r="M279">
        <v>17981000</v>
      </c>
      <c r="N279">
        <v>306320</v>
      </c>
      <c r="O279">
        <v>330709</v>
      </c>
      <c r="P279">
        <v>0</v>
      </c>
      <c r="Q279">
        <v>581250</v>
      </c>
      <c r="R279">
        <v>31950</v>
      </c>
      <c r="S279">
        <v>86954</v>
      </c>
      <c r="T279">
        <v>1261478</v>
      </c>
      <c r="U279">
        <v>437000</v>
      </c>
      <c r="V279">
        <v>2799090</v>
      </c>
      <c r="W279">
        <v>6261972</v>
      </c>
      <c r="X279">
        <v>1788964</v>
      </c>
      <c r="Y279">
        <v>0</v>
      </c>
      <c r="Z279">
        <v>1879825</v>
      </c>
      <c r="AA279">
        <v>1142735</v>
      </c>
      <c r="AB279">
        <v>29350</v>
      </c>
      <c r="AC279">
        <v>3769050</v>
      </c>
      <c r="AD279">
        <v>733300</v>
      </c>
      <c r="AE279">
        <v>620650</v>
      </c>
      <c r="AF279">
        <v>116680</v>
      </c>
      <c r="AG279">
        <v>11506752</v>
      </c>
      <c r="AH279">
        <v>108000</v>
      </c>
      <c r="AI279">
        <v>1666350</v>
      </c>
      <c r="AJ279">
        <v>1003282</v>
      </c>
      <c r="AK279">
        <v>54108</v>
      </c>
      <c r="AL279">
        <v>583225</v>
      </c>
      <c r="AM279">
        <v>3272417</v>
      </c>
      <c r="AN279">
        <v>1173050</v>
      </c>
      <c r="AO279">
        <v>914344</v>
      </c>
      <c r="AP279">
        <v>25420</v>
      </c>
      <c r="AQ279">
        <v>115500</v>
      </c>
      <c r="AR279">
        <v>2263257</v>
      </c>
      <c r="AS279">
        <v>284000</v>
      </c>
      <c r="AT279">
        <v>50000</v>
      </c>
      <c r="AU279">
        <v>23841</v>
      </c>
      <c r="AV279">
        <v>489416</v>
      </c>
      <c r="AW279">
        <v>33398</v>
      </c>
      <c r="AX279">
        <v>122415</v>
      </c>
      <c r="AY279">
        <v>1950000</v>
      </c>
      <c r="AZ279">
        <v>176100</v>
      </c>
      <c r="BA279">
        <v>0</v>
      </c>
      <c r="BB279">
        <v>1012718</v>
      </c>
      <c r="BC279">
        <v>0</v>
      </c>
      <c r="BD279">
        <v>135000</v>
      </c>
      <c r="BE279">
        <v>526233</v>
      </c>
      <c r="BF279">
        <v>783050</v>
      </c>
      <c r="BG279">
        <v>60168</v>
      </c>
      <c r="BH279">
        <v>496486</v>
      </c>
      <c r="BI279">
        <v>0</v>
      </c>
      <c r="BJ279">
        <v>4493737</v>
      </c>
      <c r="BK279">
        <v>0</v>
      </c>
      <c r="BL279">
        <v>2500</v>
      </c>
      <c r="BM279">
        <v>8370000</v>
      </c>
      <c r="BN279">
        <v>6091610</v>
      </c>
      <c r="BO279">
        <v>3508310</v>
      </c>
      <c r="BP279">
        <v>80080</v>
      </c>
      <c r="BQ279">
        <v>1257250</v>
      </c>
      <c r="BR279">
        <v>627802</v>
      </c>
      <c r="BS279">
        <v>4489846</v>
      </c>
      <c r="BT279">
        <v>0</v>
      </c>
      <c r="BU279">
        <v>187434</v>
      </c>
      <c r="BV279">
        <v>1482300</v>
      </c>
      <c r="BW279">
        <v>2587097</v>
      </c>
      <c r="BX279">
        <v>247372</v>
      </c>
      <c r="BY279">
        <v>783784</v>
      </c>
      <c r="BZ279">
        <v>2510334</v>
      </c>
      <c r="CA279">
        <v>91300</v>
      </c>
      <c r="CB279">
        <v>3505000</v>
      </c>
      <c r="CC279">
        <v>3157065</v>
      </c>
      <c r="CD279">
        <v>64273794</v>
      </c>
      <c r="CE279">
        <v>23894280</v>
      </c>
      <c r="CF279">
        <v>833434</v>
      </c>
      <c r="CG279">
        <v>200000</v>
      </c>
      <c r="CH279">
        <v>235000</v>
      </c>
      <c r="CI279">
        <v>543355</v>
      </c>
      <c r="CJ279">
        <v>111484120</v>
      </c>
      <c r="CK279">
        <v>4312789</v>
      </c>
      <c r="CL279">
        <v>0</v>
      </c>
      <c r="CM279">
        <v>3092852</v>
      </c>
      <c r="CN279">
        <v>158154</v>
      </c>
      <c r="CO279">
        <v>3385000</v>
      </c>
      <c r="CP279">
        <v>1224159</v>
      </c>
      <c r="CQ279">
        <v>0</v>
      </c>
      <c r="CR279">
        <v>1914605</v>
      </c>
      <c r="CS279">
        <v>7579300</v>
      </c>
    </row>
    <row r="280" spans="1:97" x14ac:dyDescent="0.3">
      <c r="A280" s="155">
        <v>986</v>
      </c>
      <c r="B280" t="s">
        <v>594</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544933</v>
      </c>
      <c r="AF280">
        <v>0</v>
      </c>
      <c r="AG280">
        <v>0</v>
      </c>
      <c r="AH280">
        <v>0</v>
      </c>
      <c r="AI280">
        <v>0</v>
      </c>
      <c r="AJ280">
        <v>0</v>
      </c>
      <c r="AK280">
        <v>0</v>
      </c>
      <c r="AL280">
        <v>1097775</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120720</v>
      </c>
      <c r="CK280">
        <v>0</v>
      </c>
      <c r="CL280">
        <v>0</v>
      </c>
      <c r="CM280">
        <v>0</v>
      </c>
      <c r="CN280">
        <v>0</v>
      </c>
      <c r="CO280">
        <v>0</v>
      </c>
      <c r="CP280">
        <v>0</v>
      </c>
      <c r="CQ280">
        <v>0</v>
      </c>
      <c r="CR280">
        <v>0</v>
      </c>
      <c r="CS280">
        <v>0</v>
      </c>
    </row>
    <row r="281" spans="1:97" x14ac:dyDescent="0.3">
      <c r="A281" s="155">
        <v>987</v>
      </c>
      <c r="B281" t="s">
        <v>1026</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row>
    <row r="282" spans="1:97" x14ac:dyDescent="0.3">
      <c r="A282" s="155">
        <v>988</v>
      </c>
      <c r="B282" t="s">
        <v>1027</v>
      </c>
      <c r="D282">
        <v>0</v>
      </c>
      <c r="E282">
        <v>0</v>
      </c>
      <c r="F282">
        <v>2</v>
      </c>
      <c r="G282">
        <v>2</v>
      </c>
      <c r="H282">
        <v>2</v>
      </c>
      <c r="I282">
        <v>2</v>
      </c>
      <c r="J282">
        <v>2</v>
      </c>
      <c r="K282">
        <v>2</v>
      </c>
      <c r="L282">
        <v>2</v>
      </c>
      <c r="M282">
        <v>2</v>
      </c>
      <c r="N282">
        <v>2</v>
      </c>
      <c r="O282">
        <v>2</v>
      </c>
      <c r="P282">
        <v>2</v>
      </c>
      <c r="Q282">
        <v>2</v>
      </c>
      <c r="R282">
        <v>2</v>
      </c>
      <c r="S282">
        <v>2</v>
      </c>
      <c r="T282">
        <v>2</v>
      </c>
      <c r="U282">
        <v>2</v>
      </c>
      <c r="V282">
        <v>2</v>
      </c>
      <c r="W282">
        <v>2</v>
      </c>
      <c r="X282">
        <v>2</v>
      </c>
      <c r="Y282">
        <v>0</v>
      </c>
      <c r="Z282">
        <v>2</v>
      </c>
      <c r="AA282">
        <v>2</v>
      </c>
      <c r="AB282">
        <v>2</v>
      </c>
      <c r="AC282">
        <v>0</v>
      </c>
      <c r="AD282">
        <v>2</v>
      </c>
      <c r="AE282">
        <v>2</v>
      </c>
      <c r="AF282">
        <v>2</v>
      </c>
      <c r="AG282">
        <v>2</v>
      </c>
      <c r="AH282">
        <v>2</v>
      </c>
      <c r="AI282">
        <v>2</v>
      </c>
      <c r="AJ282">
        <v>2</v>
      </c>
      <c r="AK282">
        <v>2</v>
      </c>
      <c r="AL282">
        <v>2</v>
      </c>
      <c r="AM282">
        <v>0</v>
      </c>
      <c r="AN282">
        <v>2</v>
      </c>
      <c r="AO282">
        <v>2</v>
      </c>
      <c r="AP282">
        <v>2</v>
      </c>
      <c r="AQ282">
        <v>2</v>
      </c>
      <c r="AR282">
        <v>2</v>
      </c>
      <c r="AS282">
        <v>2</v>
      </c>
      <c r="AT282">
        <v>2</v>
      </c>
      <c r="AU282">
        <v>2</v>
      </c>
      <c r="AV282">
        <v>2</v>
      </c>
      <c r="AW282">
        <v>2</v>
      </c>
      <c r="AX282">
        <v>2</v>
      </c>
      <c r="AY282">
        <v>2</v>
      </c>
      <c r="AZ282">
        <v>2</v>
      </c>
      <c r="BA282">
        <v>2</v>
      </c>
      <c r="BB282">
        <v>2</v>
      </c>
      <c r="BC282">
        <v>0</v>
      </c>
      <c r="BD282">
        <v>0</v>
      </c>
      <c r="BE282">
        <v>2</v>
      </c>
      <c r="BF282">
        <v>2</v>
      </c>
      <c r="BG282">
        <v>2</v>
      </c>
      <c r="BH282">
        <v>2</v>
      </c>
      <c r="BI282">
        <v>2</v>
      </c>
      <c r="BJ282">
        <v>2</v>
      </c>
      <c r="BK282">
        <v>2</v>
      </c>
      <c r="BL282">
        <v>2</v>
      </c>
      <c r="BM282">
        <v>2</v>
      </c>
      <c r="BN282">
        <v>2</v>
      </c>
      <c r="BO282">
        <v>2</v>
      </c>
      <c r="BP282">
        <v>2</v>
      </c>
      <c r="BQ282">
        <v>2</v>
      </c>
      <c r="BR282">
        <v>2</v>
      </c>
      <c r="BS282">
        <v>2</v>
      </c>
      <c r="BT282">
        <v>2</v>
      </c>
      <c r="BU282">
        <v>2</v>
      </c>
      <c r="BV282">
        <v>2</v>
      </c>
      <c r="BW282">
        <v>2</v>
      </c>
      <c r="BX282">
        <v>2</v>
      </c>
      <c r="BY282">
        <v>2</v>
      </c>
      <c r="BZ282">
        <v>2</v>
      </c>
      <c r="CA282">
        <v>2</v>
      </c>
      <c r="CB282">
        <v>2</v>
      </c>
      <c r="CC282">
        <v>2</v>
      </c>
      <c r="CD282">
        <v>2</v>
      </c>
      <c r="CE282">
        <v>2</v>
      </c>
      <c r="CF282">
        <v>2</v>
      </c>
      <c r="CG282">
        <v>2</v>
      </c>
      <c r="CH282">
        <v>1</v>
      </c>
      <c r="CI282">
        <v>2</v>
      </c>
      <c r="CJ282">
        <v>2</v>
      </c>
      <c r="CK282">
        <v>2</v>
      </c>
      <c r="CL282">
        <v>0</v>
      </c>
      <c r="CM282">
        <v>2</v>
      </c>
      <c r="CN282">
        <v>2</v>
      </c>
      <c r="CO282">
        <v>2</v>
      </c>
      <c r="CP282">
        <v>0</v>
      </c>
      <c r="CQ282">
        <v>2</v>
      </c>
      <c r="CR282">
        <v>2</v>
      </c>
      <c r="CS282">
        <v>2</v>
      </c>
    </row>
    <row r="283" spans="1:97" x14ac:dyDescent="0.3">
      <c r="A283" s="155">
        <v>989</v>
      </c>
      <c r="B283" t="s">
        <v>1028</v>
      </c>
      <c r="D283">
        <v>0</v>
      </c>
      <c r="E283">
        <v>0</v>
      </c>
      <c r="F283">
        <v>3</v>
      </c>
      <c r="G283">
        <v>0</v>
      </c>
      <c r="H283">
        <v>3</v>
      </c>
      <c r="I283">
        <v>3</v>
      </c>
      <c r="J283">
        <v>3</v>
      </c>
      <c r="K283">
        <v>3</v>
      </c>
      <c r="L283">
        <v>0</v>
      </c>
      <c r="M283">
        <v>0</v>
      </c>
      <c r="N283">
        <v>0</v>
      </c>
      <c r="O283">
        <v>0</v>
      </c>
      <c r="P283">
        <v>3</v>
      </c>
      <c r="Q283">
        <v>3</v>
      </c>
      <c r="R283">
        <v>3</v>
      </c>
      <c r="S283">
        <v>3</v>
      </c>
      <c r="T283">
        <v>3</v>
      </c>
      <c r="U283">
        <v>3</v>
      </c>
      <c r="V283">
        <v>0</v>
      </c>
      <c r="W283">
        <v>3</v>
      </c>
      <c r="X283">
        <v>0</v>
      </c>
      <c r="Y283">
        <v>0</v>
      </c>
      <c r="Z283">
        <v>0</v>
      </c>
      <c r="AA283">
        <v>3</v>
      </c>
      <c r="AB283">
        <v>3</v>
      </c>
      <c r="AC283">
        <v>0</v>
      </c>
      <c r="AD283">
        <v>0</v>
      </c>
      <c r="AE283">
        <v>3</v>
      </c>
      <c r="AF283">
        <v>3</v>
      </c>
      <c r="AG283">
        <v>3</v>
      </c>
      <c r="AH283">
        <v>3</v>
      </c>
      <c r="AI283">
        <v>3</v>
      </c>
      <c r="AJ283">
        <v>3</v>
      </c>
      <c r="AK283">
        <v>3</v>
      </c>
      <c r="AL283">
        <v>3</v>
      </c>
      <c r="AM283">
        <v>0</v>
      </c>
      <c r="AN283">
        <v>3</v>
      </c>
      <c r="AO283">
        <v>3</v>
      </c>
      <c r="AP283">
        <v>0</v>
      </c>
      <c r="AQ283">
        <v>0</v>
      </c>
      <c r="AR283">
        <v>0</v>
      </c>
      <c r="AS283">
        <v>3</v>
      </c>
      <c r="AT283">
        <v>3</v>
      </c>
      <c r="AU283">
        <v>3</v>
      </c>
      <c r="AV283">
        <v>0</v>
      </c>
      <c r="AW283">
        <v>0</v>
      </c>
      <c r="AX283">
        <v>0</v>
      </c>
      <c r="AY283">
        <v>0</v>
      </c>
      <c r="AZ283">
        <v>3</v>
      </c>
      <c r="BA283">
        <v>3</v>
      </c>
      <c r="BB283">
        <v>3</v>
      </c>
      <c r="BC283">
        <v>0</v>
      </c>
      <c r="BD283">
        <v>0</v>
      </c>
      <c r="BE283">
        <v>3</v>
      </c>
      <c r="BF283">
        <v>3</v>
      </c>
      <c r="BG283">
        <v>3</v>
      </c>
      <c r="BH283">
        <v>3</v>
      </c>
      <c r="BI283">
        <v>3</v>
      </c>
      <c r="BJ283">
        <v>0</v>
      </c>
      <c r="BK283">
        <v>3</v>
      </c>
      <c r="BL283">
        <v>3</v>
      </c>
      <c r="BM283">
        <v>3</v>
      </c>
      <c r="BN283">
        <v>3</v>
      </c>
      <c r="BO283">
        <v>3</v>
      </c>
      <c r="BP283">
        <v>0</v>
      </c>
      <c r="BQ283">
        <v>0</v>
      </c>
      <c r="BR283">
        <v>3</v>
      </c>
      <c r="BS283">
        <v>0</v>
      </c>
      <c r="BT283">
        <v>3</v>
      </c>
      <c r="BU283">
        <v>3</v>
      </c>
      <c r="BV283">
        <v>3</v>
      </c>
      <c r="BW283">
        <v>0</v>
      </c>
      <c r="BX283">
        <v>0</v>
      </c>
      <c r="BY283">
        <v>3</v>
      </c>
      <c r="BZ283">
        <v>0</v>
      </c>
      <c r="CA283">
        <v>3</v>
      </c>
      <c r="CB283">
        <v>0</v>
      </c>
      <c r="CC283">
        <v>3</v>
      </c>
      <c r="CD283">
        <v>3</v>
      </c>
      <c r="CE283">
        <v>3</v>
      </c>
      <c r="CF283">
        <v>3</v>
      </c>
      <c r="CG283">
        <v>3</v>
      </c>
      <c r="CH283">
        <v>0</v>
      </c>
      <c r="CI283">
        <v>3</v>
      </c>
      <c r="CJ283">
        <v>3</v>
      </c>
      <c r="CK283">
        <v>3</v>
      </c>
      <c r="CL283">
        <v>0</v>
      </c>
      <c r="CM283">
        <v>3</v>
      </c>
      <c r="CN283">
        <v>3</v>
      </c>
      <c r="CO283">
        <v>3</v>
      </c>
      <c r="CP283">
        <v>0</v>
      </c>
      <c r="CQ283">
        <v>3</v>
      </c>
      <c r="CR283">
        <v>3</v>
      </c>
      <c r="CS283">
        <v>3</v>
      </c>
    </row>
    <row r="284" spans="1:97" x14ac:dyDescent="0.3">
      <c r="A284" s="155">
        <v>990</v>
      </c>
      <c r="B284" t="s">
        <v>583</v>
      </c>
      <c r="D284">
        <v>0</v>
      </c>
      <c r="E284">
        <v>0</v>
      </c>
      <c r="F284">
        <v>0</v>
      </c>
      <c r="G284">
        <v>0</v>
      </c>
      <c r="H284">
        <v>0</v>
      </c>
      <c r="I284">
        <v>0</v>
      </c>
      <c r="J284">
        <v>0</v>
      </c>
      <c r="K284">
        <v>0</v>
      </c>
      <c r="L284">
        <v>0</v>
      </c>
      <c r="M284">
        <v>135245</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1275600</v>
      </c>
      <c r="BO284">
        <v>0</v>
      </c>
      <c r="BP284">
        <v>0</v>
      </c>
      <c r="BQ284">
        <v>0</v>
      </c>
      <c r="BR284">
        <v>0</v>
      </c>
      <c r="BS284">
        <v>0</v>
      </c>
      <c r="BT284">
        <v>0</v>
      </c>
      <c r="BU284">
        <v>0</v>
      </c>
      <c r="BV284">
        <v>0</v>
      </c>
      <c r="BW284">
        <v>0</v>
      </c>
      <c r="BX284">
        <v>0</v>
      </c>
      <c r="BY284">
        <v>0</v>
      </c>
      <c r="BZ284">
        <v>0</v>
      </c>
      <c r="CA284">
        <v>0</v>
      </c>
      <c r="CB284">
        <v>0</v>
      </c>
      <c r="CC284">
        <v>0</v>
      </c>
      <c r="CD284">
        <v>0</v>
      </c>
      <c r="CE284">
        <v>675160</v>
      </c>
      <c r="CF284">
        <v>0</v>
      </c>
      <c r="CG284">
        <v>0</v>
      </c>
      <c r="CH284">
        <v>0</v>
      </c>
      <c r="CI284">
        <v>0</v>
      </c>
      <c r="CJ284">
        <v>0</v>
      </c>
      <c r="CK284">
        <v>0</v>
      </c>
      <c r="CL284">
        <v>0</v>
      </c>
      <c r="CM284">
        <v>0</v>
      </c>
      <c r="CN284">
        <v>0</v>
      </c>
      <c r="CO284">
        <v>0</v>
      </c>
      <c r="CP284">
        <v>0</v>
      </c>
      <c r="CQ284">
        <v>0</v>
      </c>
      <c r="CR284">
        <v>0</v>
      </c>
      <c r="CS284">
        <v>0</v>
      </c>
    </row>
    <row r="285" spans="1:97" x14ac:dyDescent="0.3">
      <c r="A285" s="155">
        <v>991</v>
      </c>
      <c r="B285" t="s">
        <v>1029</v>
      </c>
      <c r="D285">
        <v>0</v>
      </c>
      <c r="E285">
        <v>0</v>
      </c>
      <c r="F285">
        <v>22</v>
      </c>
      <c r="G285">
        <v>23</v>
      </c>
      <c r="H285">
        <v>20</v>
      </c>
      <c r="I285">
        <v>20</v>
      </c>
      <c r="J285">
        <v>23</v>
      </c>
      <c r="K285">
        <v>0</v>
      </c>
      <c r="L285">
        <v>23</v>
      </c>
      <c r="M285">
        <v>23</v>
      </c>
      <c r="N285">
        <v>0</v>
      </c>
      <c r="O285">
        <v>0</v>
      </c>
      <c r="P285">
        <v>23</v>
      </c>
      <c r="Q285">
        <v>22</v>
      </c>
      <c r="R285">
        <v>23</v>
      </c>
      <c r="S285">
        <v>22</v>
      </c>
      <c r="T285">
        <v>20</v>
      </c>
      <c r="U285">
        <v>23</v>
      </c>
      <c r="V285">
        <v>23</v>
      </c>
      <c r="W285">
        <v>20</v>
      </c>
      <c r="X285">
        <v>22</v>
      </c>
      <c r="Y285">
        <v>23</v>
      </c>
      <c r="Z285">
        <v>23</v>
      </c>
      <c r="AA285">
        <v>23</v>
      </c>
      <c r="AB285">
        <v>22</v>
      </c>
      <c r="AC285">
        <v>0</v>
      </c>
      <c r="AD285">
        <v>23</v>
      </c>
      <c r="AE285">
        <v>22</v>
      </c>
      <c r="AF285">
        <v>22</v>
      </c>
      <c r="AG285">
        <v>23</v>
      </c>
      <c r="AH285">
        <v>23</v>
      </c>
      <c r="AI285">
        <v>23</v>
      </c>
      <c r="AJ285">
        <v>0</v>
      </c>
      <c r="AK285">
        <v>22</v>
      </c>
      <c r="AL285">
        <v>23</v>
      </c>
      <c r="AM285">
        <v>0</v>
      </c>
      <c r="AN285">
        <v>23</v>
      </c>
      <c r="AO285">
        <v>22</v>
      </c>
      <c r="AP285">
        <v>23</v>
      </c>
      <c r="AQ285">
        <v>0</v>
      </c>
      <c r="AR285">
        <v>0</v>
      </c>
      <c r="AS285">
        <v>20</v>
      </c>
      <c r="AT285">
        <v>23</v>
      </c>
      <c r="AU285">
        <v>23</v>
      </c>
      <c r="AV285">
        <v>23</v>
      </c>
      <c r="AW285">
        <v>23</v>
      </c>
      <c r="AX285">
        <v>23</v>
      </c>
      <c r="AY285">
        <v>0</v>
      </c>
      <c r="AZ285">
        <v>23</v>
      </c>
      <c r="BA285">
        <v>22</v>
      </c>
      <c r="BB285">
        <v>23</v>
      </c>
      <c r="BC285">
        <v>0</v>
      </c>
      <c r="BD285">
        <v>23</v>
      </c>
      <c r="BE285">
        <v>23</v>
      </c>
      <c r="BF285">
        <v>23</v>
      </c>
      <c r="BG285">
        <v>23</v>
      </c>
      <c r="BH285">
        <v>23</v>
      </c>
      <c r="BI285">
        <v>20</v>
      </c>
      <c r="BJ285">
        <v>23</v>
      </c>
      <c r="BK285">
        <v>23</v>
      </c>
      <c r="BL285">
        <v>23</v>
      </c>
      <c r="BM285">
        <v>23</v>
      </c>
      <c r="BN285">
        <v>20</v>
      </c>
      <c r="BO285">
        <v>23</v>
      </c>
      <c r="BP285">
        <v>0</v>
      </c>
      <c r="BQ285">
        <v>21</v>
      </c>
      <c r="BR285">
        <v>23</v>
      </c>
      <c r="BS285">
        <v>22</v>
      </c>
      <c r="BT285">
        <v>23</v>
      </c>
      <c r="BU285">
        <v>23</v>
      </c>
      <c r="BV285">
        <v>23</v>
      </c>
      <c r="BW285">
        <v>23</v>
      </c>
      <c r="BX285">
        <v>0</v>
      </c>
      <c r="BY285">
        <v>22</v>
      </c>
      <c r="BZ285">
        <v>23</v>
      </c>
      <c r="CA285">
        <v>20</v>
      </c>
      <c r="CB285">
        <v>23</v>
      </c>
      <c r="CC285">
        <v>23</v>
      </c>
      <c r="CD285">
        <v>23</v>
      </c>
      <c r="CE285">
        <v>23</v>
      </c>
      <c r="CF285">
        <v>23</v>
      </c>
      <c r="CG285">
        <v>23</v>
      </c>
      <c r="CH285">
        <v>23</v>
      </c>
      <c r="CI285">
        <v>23</v>
      </c>
      <c r="CJ285">
        <v>23</v>
      </c>
      <c r="CK285">
        <v>23</v>
      </c>
      <c r="CL285">
        <v>0</v>
      </c>
      <c r="CM285">
        <v>20</v>
      </c>
      <c r="CN285">
        <v>23</v>
      </c>
      <c r="CO285">
        <v>22</v>
      </c>
      <c r="CP285">
        <v>0</v>
      </c>
      <c r="CQ285">
        <v>23</v>
      </c>
      <c r="CR285">
        <v>23</v>
      </c>
      <c r="CS285">
        <v>0</v>
      </c>
    </row>
    <row r="286" spans="1:97" x14ac:dyDescent="0.3">
      <c r="A286" s="155">
        <v>995</v>
      </c>
      <c r="B286" t="s">
        <v>1727</v>
      </c>
      <c r="D286">
        <v>0</v>
      </c>
      <c r="E286">
        <v>0</v>
      </c>
      <c r="F286">
        <v>0</v>
      </c>
      <c r="G286">
        <v>0</v>
      </c>
      <c r="H286">
        <v>0</v>
      </c>
      <c r="I286">
        <v>0</v>
      </c>
      <c r="J286">
        <v>0</v>
      </c>
      <c r="K286">
        <v>0.09</v>
      </c>
      <c r="L286">
        <v>0</v>
      </c>
      <c r="M286">
        <v>7.0000000000000007E-2</v>
      </c>
      <c r="N286">
        <v>0</v>
      </c>
      <c r="O286">
        <v>0</v>
      </c>
      <c r="P286">
        <v>0</v>
      </c>
      <c r="Q286">
        <v>0</v>
      </c>
      <c r="R286">
        <v>0</v>
      </c>
      <c r="S286">
        <v>0</v>
      </c>
      <c r="T286">
        <v>0</v>
      </c>
      <c r="U286">
        <v>0</v>
      </c>
      <c r="V286">
        <v>0</v>
      </c>
      <c r="W286">
        <v>0</v>
      </c>
      <c r="X286">
        <v>0</v>
      </c>
      <c r="Y286">
        <v>0</v>
      </c>
      <c r="Z286">
        <v>0</v>
      </c>
      <c r="AA286">
        <v>0</v>
      </c>
      <c r="AB286">
        <v>0</v>
      </c>
      <c r="AC286">
        <v>0.08</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0.08</v>
      </c>
      <c r="BB286">
        <v>0</v>
      </c>
      <c r="BC286">
        <v>0</v>
      </c>
      <c r="BD286">
        <v>0</v>
      </c>
      <c r="BE286">
        <v>0</v>
      </c>
      <c r="BF286">
        <v>0</v>
      </c>
      <c r="BG286">
        <v>0.09</v>
      </c>
      <c r="BH286">
        <v>0</v>
      </c>
      <c r="BI286">
        <v>0</v>
      </c>
      <c r="BJ286">
        <v>0.08</v>
      </c>
      <c r="BK286">
        <v>0</v>
      </c>
      <c r="BL286">
        <v>0</v>
      </c>
      <c r="BM286">
        <v>0</v>
      </c>
      <c r="BN286">
        <v>0.09</v>
      </c>
      <c r="BO286">
        <v>0</v>
      </c>
      <c r="BP286">
        <v>0</v>
      </c>
      <c r="BQ286">
        <v>0</v>
      </c>
      <c r="BR286">
        <v>0</v>
      </c>
      <c r="BS286">
        <v>0</v>
      </c>
      <c r="BT286">
        <v>0</v>
      </c>
      <c r="BU286">
        <v>0</v>
      </c>
      <c r="BV286">
        <v>0</v>
      </c>
      <c r="BW286">
        <v>0</v>
      </c>
      <c r="BX286">
        <v>0</v>
      </c>
      <c r="BY286">
        <v>0</v>
      </c>
      <c r="BZ286">
        <v>0</v>
      </c>
      <c r="CA286">
        <v>0</v>
      </c>
      <c r="CB286">
        <v>0</v>
      </c>
      <c r="CC286">
        <v>0</v>
      </c>
      <c r="CD286">
        <v>0</v>
      </c>
      <c r="CE286">
        <v>0.08</v>
      </c>
      <c r="CF286">
        <v>0</v>
      </c>
      <c r="CG286">
        <v>0.09</v>
      </c>
      <c r="CH286">
        <v>0</v>
      </c>
      <c r="CI286">
        <v>0</v>
      </c>
      <c r="CJ286">
        <v>0</v>
      </c>
      <c r="CK286">
        <v>0.09</v>
      </c>
      <c r="CL286">
        <v>0</v>
      </c>
      <c r="CM286">
        <v>0</v>
      </c>
      <c r="CN286">
        <v>0</v>
      </c>
      <c r="CO286">
        <v>0</v>
      </c>
      <c r="CP286">
        <v>0</v>
      </c>
      <c r="CQ286">
        <v>0</v>
      </c>
      <c r="CR286">
        <v>0</v>
      </c>
      <c r="CS286">
        <v>0</v>
      </c>
    </row>
    <row r="287" spans="1:97" x14ac:dyDescent="0.3">
      <c r="A287" s="155">
        <v>996</v>
      </c>
      <c r="B287" t="s">
        <v>276</v>
      </c>
      <c r="D287">
        <v>0</v>
      </c>
      <c r="E287">
        <v>0</v>
      </c>
      <c r="F287">
        <v>0.01</v>
      </c>
      <c r="G287">
        <v>0</v>
      </c>
      <c r="H287">
        <v>0</v>
      </c>
      <c r="I287">
        <v>0.01</v>
      </c>
      <c r="J287">
        <v>0.01</v>
      </c>
      <c r="K287">
        <v>0.01</v>
      </c>
      <c r="L287">
        <v>0.01</v>
      </c>
      <c r="M287">
        <v>0.01</v>
      </c>
      <c r="N287">
        <v>0.01</v>
      </c>
      <c r="O287">
        <v>0</v>
      </c>
      <c r="P287">
        <v>0.01</v>
      </c>
      <c r="Q287">
        <v>0.01</v>
      </c>
      <c r="R287">
        <v>0</v>
      </c>
      <c r="S287">
        <v>0.01</v>
      </c>
      <c r="T287">
        <v>0</v>
      </c>
      <c r="U287">
        <v>0</v>
      </c>
      <c r="V287">
        <v>0</v>
      </c>
      <c r="W287">
        <v>0.01</v>
      </c>
      <c r="X287">
        <v>0</v>
      </c>
      <c r="Y287">
        <v>0.01</v>
      </c>
      <c r="Z287">
        <v>0</v>
      </c>
      <c r="AA287">
        <v>0.01</v>
      </c>
      <c r="AB287">
        <v>0</v>
      </c>
      <c r="AC287">
        <v>0.01</v>
      </c>
      <c r="AD287">
        <v>0.01</v>
      </c>
      <c r="AE287">
        <v>0.01</v>
      </c>
      <c r="AF287">
        <v>0.01</v>
      </c>
      <c r="AG287">
        <v>0.01</v>
      </c>
      <c r="AH287">
        <v>0</v>
      </c>
      <c r="AI287">
        <v>0.01</v>
      </c>
      <c r="AJ287">
        <v>0</v>
      </c>
      <c r="AK287">
        <v>0.01</v>
      </c>
      <c r="AL287">
        <v>0.01</v>
      </c>
      <c r="AM287">
        <v>0.01</v>
      </c>
      <c r="AN287">
        <v>0.01</v>
      </c>
      <c r="AO287">
        <v>0.01</v>
      </c>
      <c r="AP287">
        <v>0.01</v>
      </c>
      <c r="AQ287">
        <v>0</v>
      </c>
      <c r="AR287">
        <v>0.01</v>
      </c>
      <c r="AS287">
        <v>0.01</v>
      </c>
      <c r="AT287">
        <v>0</v>
      </c>
      <c r="AU287">
        <v>0</v>
      </c>
      <c r="AV287">
        <v>0</v>
      </c>
      <c r="AW287">
        <v>0</v>
      </c>
      <c r="AX287">
        <v>0.01</v>
      </c>
      <c r="AY287">
        <v>0.01</v>
      </c>
      <c r="AZ287">
        <v>0.01</v>
      </c>
      <c r="BA287">
        <v>0</v>
      </c>
      <c r="BB287">
        <v>0</v>
      </c>
      <c r="BC287">
        <v>0.01</v>
      </c>
      <c r="BD287">
        <v>0</v>
      </c>
      <c r="BE287">
        <v>0.01</v>
      </c>
      <c r="BF287">
        <v>0.01</v>
      </c>
      <c r="BG287">
        <v>0.01</v>
      </c>
      <c r="BH287">
        <v>0.01</v>
      </c>
      <c r="BI287">
        <v>0.01</v>
      </c>
      <c r="BJ287">
        <v>0.01</v>
      </c>
      <c r="BK287">
        <v>0</v>
      </c>
      <c r="BL287">
        <v>0</v>
      </c>
      <c r="BM287">
        <v>0</v>
      </c>
      <c r="BN287">
        <v>0.01</v>
      </c>
      <c r="BO287">
        <v>0.01</v>
      </c>
      <c r="BP287">
        <v>0</v>
      </c>
      <c r="BQ287">
        <v>0</v>
      </c>
      <c r="BR287">
        <v>0.01</v>
      </c>
      <c r="BS287">
        <v>0</v>
      </c>
      <c r="BT287">
        <v>0</v>
      </c>
      <c r="BU287">
        <v>0</v>
      </c>
      <c r="BV287">
        <v>0.01</v>
      </c>
      <c r="BW287">
        <v>0</v>
      </c>
      <c r="BX287">
        <v>0.01</v>
      </c>
      <c r="BY287">
        <v>0.01</v>
      </c>
      <c r="BZ287">
        <v>0.01</v>
      </c>
      <c r="CA287">
        <v>0.01</v>
      </c>
      <c r="CB287">
        <v>0.01</v>
      </c>
      <c r="CC287">
        <v>0.01</v>
      </c>
      <c r="CD287">
        <v>0</v>
      </c>
      <c r="CE287">
        <v>0.01</v>
      </c>
      <c r="CF287">
        <v>0</v>
      </c>
      <c r="CG287">
        <v>0.01</v>
      </c>
      <c r="CH287">
        <v>0.01</v>
      </c>
      <c r="CI287">
        <v>0.01</v>
      </c>
      <c r="CJ287">
        <v>0.01</v>
      </c>
      <c r="CK287">
        <v>0.01</v>
      </c>
      <c r="CL287">
        <v>0.01</v>
      </c>
      <c r="CM287">
        <v>0</v>
      </c>
      <c r="CN287">
        <v>0.01</v>
      </c>
      <c r="CO287">
        <v>0.01</v>
      </c>
      <c r="CP287">
        <v>0.01</v>
      </c>
      <c r="CQ287">
        <v>0.01</v>
      </c>
      <c r="CR287">
        <v>0</v>
      </c>
      <c r="CS287">
        <v>0</v>
      </c>
    </row>
    <row r="288" spans="1:97" x14ac:dyDescent="0.3">
      <c r="A288" s="155">
        <v>998</v>
      </c>
      <c r="B288" t="s">
        <v>277</v>
      </c>
      <c r="D288">
        <v>50</v>
      </c>
      <c r="E288">
        <v>50</v>
      </c>
      <c r="F288">
        <v>50</v>
      </c>
      <c r="G288">
        <v>50</v>
      </c>
      <c r="H288">
        <v>50</v>
      </c>
      <c r="I288">
        <v>50</v>
      </c>
      <c r="J288">
        <v>50</v>
      </c>
      <c r="K288">
        <v>50</v>
      </c>
      <c r="L288">
        <v>50</v>
      </c>
      <c r="M288">
        <v>50</v>
      </c>
      <c r="N288">
        <v>50</v>
      </c>
      <c r="O288">
        <v>50</v>
      </c>
      <c r="P288">
        <v>50</v>
      </c>
      <c r="Q288">
        <v>50</v>
      </c>
      <c r="R288">
        <v>50</v>
      </c>
      <c r="S288">
        <v>50</v>
      </c>
      <c r="T288">
        <v>50</v>
      </c>
      <c r="U288">
        <v>50</v>
      </c>
      <c r="V288">
        <v>50</v>
      </c>
      <c r="W288">
        <v>50</v>
      </c>
      <c r="X288">
        <v>50</v>
      </c>
      <c r="Y288">
        <v>50</v>
      </c>
      <c r="Z288">
        <v>50</v>
      </c>
      <c r="AA288">
        <v>50</v>
      </c>
      <c r="AB288">
        <v>50</v>
      </c>
      <c r="AC288">
        <v>50</v>
      </c>
      <c r="AD288">
        <v>50</v>
      </c>
      <c r="AE288">
        <v>50</v>
      </c>
      <c r="AF288">
        <v>50</v>
      </c>
      <c r="AG288">
        <v>50</v>
      </c>
      <c r="AH288">
        <v>50</v>
      </c>
      <c r="AI288">
        <v>50</v>
      </c>
      <c r="AJ288">
        <v>50</v>
      </c>
      <c r="AK288">
        <v>50</v>
      </c>
      <c r="AL288">
        <v>50</v>
      </c>
      <c r="AM288">
        <v>50</v>
      </c>
      <c r="AN288">
        <v>50</v>
      </c>
      <c r="AO288">
        <v>50</v>
      </c>
      <c r="AP288">
        <v>50</v>
      </c>
      <c r="AQ288">
        <v>50</v>
      </c>
      <c r="AR288">
        <v>50</v>
      </c>
      <c r="AS288">
        <v>50</v>
      </c>
      <c r="AT288">
        <v>50</v>
      </c>
      <c r="AU288">
        <v>50</v>
      </c>
      <c r="AV288">
        <v>50</v>
      </c>
      <c r="AW288">
        <v>50</v>
      </c>
      <c r="AX288">
        <v>50</v>
      </c>
      <c r="AY288">
        <v>50</v>
      </c>
      <c r="AZ288">
        <v>50</v>
      </c>
      <c r="BA288">
        <v>50</v>
      </c>
      <c r="BB288">
        <v>50</v>
      </c>
      <c r="BC288">
        <v>50</v>
      </c>
      <c r="BD288">
        <v>50</v>
      </c>
      <c r="BE288">
        <v>50</v>
      </c>
      <c r="BF288">
        <v>50</v>
      </c>
      <c r="BG288">
        <v>50</v>
      </c>
      <c r="BH288">
        <v>50</v>
      </c>
      <c r="BI288">
        <v>50</v>
      </c>
      <c r="BJ288">
        <v>50</v>
      </c>
      <c r="BK288">
        <v>50</v>
      </c>
      <c r="BL288">
        <v>50</v>
      </c>
      <c r="BM288">
        <v>50</v>
      </c>
      <c r="BN288">
        <v>50</v>
      </c>
      <c r="BO288">
        <v>50</v>
      </c>
      <c r="BP288">
        <v>50</v>
      </c>
      <c r="BQ288">
        <v>50</v>
      </c>
      <c r="BR288">
        <v>50</v>
      </c>
      <c r="BS288">
        <v>50</v>
      </c>
      <c r="BT288">
        <v>50</v>
      </c>
      <c r="BU288">
        <v>50</v>
      </c>
      <c r="BV288">
        <v>50</v>
      </c>
      <c r="BW288">
        <v>50</v>
      </c>
      <c r="BX288">
        <v>50</v>
      </c>
      <c r="BY288">
        <v>50</v>
      </c>
      <c r="BZ288">
        <v>50</v>
      </c>
      <c r="CA288">
        <v>50</v>
      </c>
      <c r="CB288">
        <v>50</v>
      </c>
      <c r="CC288">
        <v>50</v>
      </c>
      <c r="CD288">
        <v>50</v>
      </c>
      <c r="CE288">
        <v>50</v>
      </c>
      <c r="CF288">
        <v>50</v>
      </c>
      <c r="CG288">
        <v>50</v>
      </c>
      <c r="CH288">
        <v>50</v>
      </c>
      <c r="CI288">
        <v>50</v>
      </c>
      <c r="CJ288">
        <v>50</v>
      </c>
      <c r="CK288">
        <v>50</v>
      </c>
      <c r="CL288">
        <v>50</v>
      </c>
      <c r="CM288">
        <v>50</v>
      </c>
      <c r="CN288">
        <v>50</v>
      </c>
      <c r="CO288">
        <v>50</v>
      </c>
      <c r="CP288">
        <v>50</v>
      </c>
      <c r="CQ288">
        <v>50</v>
      </c>
      <c r="CR288">
        <v>50</v>
      </c>
      <c r="CS288">
        <v>50</v>
      </c>
    </row>
    <row r="289" spans="1:97" x14ac:dyDescent="0.3">
      <c r="A289" s="155">
        <v>999</v>
      </c>
      <c r="B289" t="s">
        <v>278</v>
      </c>
      <c r="D289">
        <v>50526</v>
      </c>
      <c r="E289">
        <v>50554</v>
      </c>
      <c r="F289">
        <v>50343</v>
      </c>
      <c r="G289">
        <v>50372</v>
      </c>
      <c r="H289">
        <v>50457</v>
      </c>
      <c r="I289">
        <v>50373</v>
      </c>
      <c r="J289">
        <v>50374</v>
      </c>
      <c r="K289">
        <v>50375</v>
      </c>
      <c r="L289">
        <v>50376</v>
      </c>
      <c r="M289">
        <v>50377</v>
      </c>
      <c r="N289">
        <v>50378</v>
      </c>
      <c r="O289">
        <v>50379</v>
      </c>
      <c r="P289">
        <v>50530</v>
      </c>
      <c r="Q289">
        <v>50380</v>
      </c>
      <c r="R289">
        <v>50483</v>
      </c>
      <c r="S289">
        <v>50381</v>
      </c>
      <c r="T289">
        <v>50501</v>
      </c>
      <c r="U289">
        <v>50494</v>
      </c>
      <c r="V289">
        <v>50382</v>
      </c>
      <c r="W289">
        <v>50383</v>
      </c>
      <c r="X289">
        <v>50384</v>
      </c>
      <c r="Y289">
        <v>50557</v>
      </c>
      <c r="Z289">
        <v>50385</v>
      </c>
      <c r="AA289">
        <v>50386</v>
      </c>
      <c r="AB289">
        <v>50388</v>
      </c>
      <c r="AC289">
        <v>50387</v>
      </c>
      <c r="AD289">
        <v>50389</v>
      </c>
      <c r="AE289">
        <v>50500</v>
      </c>
      <c r="AF289">
        <v>50390</v>
      </c>
      <c r="AG289">
        <v>50391</v>
      </c>
      <c r="AH289">
        <v>50531</v>
      </c>
      <c r="AI289">
        <v>50392</v>
      </c>
      <c r="AJ289">
        <v>50458</v>
      </c>
      <c r="AK289">
        <v>50393</v>
      </c>
      <c r="AL289">
        <v>50544</v>
      </c>
      <c r="AM289">
        <v>50394</v>
      </c>
      <c r="AN289">
        <v>50395</v>
      </c>
      <c r="AO289">
        <v>50396</v>
      </c>
      <c r="AP289">
        <v>50397</v>
      </c>
      <c r="AQ289">
        <v>50550</v>
      </c>
      <c r="AR289">
        <v>50398</v>
      </c>
      <c r="AS289">
        <v>50399</v>
      </c>
      <c r="AT289">
        <v>50400</v>
      </c>
      <c r="AU289">
        <v>50532</v>
      </c>
      <c r="AV289">
        <v>50401</v>
      </c>
      <c r="AW289">
        <v>50402</v>
      </c>
      <c r="AX289">
        <v>50485</v>
      </c>
      <c r="AY289">
        <v>50403</v>
      </c>
      <c r="AZ289">
        <v>50404</v>
      </c>
      <c r="BA289">
        <v>50405</v>
      </c>
      <c r="BB289">
        <v>50533</v>
      </c>
      <c r="BC289">
        <v>50406</v>
      </c>
      <c r="BD289">
        <v>50565</v>
      </c>
      <c r="BE289">
        <v>50407</v>
      </c>
      <c r="BF289">
        <v>50486</v>
      </c>
      <c r="BG289">
        <v>50408</v>
      </c>
      <c r="BH289">
        <v>50409</v>
      </c>
      <c r="BI289">
        <v>50410</v>
      </c>
      <c r="BJ289">
        <v>50411</v>
      </c>
      <c r="BK289">
        <v>50412</v>
      </c>
      <c r="BL289">
        <v>50488</v>
      </c>
      <c r="BM289">
        <v>50413</v>
      </c>
      <c r="BN289">
        <v>50414</v>
      </c>
      <c r="BO289">
        <v>50415</v>
      </c>
      <c r="BP289">
        <v>50416</v>
      </c>
      <c r="BQ289">
        <v>50534</v>
      </c>
      <c r="BR289">
        <v>50417</v>
      </c>
      <c r="BS289">
        <v>50418</v>
      </c>
      <c r="BT289">
        <v>50546</v>
      </c>
      <c r="BU289">
        <v>50552</v>
      </c>
      <c r="BV289">
        <v>50419</v>
      </c>
      <c r="BW289">
        <v>50441</v>
      </c>
      <c r="BX289">
        <v>50420</v>
      </c>
      <c r="BY289">
        <v>50421</v>
      </c>
      <c r="BZ289">
        <v>50422</v>
      </c>
      <c r="CA289">
        <v>50535</v>
      </c>
      <c r="CB289">
        <v>50423</v>
      </c>
      <c r="CC289">
        <v>50424</v>
      </c>
      <c r="CD289">
        <v>50425</v>
      </c>
      <c r="CE289">
        <v>50426</v>
      </c>
      <c r="CF289">
        <v>50537</v>
      </c>
      <c r="CG289">
        <v>50427</v>
      </c>
      <c r="CH289">
        <v>50428</v>
      </c>
      <c r="CI289">
        <v>50429</v>
      </c>
      <c r="CJ289">
        <v>50431</v>
      </c>
      <c r="CK289">
        <v>50430</v>
      </c>
      <c r="CL289">
        <v>50432</v>
      </c>
      <c r="CM289">
        <v>50453</v>
      </c>
      <c r="CN289">
        <v>50433</v>
      </c>
      <c r="CO289">
        <v>50435</v>
      </c>
      <c r="CP289">
        <v>50436</v>
      </c>
      <c r="CQ289">
        <v>50499</v>
      </c>
      <c r="CR289">
        <v>50438</v>
      </c>
      <c r="CS289">
        <v>50439</v>
      </c>
    </row>
    <row r="290" spans="1:97" x14ac:dyDescent="0.3">
      <c r="A290" s="155">
        <v>9000</v>
      </c>
      <c r="B290" t="s">
        <v>1030</v>
      </c>
      <c r="C290" t="s">
        <v>351</v>
      </c>
      <c r="D290">
        <v>7344623.4500000002</v>
      </c>
      <c r="E290">
        <v>73086180.609999999</v>
      </c>
      <c r="F290">
        <v>87025291.396500006</v>
      </c>
      <c r="G290">
        <v>6638206.1950000003</v>
      </c>
      <c r="H290">
        <v>246558505.36500001</v>
      </c>
      <c r="I290">
        <v>44809195.479999997</v>
      </c>
      <c r="J290">
        <v>153265863.34</v>
      </c>
      <c r="K290">
        <v>118831823.18000001</v>
      </c>
      <c r="L290">
        <v>32920896.27</v>
      </c>
      <c r="M290">
        <v>2180917258.8178</v>
      </c>
      <c r="N290">
        <v>42519019.039999999</v>
      </c>
      <c r="O290">
        <v>9638263.8599999994</v>
      </c>
      <c r="P290">
        <v>57747410.009999998</v>
      </c>
      <c r="Q290">
        <v>65981627.149999999</v>
      </c>
      <c r="R290">
        <v>3009962.53</v>
      </c>
      <c r="S290">
        <v>25953818.120000001</v>
      </c>
      <c r="T290">
        <v>40330624.229999997</v>
      </c>
      <c r="U290">
        <v>90375218.567499995</v>
      </c>
      <c r="V290">
        <v>195558695.09</v>
      </c>
      <c r="W290">
        <v>671396447.69000006</v>
      </c>
      <c r="X290">
        <v>91517187.969999999</v>
      </c>
      <c r="Y290">
        <v>69229538.010000005</v>
      </c>
      <c r="Z290">
        <v>127435396.11</v>
      </c>
      <c r="AA290">
        <v>139342759.81</v>
      </c>
      <c r="AB290">
        <v>1252904.8799999999</v>
      </c>
      <c r="AC290">
        <v>797237124.57000005</v>
      </c>
      <c r="AD290">
        <v>130511794.98</v>
      </c>
      <c r="AE290">
        <v>41252346.850000001</v>
      </c>
      <c r="AF290">
        <v>24218597.399999999</v>
      </c>
      <c r="AG290">
        <v>949217218.25</v>
      </c>
      <c r="AH290">
        <v>25009959.739999998</v>
      </c>
      <c r="AI290">
        <v>185375658.03999999</v>
      </c>
      <c r="AJ290">
        <v>48177494.659999996</v>
      </c>
      <c r="AK290">
        <v>30864318.789999999</v>
      </c>
      <c r="AL290">
        <v>222206018.69999999</v>
      </c>
      <c r="AM290">
        <v>196160457.68000001</v>
      </c>
      <c r="AN290">
        <v>127034332</v>
      </c>
      <c r="AO290">
        <v>101734443.8628</v>
      </c>
      <c r="AP290">
        <v>5344622.41</v>
      </c>
      <c r="AQ290">
        <v>25512110.210000001</v>
      </c>
      <c r="AR290">
        <v>304837881.44</v>
      </c>
      <c r="AS290">
        <v>50522799.100000001</v>
      </c>
      <c r="AT290">
        <v>7409551.2300000004</v>
      </c>
      <c r="AU290">
        <v>16638759.68</v>
      </c>
      <c r="AV290">
        <v>15023292.68</v>
      </c>
      <c r="AW290">
        <v>2381782.34</v>
      </c>
      <c r="AX290">
        <v>13223196.76</v>
      </c>
      <c r="AY290">
        <v>195759473.396</v>
      </c>
      <c r="AZ290">
        <v>36238864.840000004</v>
      </c>
      <c r="BA290">
        <v>1856682583.4849999</v>
      </c>
      <c r="BB290">
        <v>66885601.490000002</v>
      </c>
      <c r="BC290">
        <v>219723609.40000001</v>
      </c>
      <c r="BD290">
        <v>43525424.210000001</v>
      </c>
      <c r="BE290">
        <v>59749091.409999996</v>
      </c>
      <c r="BF290">
        <v>64105022.32</v>
      </c>
      <c r="BG290">
        <v>17901727.91</v>
      </c>
      <c r="BH290">
        <v>88121718.980000004</v>
      </c>
      <c r="BI290">
        <v>165490670.11000001</v>
      </c>
      <c r="BJ290">
        <v>1081747235.0799999</v>
      </c>
      <c r="BK290">
        <v>6752091.0800000001</v>
      </c>
      <c r="BL290">
        <v>3252257.74</v>
      </c>
      <c r="BM290">
        <v>468779116.98000002</v>
      </c>
      <c r="BN290">
        <v>634673943.17569995</v>
      </c>
      <c r="BO290">
        <v>255330434.47</v>
      </c>
      <c r="BP290">
        <v>3198486.5</v>
      </c>
      <c r="BQ290">
        <v>45603720.07</v>
      </c>
      <c r="BR290">
        <v>99749771.969999999</v>
      </c>
      <c r="BS290">
        <v>193077335.71000001</v>
      </c>
      <c r="BT290">
        <v>29810206</v>
      </c>
      <c r="BU290">
        <v>24524209.649999999</v>
      </c>
      <c r="BV290">
        <v>117099280.33</v>
      </c>
      <c r="BW290">
        <v>83676346.319999993</v>
      </c>
      <c r="BX290">
        <v>24244997.050000001</v>
      </c>
      <c r="BY290">
        <v>112142044.55</v>
      </c>
      <c r="BZ290">
        <v>230973630.91</v>
      </c>
      <c r="CA290">
        <v>9271242.1699999999</v>
      </c>
      <c r="CB290">
        <v>334001925.80000001</v>
      </c>
      <c r="CC290">
        <v>327359074.88</v>
      </c>
      <c r="CD290">
        <v>4389438884.1983995</v>
      </c>
      <c r="CE290">
        <v>3746952933.6350002</v>
      </c>
      <c r="CF290">
        <v>47517807.93</v>
      </c>
      <c r="CG290">
        <v>198720092.63499999</v>
      </c>
      <c r="CH290">
        <v>34429085.07</v>
      </c>
      <c r="CI290">
        <v>104134819.83</v>
      </c>
      <c r="CJ290">
        <v>12733742223.7374</v>
      </c>
      <c r="CK290">
        <v>509514533.565</v>
      </c>
      <c r="CL290">
        <v>46853717.740000002</v>
      </c>
      <c r="CM290">
        <v>96656112.810000002</v>
      </c>
      <c r="CN290">
        <v>33379899.52</v>
      </c>
      <c r="CO290">
        <v>413704828.79750001</v>
      </c>
      <c r="CP290">
        <v>171740363.34</v>
      </c>
      <c r="CQ290">
        <v>108716242.90000001</v>
      </c>
      <c r="CR290">
        <v>69348194.340000004</v>
      </c>
      <c r="CS290">
        <v>382570749.94999999</v>
      </c>
    </row>
    <row r="291" spans="1:97" x14ac:dyDescent="0.3">
      <c r="A291" s="155">
        <v>9001</v>
      </c>
      <c r="B291" t="s">
        <v>1031</v>
      </c>
      <c r="C291" t="s">
        <v>1032</v>
      </c>
      <c r="D291">
        <v>886311</v>
      </c>
      <c r="E291">
        <v>10112394</v>
      </c>
      <c r="F291">
        <v>4531857</v>
      </c>
      <c r="G291">
        <v>941009</v>
      </c>
      <c r="H291">
        <v>25873645</v>
      </c>
      <c r="I291">
        <v>2340901</v>
      </c>
      <c r="J291">
        <v>7468973</v>
      </c>
      <c r="K291">
        <v>2312454</v>
      </c>
      <c r="L291">
        <v>2437141</v>
      </c>
      <c r="M291">
        <v>95679481</v>
      </c>
      <c r="N291">
        <v>1882274</v>
      </c>
      <c r="O291">
        <v>1138710</v>
      </c>
      <c r="P291">
        <v>5120429</v>
      </c>
      <c r="Q291">
        <v>2393752</v>
      </c>
      <c r="R291">
        <v>360753</v>
      </c>
      <c r="S291">
        <v>695963</v>
      </c>
      <c r="T291">
        <v>4904583</v>
      </c>
      <c r="U291">
        <v>14612234</v>
      </c>
      <c r="V291">
        <v>31907174</v>
      </c>
      <c r="W291">
        <v>50205793</v>
      </c>
      <c r="X291">
        <v>12430719</v>
      </c>
      <c r="Y291">
        <v>3728120</v>
      </c>
      <c r="Z291">
        <v>21295663</v>
      </c>
      <c r="AA291">
        <v>8312876</v>
      </c>
      <c r="AB291">
        <v>113667</v>
      </c>
      <c r="AC291">
        <v>21685008</v>
      </c>
      <c r="AD291">
        <v>4062388</v>
      </c>
      <c r="AE291">
        <v>2083423</v>
      </c>
      <c r="AF291">
        <v>1034930</v>
      </c>
      <c r="AG291">
        <v>48429787</v>
      </c>
      <c r="AH291">
        <v>3876004</v>
      </c>
      <c r="AI291">
        <v>14254348</v>
      </c>
      <c r="AJ291">
        <v>8414133</v>
      </c>
      <c r="AK291">
        <v>1488431</v>
      </c>
      <c r="AL291">
        <v>13188539</v>
      </c>
      <c r="AM291">
        <v>14131000</v>
      </c>
      <c r="AN291">
        <v>9306741</v>
      </c>
      <c r="AO291">
        <v>6578329</v>
      </c>
      <c r="AP291">
        <v>202257</v>
      </c>
      <c r="AQ291">
        <v>3338253</v>
      </c>
      <c r="AR291">
        <v>15038422</v>
      </c>
      <c r="AS291">
        <v>1521076</v>
      </c>
      <c r="AT291">
        <v>1734466</v>
      </c>
      <c r="AU291">
        <v>2618788</v>
      </c>
      <c r="AV291">
        <v>1613787</v>
      </c>
      <c r="AW291">
        <v>253804</v>
      </c>
      <c r="AX291">
        <v>1255044</v>
      </c>
      <c r="AY291">
        <v>12601517</v>
      </c>
      <c r="AZ291">
        <v>3057778</v>
      </c>
      <c r="BA291">
        <v>333404245</v>
      </c>
      <c r="BB291">
        <v>9497674</v>
      </c>
      <c r="BC291">
        <v>8033045</v>
      </c>
      <c r="BD291">
        <v>7734183</v>
      </c>
      <c r="BE291">
        <v>2986578</v>
      </c>
      <c r="BF291">
        <v>5393218</v>
      </c>
      <c r="BG291">
        <v>344654</v>
      </c>
      <c r="BH291">
        <v>1596171</v>
      </c>
      <c r="BI291">
        <v>5547478</v>
      </c>
      <c r="BJ291">
        <v>43965981</v>
      </c>
      <c r="BK291">
        <v>744672</v>
      </c>
      <c r="BL291">
        <v>339551</v>
      </c>
      <c r="BM291">
        <v>82189596</v>
      </c>
      <c r="BN291">
        <v>38972560</v>
      </c>
      <c r="BO291">
        <v>21751453</v>
      </c>
      <c r="BP291">
        <v>374099</v>
      </c>
      <c r="BQ291">
        <v>6157106</v>
      </c>
      <c r="BR291">
        <v>3456038</v>
      </c>
      <c r="BS291">
        <v>21830079</v>
      </c>
      <c r="BT291">
        <v>6817653</v>
      </c>
      <c r="BU291">
        <v>4300870</v>
      </c>
      <c r="BV291">
        <v>6949315</v>
      </c>
      <c r="BW291">
        <v>11797991</v>
      </c>
      <c r="BX291">
        <v>739275</v>
      </c>
      <c r="BY291">
        <v>4634622</v>
      </c>
      <c r="BZ291">
        <v>14908855</v>
      </c>
      <c r="CA291">
        <v>806987</v>
      </c>
      <c r="CB291">
        <v>12926156</v>
      </c>
      <c r="CC291">
        <v>21181222</v>
      </c>
      <c r="CD291">
        <v>768227888</v>
      </c>
      <c r="CE291">
        <v>163132389</v>
      </c>
      <c r="CF291">
        <v>2872536</v>
      </c>
      <c r="CG291">
        <v>10724817</v>
      </c>
      <c r="CH291">
        <v>1016714</v>
      </c>
      <c r="CI291">
        <v>6419355</v>
      </c>
      <c r="CJ291">
        <v>906002340</v>
      </c>
      <c r="CK291">
        <v>39186113</v>
      </c>
      <c r="CL291">
        <v>1820707</v>
      </c>
      <c r="CM291">
        <v>11185287</v>
      </c>
      <c r="CN291">
        <v>1930047</v>
      </c>
      <c r="CO291">
        <v>41871676</v>
      </c>
      <c r="CP291">
        <v>9592937</v>
      </c>
      <c r="CQ291">
        <v>5643014</v>
      </c>
      <c r="CR291">
        <v>8524363</v>
      </c>
      <c r="CS291">
        <v>63958306</v>
      </c>
    </row>
    <row r="292" spans="1:97" x14ac:dyDescent="0.3">
      <c r="A292" s="155">
        <v>9002</v>
      </c>
      <c r="B292" t="s">
        <v>1033</v>
      </c>
      <c r="C292" t="s">
        <v>1034</v>
      </c>
      <c r="D292">
        <v>0</v>
      </c>
      <c r="E292">
        <v>448932</v>
      </c>
      <c r="F292">
        <v>250247</v>
      </c>
      <c r="G292">
        <v>4492</v>
      </c>
      <c r="H292">
        <v>779779</v>
      </c>
      <c r="I292">
        <v>32528</v>
      </c>
      <c r="J292">
        <v>405647</v>
      </c>
      <c r="K292">
        <v>32127</v>
      </c>
      <c r="L292">
        <v>35560</v>
      </c>
      <c r="M292">
        <v>4106174</v>
      </c>
      <c r="N292">
        <v>51394</v>
      </c>
      <c r="O292">
        <v>11278</v>
      </c>
      <c r="P292">
        <v>32411</v>
      </c>
      <c r="Q292">
        <v>68772</v>
      </c>
      <c r="R292">
        <v>0</v>
      </c>
      <c r="S292">
        <v>8103</v>
      </c>
      <c r="T292">
        <v>303148</v>
      </c>
      <c r="U292">
        <v>188187</v>
      </c>
      <c r="V292">
        <v>366743</v>
      </c>
      <c r="W292">
        <v>956029</v>
      </c>
      <c r="X292">
        <v>1065007</v>
      </c>
      <c r="Y292">
        <v>26053</v>
      </c>
      <c r="Z292">
        <v>450502</v>
      </c>
      <c r="AA292">
        <v>130483</v>
      </c>
      <c r="AB292">
        <v>2538</v>
      </c>
      <c r="AC292">
        <v>503546</v>
      </c>
      <c r="AD292">
        <v>57283</v>
      </c>
      <c r="AE292">
        <v>27786</v>
      </c>
      <c r="AF292">
        <v>5935</v>
      </c>
      <c r="AG292">
        <v>2939257</v>
      </c>
      <c r="AH292">
        <v>34763</v>
      </c>
      <c r="AI292">
        <v>135548</v>
      </c>
      <c r="AJ292">
        <v>60221</v>
      </c>
      <c r="AK292">
        <v>74932</v>
      </c>
      <c r="AL292">
        <v>36549</v>
      </c>
      <c r="AM292">
        <v>816821</v>
      </c>
      <c r="AN292">
        <v>255028</v>
      </c>
      <c r="AO292">
        <v>220246</v>
      </c>
      <c r="AP292">
        <v>2550</v>
      </c>
      <c r="AQ292">
        <v>18846</v>
      </c>
      <c r="AR292">
        <v>178237</v>
      </c>
      <c r="AS292">
        <v>60032</v>
      </c>
      <c r="AT292">
        <v>17088</v>
      </c>
      <c r="AU292">
        <v>956</v>
      </c>
      <c r="AV292">
        <v>45747</v>
      </c>
      <c r="AW292">
        <v>3312</v>
      </c>
      <c r="AX292">
        <v>20481</v>
      </c>
      <c r="AY292">
        <v>267552</v>
      </c>
      <c r="AZ292">
        <v>10053</v>
      </c>
      <c r="BA292">
        <v>13867063</v>
      </c>
      <c r="BB292">
        <v>94552</v>
      </c>
      <c r="BC292">
        <v>424912</v>
      </c>
      <c r="BD292">
        <v>0</v>
      </c>
      <c r="BE292">
        <v>58285</v>
      </c>
      <c r="BF292">
        <v>64556</v>
      </c>
      <c r="BG292">
        <v>14961</v>
      </c>
      <c r="BH292">
        <v>18987</v>
      </c>
      <c r="BI292">
        <v>257529</v>
      </c>
      <c r="BJ292">
        <v>1733015</v>
      </c>
      <c r="BK292">
        <v>8198</v>
      </c>
      <c r="BL292">
        <v>0</v>
      </c>
      <c r="BM292">
        <v>1313813</v>
      </c>
      <c r="BN292">
        <v>1245903</v>
      </c>
      <c r="BO292">
        <v>1042854</v>
      </c>
      <c r="BP292">
        <v>2695</v>
      </c>
      <c r="BQ292">
        <v>125938</v>
      </c>
      <c r="BR292">
        <v>44798</v>
      </c>
      <c r="BS292">
        <v>4613847</v>
      </c>
      <c r="BT292">
        <v>36905</v>
      </c>
      <c r="BU292">
        <v>59524</v>
      </c>
      <c r="BV292">
        <v>161554</v>
      </c>
      <c r="BW292">
        <v>451320</v>
      </c>
      <c r="BX292">
        <v>49721</v>
      </c>
      <c r="BY292">
        <v>123545</v>
      </c>
      <c r="BZ292">
        <v>643672</v>
      </c>
      <c r="CA292">
        <v>2772</v>
      </c>
      <c r="CB292">
        <v>727982</v>
      </c>
      <c r="CC292">
        <v>1345350</v>
      </c>
      <c r="CD292">
        <v>52569517</v>
      </c>
      <c r="CE292">
        <v>11662469</v>
      </c>
      <c r="CF292">
        <v>47207</v>
      </c>
      <c r="CG292">
        <v>225574</v>
      </c>
      <c r="CH292">
        <v>33125</v>
      </c>
      <c r="CI292">
        <v>144840</v>
      </c>
      <c r="CJ292">
        <v>100042157</v>
      </c>
      <c r="CK292">
        <v>1835197</v>
      </c>
      <c r="CL292">
        <v>89038</v>
      </c>
      <c r="CM292">
        <v>900133</v>
      </c>
      <c r="CN292">
        <v>42567</v>
      </c>
      <c r="CO292">
        <v>1241785</v>
      </c>
      <c r="CP292">
        <v>199632</v>
      </c>
      <c r="CQ292">
        <v>124238</v>
      </c>
      <c r="CR292">
        <v>878283</v>
      </c>
      <c r="CS292">
        <v>1139485</v>
      </c>
    </row>
    <row r="293" spans="1:97" ht="28.8" x14ac:dyDescent="0.3">
      <c r="A293" s="155">
        <v>9003</v>
      </c>
      <c r="B293" s="527" t="s">
        <v>1035</v>
      </c>
      <c r="C293" t="s">
        <v>1036</v>
      </c>
      <c r="D293">
        <v>0</v>
      </c>
      <c r="E293">
        <v>2187953</v>
      </c>
      <c r="F293">
        <v>2915988</v>
      </c>
      <c r="G293">
        <v>4492</v>
      </c>
      <c r="H293">
        <v>4825279</v>
      </c>
      <c r="I293">
        <v>392299</v>
      </c>
      <c r="J293">
        <v>2749647</v>
      </c>
      <c r="K293">
        <v>334038</v>
      </c>
      <c r="L293">
        <v>212046</v>
      </c>
      <c r="M293">
        <v>19940858</v>
      </c>
      <c r="N293">
        <v>1035719</v>
      </c>
      <c r="O293">
        <v>11278</v>
      </c>
      <c r="P293">
        <v>32411</v>
      </c>
      <c r="Q293">
        <v>843210</v>
      </c>
      <c r="R293">
        <v>0</v>
      </c>
      <c r="S293">
        <v>22554</v>
      </c>
      <c r="T293">
        <v>1628787</v>
      </c>
      <c r="U293">
        <v>491616</v>
      </c>
      <c r="V293">
        <v>10455814</v>
      </c>
      <c r="W293">
        <v>4398771</v>
      </c>
      <c r="X293">
        <v>4257519</v>
      </c>
      <c r="Y293">
        <v>26053</v>
      </c>
      <c r="Z293">
        <v>3373326</v>
      </c>
      <c r="AA293">
        <v>890490</v>
      </c>
      <c r="AB293">
        <v>2538</v>
      </c>
      <c r="AC293">
        <v>27368106</v>
      </c>
      <c r="AD293">
        <v>2586897</v>
      </c>
      <c r="AE293">
        <v>318558</v>
      </c>
      <c r="AF293">
        <v>31374</v>
      </c>
      <c r="AG293">
        <v>35103694</v>
      </c>
      <c r="AH293">
        <v>79073</v>
      </c>
      <c r="AI293">
        <v>2389699</v>
      </c>
      <c r="AJ293">
        <v>628136</v>
      </c>
      <c r="AK293">
        <v>303345</v>
      </c>
      <c r="AL293">
        <v>232516</v>
      </c>
      <c r="AM293">
        <v>5369460</v>
      </c>
      <c r="AN293">
        <v>2476745</v>
      </c>
      <c r="AO293">
        <v>1306379</v>
      </c>
      <c r="AP293">
        <v>10769</v>
      </c>
      <c r="AQ293">
        <v>38500</v>
      </c>
      <c r="AR293">
        <v>5898753</v>
      </c>
      <c r="AS293">
        <v>267550</v>
      </c>
      <c r="AT293">
        <v>73164</v>
      </c>
      <c r="AU293">
        <v>956</v>
      </c>
      <c r="AV293">
        <v>662478</v>
      </c>
      <c r="AW293">
        <v>8751</v>
      </c>
      <c r="AX293">
        <v>297529</v>
      </c>
      <c r="AY293">
        <v>9777580</v>
      </c>
      <c r="AZ293">
        <v>539808</v>
      </c>
      <c r="BA293">
        <v>81224241</v>
      </c>
      <c r="BB293">
        <v>159890</v>
      </c>
      <c r="BC293">
        <v>2317080</v>
      </c>
      <c r="BD293">
        <v>0</v>
      </c>
      <c r="BE293">
        <v>151790</v>
      </c>
      <c r="BF293">
        <v>292288</v>
      </c>
      <c r="BG293">
        <v>20202</v>
      </c>
      <c r="BH293">
        <v>437498</v>
      </c>
      <c r="BI293">
        <v>1348335</v>
      </c>
      <c r="BJ293">
        <v>13432895</v>
      </c>
      <c r="BK293">
        <v>56659</v>
      </c>
      <c r="BL293">
        <v>0</v>
      </c>
      <c r="BM293">
        <v>8288385</v>
      </c>
      <c r="BN293">
        <v>18590073</v>
      </c>
      <c r="BO293">
        <v>5460641</v>
      </c>
      <c r="BP293">
        <v>2695</v>
      </c>
      <c r="BQ293">
        <v>213840</v>
      </c>
      <c r="BR293">
        <v>942984</v>
      </c>
      <c r="BS293">
        <v>14885897</v>
      </c>
      <c r="BT293">
        <v>378505</v>
      </c>
      <c r="BU293">
        <v>116266</v>
      </c>
      <c r="BV293">
        <v>785005</v>
      </c>
      <c r="BW293">
        <v>3928572</v>
      </c>
      <c r="BX293">
        <v>166718</v>
      </c>
      <c r="BY293">
        <v>860107</v>
      </c>
      <c r="BZ293">
        <v>8478039</v>
      </c>
      <c r="CA293">
        <v>2772</v>
      </c>
      <c r="CB293">
        <v>10549127</v>
      </c>
      <c r="CC293">
        <v>12538879</v>
      </c>
      <c r="CD293">
        <v>401063351</v>
      </c>
      <c r="CE293">
        <v>101969148</v>
      </c>
      <c r="CF293">
        <v>593535</v>
      </c>
      <c r="CG293">
        <v>3003808</v>
      </c>
      <c r="CH293">
        <v>261182</v>
      </c>
      <c r="CI293">
        <v>2723612</v>
      </c>
      <c r="CJ293">
        <v>564859394</v>
      </c>
      <c r="CK293">
        <v>9684578</v>
      </c>
      <c r="CL293">
        <v>406334</v>
      </c>
      <c r="CM293">
        <v>8224570</v>
      </c>
      <c r="CN293">
        <v>197381</v>
      </c>
      <c r="CO293">
        <v>11667944</v>
      </c>
      <c r="CP293">
        <v>1664135</v>
      </c>
      <c r="CQ293">
        <v>559549</v>
      </c>
      <c r="CR293">
        <v>4050842</v>
      </c>
      <c r="CS293">
        <v>14268022</v>
      </c>
    </row>
    <row r="294" spans="1:97" x14ac:dyDescent="0.3">
      <c r="A294" s="155">
        <v>9004</v>
      </c>
      <c r="B294" t="s">
        <v>1037</v>
      </c>
      <c r="C294" t="s">
        <v>1038</v>
      </c>
      <c r="D294" t="s">
        <v>351</v>
      </c>
      <c r="E294" t="s">
        <v>351</v>
      </c>
      <c r="F294" t="s">
        <v>1039</v>
      </c>
      <c r="G294" t="s">
        <v>351</v>
      </c>
      <c r="H294" t="s">
        <v>351</v>
      </c>
      <c r="I294" t="s">
        <v>1039</v>
      </c>
      <c r="J294" t="s">
        <v>1039</v>
      </c>
      <c r="K294" t="s">
        <v>1039</v>
      </c>
      <c r="L294" t="s">
        <v>1039</v>
      </c>
      <c r="M294" t="s">
        <v>1039</v>
      </c>
      <c r="N294" t="s">
        <v>1039</v>
      </c>
      <c r="O294" t="s">
        <v>351</v>
      </c>
      <c r="P294" t="s">
        <v>1039</v>
      </c>
      <c r="Q294" t="s">
        <v>1039</v>
      </c>
      <c r="R294" t="s">
        <v>351</v>
      </c>
      <c r="S294" t="s">
        <v>1039</v>
      </c>
      <c r="T294" t="s">
        <v>351</v>
      </c>
      <c r="U294" t="s">
        <v>351</v>
      </c>
      <c r="V294" t="s">
        <v>351</v>
      </c>
      <c r="W294" t="s">
        <v>1039</v>
      </c>
      <c r="X294" t="s">
        <v>351</v>
      </c>
      <c r="Y294" t="s">
        <v>1039</v>
      </c>
      <c r="Z294" t="s">
        <v>351</v>
      </c>
      <c r="AA294" t="s">
        <v>1039</v>
      </c>
      <c r="AB294" t="s">
        <v>351</v>
      </c>
      <c r="AC294" t="s">
        <v>1039</v>
      </c>
      <c r="AD294" t="s">
        <v>1039</v>
      </c>
      <c r="AE294" t="s">
        <v>1039</v>
      </c>
      <c r="AF294" t="s">
        <v>1039</v>
      </c>
      <c r="AG294" t="s">
        <v>1039</v>
      </c>
      <c r="AH294" t="s">
        <v>351</v>
      </c>
      <c r="AI294" t="s">
        <v>1039</v>
      </c>
      <c r="AJ294" t="s">
        <v>351</v>
      </c>
      <c r="AK294" t="s">
        <v>1039</v>
      </c>
      <c r="AL294" t="s">
        <v>1039</v>
      </c>
      <c r="AM294" t="s">
        <v>1039</v>
      </c>
      <c r="AN294" t="s">
        <v>1039</v>
      </c>
      <c r="AO294" t="s">
        <v>1039</v>
      </c>
      <c r="AP294" t="s">
        <v>1039</v>
      </c>
      <c r="AQ294" t="s">
        <v>351</v>
      </c>
      <c r="AR294" t="s">
        <v>1039</v>
      </c>
      <c r="AS294" t="s">
        <v>1039</v>
      </c>
      <c r="AT294" t="s">
        <v>351</v>
      </c>
      <c r="AU294" t="s">
        <v>351</v>
      </c>
      <c r="AV294" t="s">
        <v>351</v>
      </c>
      <c r="AW294" t="s">
        <v>351</v>
      </c>
      <c r="AX294" t="s">
        <v>1039</v>
      </c>
      <c r="AY294" t="s">
        <v>1039</v>
      </c>
      <c r="AZ294" t="s">
        <v>1039</v>
      </c>
      <c r="BA294" t="s">
        <v>351</v>
      </c>
      <c r="BB294" t="s">
        <v>351</v>
      </c>
      <c r="BC294" t="s">
        <v>1039</v>
      </c>
      <c r="BD294" t="s">
        <v>351</v>
      </c>
      <c r="BE294" t="s">
        <v>1039</v>
      </c>
      <c r="BF294" t="s">
        <v>1039</v>
      </c>
      <c r="BG294" t="s">
        <v>1039</v>
      </c>
      <c r="BH294" t="s">
        <v>1039</v>
      </c>
      <c r="BI294" t="s">
        <v>1039</v>
      </c>
      <c r="BJ294" t="s">
        <v>1039</v>
      </c>
      <c r="BK294" t="s">
        <v>351</v>
      </c>
      <c r="BL294" t="s">
        <v>351</v>
      </c>
      <c r="BM294" t="s">
        <v>351</v>
      </c>
      <c r="BN294" t="s">
        <v>1039</v>
      </c>
      <c r="BO294" t="s">
        <v>1039</v>
      </c>
      <c r="BP294" t="s">
        <v>351</v>
      </c>
      <c r="BQ294" t="s">
        <v>351</v>
      </c>
      <c r="BR294" t="s">
        <v>1039</v>
      </c>
      <c r="BS294" t="s">
        <v>351</v>
      </c>
      <c r="BT294" t="s">
        <v>351</v>
      </c>
      <c r="BU294" t="s">
        <v>351</v>
      </c>
      <c r="BV294" t="s">
        <v>1039</v>
      </c>
      <c r="BW294" t="s">
        <v>351</v>
      </c>
      <c r="BX294" t="s">
        <v>1039</v>
      </c>
      <c r="BY294" t="s">
        <v>1039</v>
      </c>
      <c r="BZ294" t="s">
        <v>1039</v>
      </c>
      <c r="CA294" t="s">
        <v>1039</v>
      </c>
      <c r="CB294" t="s">
        <v>1039</v>
      </c>
      <c r="CC294" t="s">
        <v>1039</v>
      </c>
      <c r="CD294" t="s">
        <v>351</v>
      </c>
      <c r="CE294" t="s">
        <v>1039</v>
      </c>
      <c r="CF294" t="s">
        <v>351</v>
      </c>
      <c r="CG294" t="s">
        <v>1039</v>
      </c>
      <c r="CH294" t="s">
        <v>1039</v>
      </c>
      <c r="CI294" t="s">
        <v>1039</v>
      </c>
      <c r="CJ294" t="s">
        <v>1039</v>
      </c>
      <c r="CK294" t="s">
        <v>1039</v>
      </c>
      <c r="CL294" t="s">
        <v>1039</v>
      </c>
      <c r="CM294" t="s">
        <v>351</v>
      </c>
      <c r="CN294" t="s">
        <v>1039</v>
      </c>
      <c r="CO294" t="s">
        <v>1039</v>
      </c>
      <c r="CP294" t="s">
        <v>1039</v>
      </c>
      <c r="CQ294" t="s">
        <v>1039</v>
      </c>
      <c r="CR294" t="s">
        <v>351</v>
      </c>
      <c r="CS294" t="s">
        <v>351</v>
      </c>
    </row>
    <row r="295" spans="1:97" ht="22.2" customHeight="1" x14ac:dyDescent="0.3">
      <c r="A295" s="155">
        <v>9005</v>
      </c>
      <c r="B295" t="s">
        <v>1040</v>
      </c>
      <c r="C295" t="s">
        <v>1041</v>
      </c>
      <c r="D295">
        <v>688898</v>
      </c>
      <c r="E295">
        <v>3510840</v>
      </c>
      <c r="F295">
        <v>850375</v>
      </c>
      <c r="G295">
        <v>650671</v>
      </c>
      <c r="H295">
        <v>9415801</v>
      </c>
      <c r="I295">
        <v>1096374</v>
      </c>
      <c r="J295">
        <v>1297216</v>
      </c>
      <c r="K295">
        <v>515697</v>
      </c>
      <c r="L295">
        <v>866593</v>
      </c>
      <c r="M295">
        <v>24442662</v>
      </c>
      <c r="N295">
        <v>580174</v>
      </c>
      <c r="O295">
        <v>417399</v>
      </c>
      <c r="P295">
        <v>3017357</v>
      </c>
      <c r="Q295">
        <v>861844</v>
      </c>
      <c r="R295">
        <v>268934</v>
      </c>
      <c r="S295">
        <v>332111</v>
      </c>
      <c r="T295">
        <v>1346124</v>
      </c>
      <c r="U295">
        <v>6955660</v>
      </c>
      <c r="V295">
        <v>9990863</v>
      </c>
      <c r="W295">
        <v>3046886</v>
      </c>
      <c r="X295">
        <v>2681268</v>
      </c>
      <c r="Y295">
        <v>3061941</v>
      </c>
      <c r="Z295">
        <v>5752832</v>
      </c>
      <c r="AA295">
        <v>1909706</v>
      </c>
      <c r="AB295">
        <v>73361</v>
      </c>
      <c r="AC295">
        <v>3014578</v>
      </c>
      <c r="AD295">
        <v>1539273</v>
      </c>
      <c r="AE295">
        <v>731394</v>
      </c>
      <c r="AF295">
        <v>663647</v>
      </c>
      <c r="AG295">
        <v>10288846</v>
      </c>
      <c r="AH295">
        <v>1546452</v>
      </c>
      <c r="AI295">
        <v>3161750</v>
      </c>
      <c r="AJ295">
        <v>1745644</v>
      </c>
      <c r="AK295">
        <v>683944</v>
      </c>
      <c r="AL295">
        <v>7219785</v>
      </c>
      <c r="AM295">
        <v>3010561</v>
      </c>
      <c r="AN295">
        <v>1436160</v>
      </c>
      <c r="AO295">
        <v>947325</v>
      </c>
      <c r="AP295">
        <v>92736</v>
      </c>
      <c r="AQ295">
        <v>3154791</v>
      </c>
      <c r="AR295">
        <v>4484434</v>
      </c>
      <c r="AS295">
        <v>815522</v>
      </c>
      <c r="AT295">
        <v>361711</v>
      </c>
      <c r="AU295">
        <v>1738935</v>
      </c>
      <c r="AV295">
        <v>529782</v>
      </c>
      <c r="AW295">
        <v>69952</v>
      </c>
      <c r="AX295">
        <v>166737</v>
      </c>
      <c r="AY295">
        <v>2768050</v>
      </c>
      <c r="AZ295">
        <v>1123798</v>
      </c>
      <c r="BA295">
        <v>15768305</v>
      </c>
      <c r="BB295">
        <v>4711998</v>
      </c>
      <c r="BC295">
        <v>1674957</v>
      </c>
      <c r="BD295">
        <v>3152658</v>
      </c>
      <c r="BE295">
        <v>1373455</v>
      </c>
      <c r="BF295">
        <v>1586768</v>
      </c>
      <c r="BG295">
        <v>244151</v>
      </c>
      <c r="BH295">
        <v>784176</v>
      </c>
      <c r="BI295">
        <v>2330971</v>
      </c>
      <c r="BJ295">
        <v>4540788</v>
      </c>
      <c r="BK295">
        <v>440343</v>
      </c>
      <c r="BL295">
        <v>277014</v>
      </c>
      <c r="BM295">
        <v>9481986</v>
      </c>
      <c r="BN295">
        <v>9361494</v>
      </c>
      <c r="BO295">
        <v>5104123</v>
      </c>
      <c r="BP295">
        <v>182179</v>
      </c>
      <c r="BQ295">
        <v>3745181</v>
      </c>
      <c r="BR295">
        <v>1369325</v>
      </c>
      <c r="BS295">
        <v>6458530</v>
      </c>
      <c r="BT295">
        <v>1610688</v>
      </c>
      <c r="BU295">
        <v>1612275</v>
      </c>
      <c r="BV295">
        <v>2727233</v>
      </c>
      <c r="BW295">
        <v>2716168</v>
      </c>
      <c r="BX295">
        <v>98289</v>
      </c>
      <c r="BY295">
        <v>1208421</v>
      </c>
      <c r="BZ295">
        <v>1677129</v>
      </c>
      <c r="CA295">
        <v>617049</v>
      </c>
      <c r="CB295">
        <v>1223664</v>
      </c>
      <c r="CC295">
        <v>3137387</v>
      </c>
      <c r="CD295">
        <v>87963178</v>
      </c>
      <c r="CE295">
        <v>22002241</v>
      </c>
      <c r="CF295">
        <v>1310930</v>
      </c>
      <c r="CG295">
        <v>1683782</v>
      </c>
      <c r="CH295">
        <v>221375</v>
      </c>
      <c r="CI295">
        <v>1419107</v>
      </c>
      <c r="CJ295">
        <v>80738162</v>
      </c>
      <c r="CK295">
        <v>10178233</v>
      </c>
      <c r="CL295">
        <v>1010385</v>
      </c>
      <c r="CM295">
        <v>3312513</v>
      </c>
      <c r="CN295">
        <v>914828</v>
      </c>
      <c r="CO295">
        <v>15364121</v>
      </c>
      <c r="CP295">
        <v>3126302</v>
      </c>
      <c r="CQ295">
        <v>1690019</v>
      </c>
      <c r="CR295">
        <v>2263880</v>
      </c>
      <c r="CS295">
        <v>12937588</v>
      </c>
    </row>
    <row r="296" spans="1:97" ht="19.2" customHeight="1" x14ac:dyDescent="0.3">
      <c r="A296" s="155">
        <v>9006</v>
      </c>
      <c r="B296" t="s">
        <v>1042</v>
      </c>
      <c r="C296" t="s">
        <v>1043</v>
      </c>
      <c r="D296">
        <v>219249</v>
      </c>
      <c r="E296">
        <v>3118459</v>
      </c>
      <c r="F296">
        <v>3778572</v>
      </c>
      <c r="G296">
        <v>122995</v>
      </c>
      <c r="H296">
        <v>8323115</v>
      </c>
      <c r="I296">
        <v>986813</v>
      </c>
      <c r="J296">
        <v>3204160</v>
      </c>
      <c r="K296">
        <v>851409</v>
      </c>
      <c r="L296">
        <v>648657</v>
      </c>
      <c r="M296">
        <v>35591341</v>
      </c>
      <c r="N296">
        <v>955769</v>
      </c>
      <c r="O296">
        <v>453493</v>
      </c>
      <c r="P296">
        <v>372016</v>
      </c>
      <c r="Q296">
        <v>1381184</v>
      </c>
      <c r="R296">
        <v>50941</v>
      </c>
      <c r="S296">
        <v>265101</v>
      </c>
      <c r="T296">
        <v>1798970</v>
      </c>
      <c r="U296">
        <v>1379946</v>
      </c>
      <c r="V296">
        <v>7433305</v>
      </c>
      <c r="W296">
        <v>12415944</v>
      </c>
      <c r="X296">
        <v>4347147</v>
      </c>
      <c r="Y296">
        <v>1333494</v>
      </c>
      <c r="Z296">
        <v>4292399</v>
      </c>
      <c r="AA296">
        <v>4031595</v>
      </c>
      <c r="AB296">
        <v>37290</v>
      </c>
      <c r="AC296">
        <v>10156224</v>
      </c>
      <c r="AD296">
        <v>2007687</v>
      </c>
      <c r="AE296">
        <v>1296585</v>
      </c>
      <c r="AF296">
        <v>222225</v>
      </c>
      <c r="AG296">
        <v>24026652</v>
      </c>
      <c r="AH296">
        <v>742528</v>
      </c>
      <c r="AI296">
        <v>3456425</v>
      </c>
      <c r="AJ296">
        <v>2530593</v>
      </c>
      <c r="AK296">
        <v>182217</v>
      </c>
      <c r="AL296">
        <v>2580567</v>
      </c>
      <c r="AM296">
        <v>3784821</v>
      </c>
      <c r="AN296">
        <v>3458952</v>
      </c>
      <c r="AO296">
        <v>2024019</v>
      </c>
      <c r="AP296">
        <v>370369</v>
      </c>
      <c r="AQ296">
        <v>352042</v>
      </c>
      <c r="AR296">
        <v>4689002</v>
      </c>
      <c r="AS296">
        <v>789926</v>
      </c>
      <c r="AT296">
        <v>185224</v>
      </c>
      <c r="AU296">
        <v>133230</v>
      </c>
      <c r="AV296">
        <v>994578</v>
      </c>
      <c r="AW296">
        <v>91390</v>
      </c>
      <c r="AX296">
        <v>338439</v>
      </c>
      <c r="AY296">
        <v>4896229</v>
      </c>
      <c r="AZ296">
        <v>303367</v>
      </c>
      <c r="BA296">
        <v>50956101</v>
      </c>
      <c r="BB296">
        <v>1603944</v>
      </c>
      <c r="BC296">
        <v>4570040</v>
      </c>
      <c r="BD296">
        <v>929604</v>
      </c>
      <c r="BE296">
        <v>1000166</v>
      </c>
      <c r="BF296">
        <v>1155028</v>
      </c>
      <c r="BG296">
        <v>258532</v>
      </c>
      <c r="BH296">
        <v>1128583</v>
      </c>
      <c r="BI296">
        <v>3170655</v>
      </c>
      <c r="BJ296">
        <v>14436211</v>
      </c>
      <c r="BK296">
        <v>279753</v>
      </c>
      <c r="BL296">
        <v>79472</v>
      </c>
      <c r="BM296">
        <v>11468825</v>
      </c>
      <c r="BN296">
        <v>14140678</v>
      </c>
      <c r="BO296">
        <v>9311961</v>
      </c>
      <c r="BP296">
        <v>96807</v>
      </c>
      <c r="BQ296">
        <v>1938857</v>
      </c>
      <c r="BR296">
        <v>1742172</v>
      </c>
      <c r="BS296">
        <v>10327657</v>
      </c>
      <c r="BT296">
        <v>773227</v>
      </c>
      <c r="BU296">
        <v>644117</v>
      </c>
      <c r="BV296">
        <v>2458532</v>
      </c>
      <c r="BW296">
        <v>4355952</v>
      </c>
      <c r="BX296">
        <v>801296</v>
      </c>
      <c r="BY296">
        <v>1794929</v>
      </c>
      <c r="BZ296">
        <v>5229931</v>
      </c>
      <c r="CA296">
        <v>150927</v>
      </c>
      <c r="CB296">
        <v>7059608</v>
      </c>
      <c r="CC296">
        <v>7250509</v>
      </c>
      <c r="CD296">
        <v>114209420</v>
      </c>
      <c r="CE296">
        <v>54423637</v>
      </c>
      <c r="CF296">
        <v>1407750</v>
      </c>
      <c r="CG296">
        <v>2853753</v>
      </c>
      <c r="CH296">
        <v>624189</v>
      </c>
      <c r="CI296">
        <v>1428239</v>
      </c>
      <c r="CJ296">
        <v>210090190</v>
      </c>
      <c r="CK296">
        <v>7927452</v>
      </c>
      <c r="CL296">
        <v>682768</v>
      </c>
      <c r="CM296">
        <v>4302858</v>
      </c>
      <c r="CN296">
        <v>453544</v>
      </c>
      <c r="CO296">
        <v>13458950</v>
      </c>
      <c r="CP296">
        <v>2910745</v>
      </c>
      <c r="CQ296">
        <v>1260867</v>
      </c>
      <c r="CR296">
        <v>3488086</v>
      </c>
      <c r="CS296">
        <v>11020892</v>
      </c>
    </row>
    <row r="297" spans="1:97" ht="28.8" x14ac:dyDescent="0.3">
      <c r="A297" s="155">
        <v>9007</v>
      </c>
      <c r="B297" s="527" t="s">
        <v>1610</v>
      </c>
      <c r="C297" s="527" t="s">
        <v>1044</v>
      </c>
      <c r="D297">
        <v>3.1421000000000001</v>
      </c>
      <c r="E297">
        <v>1.1257999999999999</v>
      </c>
      <c r="F297">
        <v>0.22509999999999999</v>
      </c>
      <c r="G297">
        <v>5.2901999999999996</v>
      </c>
      <c r="H297">
        <v>1.1313</v>
      </c>
      <c r="I297">
        <v>1.111</v>
      </c>
      <c r="J297">
        <v>0.40489999999999998</v>
      </c>
      <c r="K297">
        <v>0.60570000000000002</v>
      </c>
      <c r="L297">
        <v>1.3360000000000001</v>
      </c>
      <c r="M297">
        <v>0.68679999999999997</v>
      </c>
      <c r="N297">
        <v>0.60699999999999998</v>
      </c>
      <c r="O297">
        <v>0.9204</v>
      </c>
      <c r="P297">
        <v>8.1107999999999993</v>
      </c>
      <c r="Q297">
        <v>0.624</v>
      </c>
      <c r="R297">
        <v>5.2793000000000001</v>
      </c>
      <c r="S297">
        <v>1.2527999999999999</v>
      </c>
      <c r="T297">
        <v>0.74829999999999997</v>
      </c>
      <c r="U297">
        <v>5.0404999999999998</v>
      </c>
      <c r="V297">
        <v>1.3441000000000001</v>
      </c>
      <c r="W297">
        <v>0.24540000000000001</v>
      </c>
      <c r="X297">
        <v>0.61680000000000001</v>
      </c>
      <c r="Y297">
        <v>2.2961999999999998</v>
      </c>
      <c r="Z297" s="180">
        <v>1.3402000000000001</v>
      </c>
      <c r="AA297">
        <v>0.47370000000000001</v>
      </c>
      <c r="AB297">
        <v>1.9673</v>
      </c>
      <c r="AC297">
        <v>0.29680000000000001</v>
      </c>
      <c r="AD297">
        <v>0.76670000000000005</v>
      </c>
      <c r="AE297">
        <v>0.56410000000000005</v>
      </c>
      <c r="AF297">
        <v>2.9864000000000002</v>
      </c>
      <c r="AG297">
        <v>0.42820000000000003</v>
      </c>
      <c r="AH297">
        <v>2.0827</v>
      </c>
      <c r="AI297">
        <v>0.91469999999999996</v>
      </c>
      <c r="AJ297">
        <v>0.68979999999999997</v>
      </c>
      <c r="AK297">
        <v>3.7534999999999998</v>
      </c>
      <c r="AL297">
        <v>2.7978000000000001</v>
      </c>
      <c r="AM297">
        <v>0.7954</v>
      </c>
      <c r="AN297">
        <v>0.41520000000000001</v>
      </c>
      <c r="AO297">
        <v>0.46800000000000003</v>
      </c>
      <c r="AP297">
        <v>0.25040000000000001</v>
      </c>
      <c r="AQ297">
        <v>8.9613999999999994</v>
      </c>
      <c r="AR297">
        <v>0.95640000000000003</v>
      </c>
      <c r="AS297">
        <v>1.0324</v>
      </c>
      <c r="AT297">
        <v>1.9528000000000001</v>
      </c>
      <c r="AU297">
        <v>13.052099999999999</v>
      </c>
      <c r="AV297">
        <v>0.53269999999999995</v>
      </c>
      <c r="AW297">
        <v>0.76539999999999997</v>
      </c>
      <c r="AX297">
        <v>0.49270000000000003</v>
      </c>
      <c r="AY297">
        <v>0.56530000000000002</v>
      </c>
      <c r="AZ297">
        <v>3.7044000000000001</v>
      </c>
      <c r="BA297">
        <v>0.30940000000000001</v>
      </c>
      <c r="BB297">
        <v>2.9378000000000002</v>
      </c>
      <c r="BC297">
        <v>0.36649999999999999</v>
      </c>
      <c r="BD297">
        <v>3.3914</v>
      </c>
      <c r="BE297">
        <v>1.3732</v>
      </c>
      <c r="BF297">
        <v>1.3737999999999999</v>
      </c>
      <c r="BG297">
        <v>0.94440000000000002</v>
      </c>
      <c r="BH297">
        <v>0.69479999999999997</v>
      </c>
      <c r="BI297">
        <v>0.73519999999999996</v>
      </c>
      <c r="BJ297">
        <v>0.3145</v>
      </c>
      <c r="BK297">
        <v>1.5740000000000001</v>
      </c>
      <c r="BL297">
        <v>3.4857</v>
      </c>
      <c r="BM297">
        <v>0.82679999999999998</v>
      </c>
      <c r="BN297">
        <v>0.66200000000000003</v>
      </c>
      <c r="BO297">
        <v>0.54810000000000003</v>
      </c>
      <c r="BP297">
        <v>1.8818999999999999</v>
      </c>
      <c r="BQ297">
        <v>1.9316</v>
      </c>
      <c r="BR297">
        <v>0.78600000000000003</v>
      </c>
      <c r="BS297">
        <v>0.62539999999999996</v>
      </c>
      <c r="BT297">
        <v>2.0831</v>
      </c>
      <c r="BU297">
        <v>2.5030999999999999</v>
      </c>
      <c r="BV297">
        <v>1.1093</v>
      </c>
      <c r="BW297">
        <v>0.62360000000000004</v>
      </c>
      <c r="BX297">
        <v>0.1227</v>
      </c>
      <c r="BY297">
        <v>0.67320000000000002</v>
      </c>
      <c r="BZ297">
        <v>0.32069999999999999</v>
      </c>
      <c r="CA297">
        <v>4.0884</v>
      </c>
      <c r="CB297">
        <v>0.17330000000000001</v>
      </c>
      <c r="CC297">
        <v>0.43269999999999997</v>
      </c>
      <c r="CD297">
        <v>0.7702</v>
      </c>
      <c r="CE297">
        <v>0.40429999999999999</v>
      </c>
      <c r="CF297">
        <v>0.93120000000000003</v>
      </c>
      <c r="CG297">
        <v>0.59</v>
      </c>
      <c r="CH297">
        <v>0.35470000000000002</v>
      </c>
      <c r="CI297">
        <v>0.99360000000000004</v>
      </c>
      <c r="CJ297">
        <v>0.38429999999999997</v>
      </c>
      <c r="CK297">
        <v>1.2839</v>
      </c>
      <c r="CL297">
        <v>1.4798</v>
      </c>
      <c r="CM297">
        <v>0.76980000000000004</v>
      </c>
      <c r="CN297">
        <v>2.0171000000000001</v>
      </c>
      <c r="CO297">
        <v>1.1415999999999999</v>
      </c>
      <c r="CP297">
        <v>1.0741000000000001</v>
      </c>
      <c r="CQ297">
        <v>1.3404</v>
      </c>
      <c r="CR297">
        <v>0.64900000000000002</v>
      </c>
      <c r="CS297">
        <v>1.1738999999999999</v>
      </c>
    </row>
    <row r="298" spans="1:97" ht="21" customHeight="1" x14ac:dyDescent="0.3">
      <c r="A298" s="155">
        <v>9008</v>
      </c>
      <c r="B298" t="s">
        <v>1045</v>
      </c>
      <c r="C298" t="s">
        <v>351</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row>
    <row r="299" spans="1:97" x14ac:dyDescent="0.3">
      <c r="A299" s="155">
        <v>9010</v>
      </c>
      <c r="B299" t="s">
        <v>1046</v>
      </c>
      <c r="C299" t="s">
        <v>1047</v>
      </c>
      <c r="D299">
        <v>0</v>
      </c>
      <c r="E299">
        <v>0</v>
      </c>
      <c r="F299">
        <v>1.45</v>
      </c>
      <c r="G299">
        <v>0</v>
      </c>
      <c r="H299">
        <v>0</v>
      </c>
      <c r="I299">
        <v>19.309999999999999</v>
      </c>
      <c r="J299">
        <v>2.84</v>
      </c>
      <c r="K299">
        <v>24.29</v>
      </c>
      <c r="L299">
        <v>1.68</v>
      </c>
      <c r="M299">
        <v>5.38</v>
      </c>
      <c r="N299">
        <v>7.39</v>
      </c>
      <c r="O299">
        <v>0</v>
      </c>
      <c r="P299">
        <v>27.05</v>
      </c>
      <c r="Q299">
        <v>2.02</v>
      </c>
      <c r="R299">
        <v>0</v>
      </c>
      <c r="S299">
        <v>2.57</v>
      </c>
      <c r="T299">
        <v>0</v>
      </c>
      <c r="U299">
        <v>0</v>
      </c>
      <c r="V299">
        <v>0</v>
      </c>
      <c r="W299">
        <v>4.6100000000000003</v>
      </c>
      <c r="X299">
        <v>0</v>
      </c>
      <c r="Y299">
        <v>5.72</v>
      </c>
      <c r="Z299">
        <v>0</v>
      </c>
      <c r="AA299">
        <v>9.98</v>
      </c>
      <c r="AB299">
        <v>0</v>
      </c>
      <c r="AC299">
        <v>20.079999999999998</v>
      </c>
      <c r="AD299">
        <v>5.75</v>
      </c>
      <c r="AE299">
        <v>2.09</v>
      </c>
      <c r="AF299">
        <v>4.3099999999999996</v>
      </c>
      <c r="AG299">
        <v>3.46</v>
      </c>
      <c r="AH299">
        <v>0</v>
      </c>
      <c r="AI299">
        <v>5.68</v>
      </c>
      <c r="AJ299">
        <v>0</v>
      </c>
      <c r="AK299">
        <v>24.07</v>
      </c>
      <c r="AL299">
        <v>1.03</v>
      </c>
      <c r="AM299">
        <v>9.2100000000000009</v>
      </c>
      <c r="AN299">
        <v>2.64</v>
      </c>
      <c r="AO299">
        <v>1.32</v>
      </c>
      <c r="AP299">
        <v>15.17</v>
      </c>
      <c r="AQ299">
        <v>0</v>
      </c>
      <c r="AR299">
        <v>7.07</v>
      </c>
      <c r="AS299">
        <v>0.72</v>
      </c>
      <c r="AT299">
        <v>0</v>
      </c>
      <c r="AU299">
        <v>0</v>
      </c>
      <c r="AV299">
        <v>0</v>
      </c>
      <c r="AW299">
        <v>0</v>
      </c>
      <c r="AX299">
        <v>7.27</v>
      </c>
      <c r="AY299">
        <v>12.61</v>
      </c>
      <c r="AZ299">
        <v>18.079999999999998</v>
      </c>
      <c r="BA299">
        <v>0</v>
      </c>
      <c r="BB299">
        <v>2.0499999999999998</v>
      </c>
      <c r="BC299">
        <v>9.41</v>
      </c>
      <c r="BD299">
        <v>0</v>
      </c>
      <c r="BE299">
        <v>10.82</v>
      </c>
      <c r="BF299">
        <v>11.28</v>
      </c>
      <c r="BG299">
        <v>0</v>
      </c>
      <c r="BH299">
        <v>2.5099999999999998</v>
      </c>
      <c r="BI299">
        <v>4.4000000000000004</v>
      </c>
      <c r="BJ299">
        <v>17.97</v>
      </c>
      <c r="BK299">
        <v>0</v>
      </c>
      <c r="BL299">
        <v>0</v>
      </c>
      <c r="BM299">
        <v>0</v>
      </c>
      <c r="BN299">
        <v>20.04</v>
      </c>
      <c r="BO299">
        <v>13.33</v>
      </c>
      <c r="BP299">
        <v>0</v>
      </c>
      <c r="BQ299">
        <v>0</v>
      </c>
      <c r="BR299">
        <v>111.16</v>
      </c>
      <c r="BS299">
        <v>0</v>
      </c>
      <c r="BT299">
        <v>0</v>
      </c>
      <c r="BU299">
        <v>0</v>
      </c>
      <c r="BV299">
        <v>6.66</v>
      </c>
      <c r="BW299">
        <v>0</v>
      </c>
      <c r="BX299">
        <v>1.93</v>
      </c>
      <c r="BY299">
        <v>20.3</v>
      </c>
      <c r="BZ299">
        <v>6.11</v>
      </c>
      <c r="CA299">
        <v>31.02</v>
      </c>
      <c r="CB299">
        <v>1.22</v>
      </c>
      <c r="CC299">
        <v>18.12</v>
      </c>
      <c r="CD299">
        <v>0</v>
      </c>
      <c r="CE299">
        <v>11.35</v>
      </c>
      <c r="CF299">
        <v>78.44</v>
      </c>
      <c r="CG299">
        <v>5.83</v>
      </c>
      <c r="CH299">
        <v>1.26</v>
      </c>
      <c r="CI299">
        <v>3.77</v>
      </c>
      <c r="CJ299">
        <v>3.08</v>
      </c>
      <c r="CK299">
        <v>2.59</v>
      </c>
      <c r="CL299">
        <v>8.74</v>
      </c>
      <c r="CM299">
        <v>0</v>
      </c>
      <c r="CN299">
        <v>12.58</v>
      </c>
      <c r="CO299">
        <v>237.8</v>
      </c>
      <c r="CP299">
        <v>91.9</v>
      </c>
      <c r="CQ299">
        <v>9.26</v>
      </c>
      <c r="CR299">
        <v>0</v>
      </c>
      <c r="CS299">
        <v>0</v>
      </c>
    </row>
    <row r="300" spans="1:97" x14ac:dyDescent="0.3">
      <c r="A300" s="155">
        <v>9011</v>
      </c>
      <c r="B300" t="s">
        <v>1716</v>
      </c>
      <c r="C300" t="s">
        <v>1048</v>
      </c>
      <c r="D300">
        <v>0</v>
      </c>
      <c r="E300">
        <v>0</v>
      </c>
      <c r="F300">
        <v>150891</v>
      </c>
      <c r="G300">
        <v>0</v>
      </c>
      <c r="H300">
        <v>0</v>
      </c>
      <c r="I300">
        <v>110939</v>
      </c>
      <c r="J300">
        <v>309509</v>
      </c>
      <c r="K300">
        <v>229933</v>
      </c>
      <c r="L300">
        <v>20063</v>
      </c>
      <c r="M300">
        <v>1590674</v>
      </c>
      <c r="N300">
        <v>-156022</v>
      </c>
      <c r="O300">
        <v>0</v>
      </c>
      <c r="P300">
        <v>121043</v>
      </c>
      <c r="Q300">
        <v>39869</v>
      </c>
      <c r="R300">
        <v>0</v>
      </c>
      <c r="S300">
        <v>33320</v>
      </c>
      <c r="T300">
        <v>0</v>
      </c>
      <c r="U300">
        <v>0</v>
      </c>
      <c r="V300">
        <v>0</v>
      </c>
      <c r="W300">
        <v>6939634</v>
      </c>
      <c r="X300">
        <v>0</v>
      </c>
      <c r="Y300">
        <v>216604</v>
      </c>
      <c r="Z300">
        <v>0</v>
      </c>
      <c r="AA300">
        <v>274451</v>
      </c>
      <c r="AB300">
        <v>0</v>
      </c>
      <c r="AC300">
        <v>-118806</v>
      </c>
      <c r="AD300">
        <v>-286163</v>
      </c>
      <c r="AE300">
        <v>-19126</v>
      </c>
      <c r="AF300">
        <v>58394</v>
      </c>
      <c r="AG300">
        <v>1224595</v>
      </c>
      <c r="AH300">
        <v>0</v>
      </c>
      <c r="AI300">
        <v>238255</v>
      </c>
      <c r="AJ300">
        <v>0</v>
      </c>
      <c r="AK300">
        <v>19217</v>
      </c>
      <c r="AL300">
        <v>-1335994</v>
      </c>
      <c r="AM300">
        <v>459237</v>
      </c>
      <c r="AN300">
        <v>207288</v>
      </c>
      <c r="AO300">
        <v>-478943</v>
      </c>
      <c r="AP300">
        <v>14274</v>
      </c>
      <c r="AQ300">
        <v>0</v>
      </c>
      <c r="AR300">
        <v>660528</v>
      </c>
      <c r="AS300">
        <v>-21279</v>
      </c>
      <c r="AT300">
        <v>0</v>
      </c>
      <c r="AU300">
        <v>0</v>
      </c>
      <c r="AV300">
        <v>0</v>
      </c>
      <c r="AW300">
        <v>0</v>
      </c>
      <c r="AX300">
        <v>20206</v>
      </c>
      <c r="AY300">
        <v>220856</v>
      </c>
      <c r="AZ300">
        <v>53535</v>
      </c>
      <c r="BA300">
        <v>0</v>
      </c>
      <c r="BB300">
        <v>0</v>
      </c>
      <c r="BC300">
        <v>1533953</v>
      </c>
      <c r="BD300">
        <v>0</v>
      </c>
      <c r="BE300">
        <v>53990</v>
      </c>
      <c r="BF300">
        <v>78</v>
      </c>
      <c r="BG300">
        <v>3794</v>
      </c>
      <c r="BH300">
        <v>103389</v>
      </c>
      <c r="BI300">
        <v>291002</v>
      </c>
      <c r="BJ300">
        <v>1023718</v>
      </c>
      <c r="BK300">
        <v>0</v>
      </c>
      <c r="BL300">
        <v>0</v>
      </c>
      <c r="BM300">
        <v>0</v>
      </c>
      <c r="BN300">
        <v>1480784</v>
      </c>
      <c r="BO300">
        <v>768611</v>
      </c>
      <c r="BP300">
        <v>0</v>
      </c>
      <c r="BQ300">
        <v>0</v>
      </c>
      <c r="BR300">
        <v>541047</v>
      </c>
      <c r="BS300">
        <v>0</v>
      </c>
      <c r="BT300">
        <v>0</v>
      </c>
      <c r="BU300">
        <v>0</v>
      </c>
      <c r="BV300">
        <v>61505</v>
      </c>
      <c r="BW300">
        <v>0</v>
      </c>
      <c r="BX300">
        <v>-105211</v>
      </c>
      <c r="BY300">
        <v>626393</v>
      </c>
      <c r="BZ300">
        <v>42759</v>
      </c>
      <c r="CA300">
        <v>3237</v>
      </c>
      <c r="CB300">
        <v>548794</v>
      </c>
      <c r="CC300">
        <v>88688</v>
      </c>
      <c r="CD300">
        <v>0</v>
      </c>
      <c r="CE300">
        <v>4609942</v>
      </c>
      <c r="CF300">
        <v>10712</v>
      </c>
      <c r="CG300">
        <v>374629</v>
      </c>
      <c r="CH300">
        <v>-40782</v>
      </c>
      <c r="CI300">
        <v>184996</v>
      </c>
      <c r="CJ300">
        <v>28136400</v>
      </c>
      <c r="CK300">
        <v>672660</v>
      </c>
      <c r="CL300">
        <v>76421</v>
      </c>
      <c r="CM300">
        <v>0</v>
      </c>
      <c r="CN300">
        <v>35953</v>
      </c>
      <c r="CO300">
        <v>1646827</v>
      </c>
      <c r="CP300">
        <v>299380</v>
      </c>
      <c r="CQ300">
        <v>159442</v>
      </c>
      <c r="CR300">
        <v>0</v>
      </c>
      <c r="CS300">
        <v>0</v>
      </c>
    </row>
    <row r="301" spans="1:97" x14ac:dyDescent="0.3">
      <c r="A301" s="155">
        <v>9012</v>
      </c>
      <c r="B301" t="s">
        <v>1717</v>
      </c>
      <c r="C301" t="s">
        <v>1048</v>
      </c>
      <c r="D301">
        <v>0</v>
      </c>
      <c r="E301">
        <v>0</v>
      </c>
      <c r="F301">
        <v>0.66090000000000004</v>
      </c>
      <c r="G301">
        <v>0</v>
      </c>
      <c r="H301">
        <v>0</v>
      </c>
      <c r="I301">
        <v>1.7230000000000001</v>
      </c>
      <c r="J301">
        <v>0.44519999999999998</v>
      </c>
      <c r="K301">
        <v>3.2826</v>
      </c>
      <c r="L301">
        <v>0.31619999999999998</v>
      </c>
      <c r="M301">
        <v>1.5808</v>
      </c>
      <c r="N301">
        <v>0.71640000000000004</v>
      </c>
      <c r="O301">
        <v>0</v>
      </c>
      <c r="P301">
        <v>3.3671000000000002</v>
      </c>
      <c r="Q301">
        <v>0.28799999999999998</v>
      </c>
      <c r="R301">
        <v>0</v>
      </c>
      <c r="S301">
        <v>0.38650000000000001</v>
      </c>
      <c r="T301">
        <v>0</v>
      </c>
      <c r="U301">
        <v>0</v>
      </c>
      <c r="V301">
        <v>0</v>
      </c>
      <c r="W301">
        <v>2.4897999999999998</v>
      </c>
      <c r="X301">
        <v>0</v>
      </c>
      <c r="Y301">
        <v>2.4872999999999998</v>
      </c>
      <c r="Z301">
        <v>0</v>
      </c>
      <c r="AA301">
        <v>1.5335000000000001</v>
      </c>
      <c r="AB301">
        <v>0</v>
      </c>
      <c r="AC301">
        <v>0.48809999999999998</v>
      </c>
      <c r="AD301">
        <v>0.91539999999999999</v>
      </c>
      <c r="AE301">
        <v>1.4428000000000001</v>
      </c>
      <c r="AF301">
        <v>1.0753999999999999</v>
      </c>
      <c r="AG301">
        <v>0.94750000000000001</v>
      </c>
      <c r="AH301">
        <v>0</v>
      </c>
      <c r="AI301">
        <v>2.3163</v>
      </c>
      <c r="AJ301">
        <v>0</v>
      </c>
      <c r="AK301">
        <v>2.9681999999999999</v>
      </c>
      <c r="AL301">
        <v>0.5897</v>
      </c>
      <c r="AM301">
        <v>0.72289999999999999</v>
      </c>
      <c r="AN301">
        <v>0.25030000000000002</v>
      </c>
      <c r="AO301">
        <v>0</v>
      </c>
      <c r="AP301">
        <v>1.5625</v>
      </c>
      <c r="AQ301">
        <v>0</v>
      </c>
      <c r="AR301">
        <v>0.30919999999999997</v>
      </c>
      <c r="AS301">
        <v>0.1207</v>
      </c>
      <c r="AT301">
        <v>0</v>
      </c>
      <c r="AU301">
        <v>0</v>
      </c>
      <c r="AV301">
        <v>0</v>
      </c>
      <c r="AW301">
        <v>0</v>
      </c>
      <c r="AX301">
        <v>1.6400999999999999</v>
      </c>
      <c r="AY301">
        <v>0.95960000000000001</v>
      </c>
      <c r="AZ301">
        <v>2.3050999999999999</v>
      </c>
      <c r="BA301">
        <v>0</v>
      </c>
      <c r="BB301">
        <v>0</v>
      </c>
      <c r="BC301">
        <v>0.9466</v>
      </c>
      <c r="BD301">
        <v>0</v>
      </c>
      <c r="BE301">
        <v>1.8157000000000001</v>
      </c>
      <c r="BF301">
        <v>0.94269999999999998</v>
      </c>
      <c r="BG301">
        <v>1.006</v>
      </c>
      <c r="BH301">
        <v>0.3639</v>
      </c>
      <c r="BI301">
        <v>1.8683000000000001</v>
      </c>
      <c r="BJ301">
        <v>1.1255999999999999</v>
      </c>
      <c r="BK301">
        <v>0</v>
      </c>
      <c r="BL301">
        <v>0</v>
      </c>
      <c r="BM301">
        <v>0</v>
      </c>
      <c r="BN301">
        <v>0.9657</v>
      </c>
      <c r="BO301">
        <v>2.7002999999999999</v>
      </c>
      <c r="BP301">
        <v>0</v>
      </c>
      <c r="BQ301">
        <v>0</v>
      </c>
      <c r="BR301">
        <v>1.8283</v>
      </c>
      <c r="BS301">
        <v>0</v>
      </c>
      <c r="BT301">
        <v>0</v>
      </c>
      <c r="BU301">
        <v>0</v>
      </c>
      <c r="BV301">
        <v>0.9617</v>
      </c>
      <c r="BW301">
        <v>0</v>
      </c>
      <c r="BX301">
        <v>0.2019</v>
      </c>
      <c r="BY301">
        <v>2.8168000000000002</v>
      </c>
      <c r="BZ301">
        <v>0.86019999999999996</v>
      </c>
      <c r="CA301">
        <v>4.2070999999999996</v>
      </c>
      <c r="CB301">
        <v>7.46E-2</v>
      </c>
      <c r="CC301">
        <v>1.8716999999999999</v>
      </c>
      <c r="CD301">
        <v>0</v>
      </c>
      <c r="CE301">
        <v>0.85399999999999998</v>
      </c>
      <c r="CF301">
        <v>0.31790000000000002</v>
      </c>
      <c r="CG301">
        <v>1.7153</v>
      </c>
      <c r="CH301">
        <v>0.16619999999999999</v>
      </c>
      <c r="CI301">
        <v>0.55610000000000004</v>
      </c>
      <c r="CJ301">
        <v>0.95699999999999996</v>
      </c>
      <c r="CK301">
        <v>0.69110000000000005</v>
      </c>
      <c r="CL301">
        <v>2.2496999999999998</v>
      </c>
      <c r="CM301">
        <v>0</v>
      </c>
      <c r="CN301">
        <v>2.4773999999999998</v>
      </c>
      <c r="CO301">
        <v>4.2412999999999998</v>
      </c>
      <c r="CP301">
        <v>1.6274</v>
      </c>
      <c r="CQ301">
        <v>1.145</v>
      </c>
      <c r="CR301">
        <v>0</v>
      </c>
      <c r="CS301">
        <v>0</v>
      </c>
    </row>
    <row r="302" spans="1:97" x14ac:dyDescent="0.3">
      <c r="A302" s="155">
        <v>9013</v>
      </c>
      <c r="B302" t="s">
        <v>1049</v>
      </c>
      <c r="C302" t="s">
        <v>1050</v>
      </c>
      <c r="D302">
        <v>0</v>
      </c>
      <c r="E302">
        <v>0</v>
      </c>
      <c r="F302">
        <v>1.45</v>
      </c>
      <c r="G302">
        <v>0</v>
      </c>
      <c r="H302">
        <v>0</v>
      </c>
      <c r="I302">
        <v>19.309999999999999</v>
      </c>
      <c r="J302">
        <v>2.84</v>
      </c>
      <c r="K302">
        <v>24.29</v>
      </c>
      <c r="L302">
        <v>1.68</v>
      </c>
      <c r="M302">
        <v>5.38</v>
      </c>
      <c r="N302">
        <v>7.39</v>
      </c>
      <c r="O302">
        <v>0</v>
      </c>
      <c r="P302">
        <v>27.05</v>
      </c>
      <c r="Q302">
        <v>2.02</v>
      </c>
      <c r="R302">
        <v>0</v>
      </c>
      <c r="S302">
        <v>2.57</v>
      </c>
      <c r="T302">
        <v>0</v>
      </c>
      <c r="U302">
        <v>0</v>
      </c>
      <c r="V302">
        <v>0</v>
      </c>
      <c r="W302">
        <v>4.6100000000000003</v>
      </c>
      <c r="X302">
        <v>0</v>
      </c>
      <c r="Y302">
        <v>5.72</v>
      </c>
      <c r="Z302">
        <v>0</v>
      </c>
      <c r="AA302">
        <v>9.98</v>
      </c>
      <c r="AB302">
        <v>0</v>
      </c>
      <c r="AC302">
        <v>20.079999999999998</v>
      </c>
      <c r="AD302">
        <v>5.75</v>
      </c>
      <c r="AE302">
        <v>2.09</v>
      </c>
      <c r="AF302">
        <v>4.3099999999999996</v>
      </c>
      <c r="AG302">
        <v>3.46</v>
      </c>
      <c r="AH302">
        <v>0</v>
      </c>
      <c r="AI302">
        <v>5.68</v>
      </c>
      <c r="AJ302">
        <v>0</v>
      </c>
      <c r="AK302">
        <v>24.07</v>
      </c>
      <c r="AL302">
        <v>1.03</v>
      </c>
      <c r="AM302">
        <v>9.2100000000000009</v>
      </c>
      <c r="AN302">
        <v>2.64</v>
      </c>
      <c r="AO302">
        <v>1.32</v>
      </c>
      <c r="AP302">
        <v>15.17</v>
      </c>
      <c r="AQ302">
        <v>0</v>
      </c>
      <c r="AR302">
        <v>7.07</v>
      </c>
      <c r="AS302">
        <v>0.72</v>
      </c>
      <c r="AT302">
        <v>0</v>
      </c>
      <c r="AU302">
        <v>0</v>
      </c>
      <c r="AV302">
        <v>0</v>
      </c>
      <c r="AW302">
        <v>0</v>
      </c>
      <c r="AX302">
        <v>7.27</v>
      </c>
      <c r="AY302">
        <v>12.61</v>
      </c>
      <c r="AZ302">
        <v>18.079999999999998</v>
      </c>
      <c r="BA302">
        <v>0</v>
      </c>
      <c r="BB302">
        <v>2.0499999999999998</v>
      </c>
      <c r="BC302">
        <v>76.45</v>
      </c>
      <c r="BD302">
        <v>0</v>
      </c>
      <c r="BE302">
        <v>10.82</v>
      </c>
      <c r="BF302">
        <v>11.28</v>
      </c>
      <c r="BG302">
        <v>0</v>
      </c>
      <c r="BH302">
        <v>2.5099999999999998</v>
      </c>
      <c r="BI302">
        <v>4.4000000000000004</v>
      </c>
      <c r="BJ302">
        <v>17.97</v>
      </c>
      <c r="BK302">
        <v>0</v>
      </c>
      <c r="BL302">
        <v>0</v>
      </c>
      <c r="BM302">
        <v>0</v>
      </c>
      <c r="BN302">
        <v>20.04</v>
      </c>
      <c r="BO302">
        <v>13.33</v>
      </c>
      <c r="BP302">
        <v>0</v>
      </c>
      <c r="BQ302">
        <v>0</v>
      </c>
      <c r="BR302">
        <v>111.16</v>
      </c>
      <c r="BS302">
        <v>0</v>
      </c>
      <c r="BT302">
        <v>0</v>
      </c>
      <c r="BU302">
        <v>0</v>
      </c>
      <c r="BV302">
        <v>6.66</v>
      </c>
      <c r="BW302">
        <v>0</v>
      </c>
      <c r="BX302">
        <v>1.93</v>
      </c>
      <c r="BY302">
        <v>20.3</v>
      </c>
      <c r="BZ302">
        <v>6.11</v>
      </c>
      <c r="CA302">
        <v>31.02</v>
      </c>
      <c r="CB302">
        <v>1.22</v>
      </c>
      <c r="CC302">
        <v>18.12</v>
      </c>
      <c r="CD302">
        <v>0</v>
      </c>
      <c r="CE302">
        <v>11.35</v>
      </c>
      <c r="CF302">
        <v>78.44</v>
      </c>
      <c r="CG302">
        <v>5.83</v>
      </c>
      <c r="CH302">
        <v>1.26</v>
      </c>
      <c r="CI302">
        <v>3.77</v>
      </c>
      <c r="CJ302">
        <v>3.08</v>
      </c>
      <c r="CK302">
        <v>2.59</v>
      </c>
      <c r="CL302">
        <v>8.74</v>
      </c>
      <c r="CM302">
        <v>0</v>
      </c>
      <c r="CN302">
        <v>12.58</v>
      </c>
      <c r="CO302">
        <v>237.8</v>
      </c>
      <c r="CP302">
        <v>91.9</v>
      </c>
      <c r="CQ302">
        <v>9.26</v>
      </c>
      <c r="CR302">
        <v>0</v>
      </c>
      <c r="CS302">
        <v>0</v>
      </c>
    </row>
    <row r="303" spans="1:97" x14ac:dyDescent="0.3">
      <c r="A303" s="155">
        <v>9014</v>
      </c>
      <c r="B303" t="s">
        <v>1051</v>
      </c>
      <c r="C303" t="s">
        <v>1052</v>
      </c>
      <c r="D303">
        <v>0</v>
      </c>
      <c r="E303">
        <v>0</v>
      </c>
      <c r="F303">
        <v>0</v>
      </c>
      <c r="G303">
        <v>0</v>
      </c>
      <c r="H303">
        <v>0</v>
      </c>
      <c r="I303">
        <v>0</v>
      </c>
      <c r="J303">
        <v>0</v>
      </c>
      <c r="K303">
        <v>25.27</v>
      </c>
      <c r="L303">
        <v>0</v>
      </c>
      <c r="M303">
        <v>8.6300000000000008</v>
      </c>
      <c r="N303">
        <v>0</v>
      </c>
      <c r="O303">
        <v>0</v>
      </c>
      <c r="P303">
        <v>0</v>
      </c>
      <c r="Q303">
        <v>0</v>
      </c>
      <c r="R303">
        <v>0</v>
      </c>
      <c r="S303">
        <v>0</v>
      </c>
      <c r="T303">
        <v>0</v>
      </c>
      <c r="U303">
        <v>0</v>
      </c>
      <c r="V303">
        <v>0</v>
      </c>
      <c r="W303">
        <v>0</v>
      </c>
      <c r="X303">
        <v>0</v>
      </c>
      <c r="Y303">
        <v>0</v>
      </c>
      <c r="Z303">
        <v>0</v>
      </c>
      <c r="AA303">
        <v>0</v>
      </c>
      <c r="AB303">
        <v>0</v>
      </c>
      <c r="AC303">
        <v>9.43</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2.2799999999999998</v>
      </c>
      <c r="BB303">
        <v>0</v>
      </c>
      <c r="BC303">
        <v>0</v>
      </c>
      <c r="BD303">
        <v>0</v>
      </c>
      <c r="BE303">
        <v>0</v>
      </c>
      <c r="BF303">
        <v>0</v>
      </c>
      <c r="BG303">
        <v>29.56</v>
      </c>
      <c r="BH303">
        <v>0</v>
      </c>
      <c r="BI303">
        <v>0</v>
      </c>
      <c r="BJ303">
        <v>8.9499999999999993</v>
      </c>
      <c r="BK303">
        <v>0</v>
      </c>
      <c r="BL303">
        <v>0</v>
      </c>
      <c r="BM303">
        <v>0</v>
      </c>
      <c r="BN303">
        <v>5.73</v>
      </c>
      <c r="BO303">
        <v>0</v>
      </c>
      <c r="BP303">
        <v>0</v>
      </c>
      <c r="BQ303">
        <v>0</v>
      </c>
      <c r="BR303">
        <v>0</v>
      </c>
      <c r="BS303">
        <v>0</v>
      </c>
      <c r="BT303">
        <v>0</v>
      </c>
      <c r="BU303">
        <v>0</v>
      </c>
      <c r="BV303">
        <v>0</v>
      </c>
      <c r="BW303">
        <v>0</v>
      </c>
      <c r="BX303">
        <v>0</v>
      </c>
      <c r="BY303">
        <v>0</v>
      </c>
      <c r="BZ303">
        <v>0</v>
      </c>
      <c r="CA303">
        <v>0</v>
      </c>
      <c r="CB303">
        <v>0</v>
      </c>
      <c r="CC303">
        <v>0</v>
      </c>
      <c r="CD303">
        <v>0</v>
      </c>
      <c r="CE303">
        <v>6.38</v>
      </c>
      <c r="CF303">
        <v>0</v>
      </c>
      <c r="CG303">
        <v>6.1</v>
      </c>
      <c r="CH303">
        <v>0</v>
      </c>
      <c r="CI303">
        <v>0</v>
      </c>
      <c r="CJ303">
        <v>0</v>
      </c>
      <c r="CK303">
        <v>19</v>
      </c>
      <c r="CL303">
        <v>0</v>
      </c>
      <c r="CM303">
        <v>0</v>
      </c>
      <c r="CN303">
        <v>0</v>
      </c>
      <c r="CO303">
        <v>0</v>
      </c>
      <c r="CP303">
        <v>0</v>
      </c>
      <c r="CQ303">
        <v>0</v>
      </c>
      <c r="CR303">
        <v>0</v>
      </c>
      <c r="CS303">
        <v>0</v>
      </c>
    </row>
    <row r="304" spans="1:97" x14ac:dyDescent="0.3">
      <c r="A304" s="155">
        <v>9015</v>
      </c>
      <c r="B304" t="s">
        <v>1718</v>
      </c>
      <c r="C304" t="s">
        <v>351</v>
      </c>
      <c r="D304">
        <v>0</v>
      </c>
      <c r="E304">
        <v>0</v>
      </c>
      <c r="F304">
        <v>0</v>
      </c>
      <c r="G304">
        <v>0</v>
      </c>
      <c r="H304">
        <v>0</v>
      </c>
      <c r="I304">
        <v>0</v>
      </c>
      <c r="J304">
        <v>0</v>
      </c>
      <c r="K304">
        <v>600728</v>
      </c>
      <c r="L304">
        <v>0</v>
      </c>
      <c r="M304">
        <v>6206112</v>
      </c>
      <c r="N304">
        <v>0</v>
      </c>
      <c r="O304">
        <v>0</v>
      </c>
      <c r="P304">
        <v>0</v>
      </c>
      <c r="Q304">
        <v>0</v>
      </c>
      <c r="R304">
        <v>0</v>
      </c>
      <c r="S304">
        <v>0</v>
      </c>
      <c r="T304">
        <v>0</v>
      </c>
      <c r="U304">
        <v>0</v>
      </c>
      <c r="V304">
        <v>0</v>
      </c>
      <c r="W304">
        <v>0</v>
      </c>
      <c r="X304">
        <v>0</v>
      </c>
      <c r="Y304">
        <v>0</v>
      </c>
      <c r="Z304">
        <v>0</v>
      </c>
      <c r="AA304">
        <v>0</v>
      </c>
      <c r="AB304">
        <v>0</v>
      </c>
      <c r="AC304">
        <v>2479250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530621</v>
      </c>
      <c r="BB304">
        <v>0</v>
      </c>
      <c r="BC304">
        <v>0</v>
      </c>
      <c r="BD304">
        <v>0</v>
      </c>
      <c r="BE304">
        <v>0</v>
      </c>
      <c r="BF304">
        <v>0</v>
      </c>
      <c r="BG304">
        <v>71597</v>
      </c>
      <c r="BH304">
        <v>0</v>
      </c>
      <c r="BI304">
        <v>0</v>
      </c>
      <c r="BJ304">
        <v>5515845</v>
      </c>
      <c r="BK304">
        <v>0</v>
      </c>
      <c r="BL304">
        <v>0</v>
      </c>
      <c r="BM304">
        <v>0</v>
      </c>
      <c r="BN304">
        <v>2177196</v>
      </c>
      <c r="BO304">
        <v>0</v>
      </c>
      <c r="BP304">
        <v>0</v>
      </c>
      <c r="BQ304">
        <v>0</v>
      </c>
      <c r="BR304">
        <v>0</v>
      </c>
      <c r="BS304">
        <v>0</v>
      </c>
      <c r="BT304">
        <v>0</v>
      </c>
      <c r="BU304">
        <v>0</v>
      </c>
      <c r="BV304">
        <v>0</v>
      </c>
      <c r="BW304">
        <v>0</v>
      </c>
      <c r="BX304">
        <v>0</v>
      </c>
      <c r="BY304">
        <v>0</v>
      </c>
      <c r="BZ304">
        <v>0</v>
      </c>
      <c r="CA304">
        <v>0</v>
      </c>
      <c r="CB304">
        <v>0</v>
      </c>
      <c r="CC304">
        <v>0</v>
      </c>
      <c r="CD304">
        <v>0</v>
      </c>
      <c r="CE304">
        <v>16810751</v>
      </c>
      <c r="CF304">
        <v>0</v>
      </c>
      <c r="CG304">
        <v>1186479</v>
      </c>
      <c r="CH304">
        <v>0</v>
      </c>
      <c r="CI304">
        <v>0</v>
      </c>
      <c r="CJ304">
        <v>0</v>
      </c>
      <c r="CK304">
        <v>1645672</v>
      </c>
      <c r="CL304">
        <v>0</v>
      </c>
      <c r="CM304">
        <v>0</v>
      </c>
      <c r="CN304">
        <v>0</v>
      </c>
      <c r="CO304">
        <v>0</v>
      </c>
      <c r="CP304">
        <v>0</v>
      </c>
      <c r="CQ304">
        <v>0</v>
      </c>
      <c r="CR304">
        <v>0</v>
      </c>
      <c r="CS304">
        <v>0</v>
      </c>
    </row>
    <row r="305" spans="1:97" x14ac:dyDescent="0.3">
      <c r="A305" s="155">
        <v>9016</v>
      </c>
      <c r="B305" t="s">
        <v>1719</v>
      </c>
      <c r="C305" t="s">
        <v>351</v>
      </c>
      <c r="D305">
        <v>0</v>
      </c>
      <c r="E305">
        <v>0</v>
      </c>
      <c r="F305">
        <v>0</v>
      </c>
      <c r="G305">
        <v>0</v>
      </c>
      <c r="H305">
        <v>0</v>
      </c>
      <c r="I305">
        <v>0</v>
      </c>
      <c r="J305">
        <v>0</v>
      </c>
      <c r="K305">
        <v>2.0133999999999999</v>
      </c>
      <c r="L305">
        <v>0</v>
      </c>
      <c r="M305">
        <v>0.87280000000000002</v>
      </c>
      <c r="N305">
        <v>0</v>
      </c>
      <c r="O305">
        <v>0</v>
      </c>
      <c r="P305">
        <v>0</v>
      </c>
      <c r="Q305">
        <v>0</v>
      </c>
      <c r="R305">
        <v>0</v>
      </c>
      <c r="S305">
        <v>0</v>
      </c>
      <c r="T305">
        <v>0</v>
      </c>
      <c r="U305">
        <v>0</v>
      </c>
      <c r="V305">
        <v>0</v>
      </c>
      <c r="W305">
        <v>0</v>
      </c>
      <c r="X305">
        <v>0</v>
      </c>
      <c r="Y305">
        <v>0</v>
      </c>
      <c r="Z305">
        <v>0</v>
      </c>
      <c r="AA305">
        <v>0</v>
      </c>
      <c r="AB305">
        <v>0</v>
      </c>
      <c r="AC305">
        <v>0.59840000000000004</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0.20330000000000001</v>
      </c>
      <c r="BB305">
        <v>0</v>
      </c>
      <c r="BC305">
        <v>0</v>
      </c>
      <c r="BD305">
        <v>0</v>
      </c>
      <c r="BE305">
        <v>0</v>
      </c>
      <c r="BF305">
        <v>0</v>
      </c>
      <c r="BG305">
        <v>1.5786</v>
      </c>
      <c r="BH305">
        <v>0</v>
      </c>
      <c r="BI305">
        <v>0</v>
      </c>
      <c r="BJ305">
        <v>0.60980000000000001</v>
      </c>
      <c r="BK305">
        <v>0</v>
      </c>
      <c r="BL305">
        <v>0</v>
      </c>
      <c r="BM305">
        <v>0</v>
      </c>
      <c r="BN305">
        <v>0.38150000000000001</v>
      </c>
      <c r="BO305">
        <v>0</v>
      </c>
      <c r="BP305">
        <v>0</v>
      </c>
      <c r="BQ305">
        <v>0</v>
      </c>
      <c r="BR305">
        <v>0</v>
      </c>
      <c r="BS305">
        <v>0</v>
      </c>
      <c r="BT305">
        <v>0</v>
      </c>
      <c r="BU305">
        <v>0</v>
      </c>
      <c r="BV305">
        <v>0</v>
      </c>
      <c r="BW305">
        <v>0</v>
      </c>
      <c r="BX305">
        <v>0</v>
      </c>
      <c r="BY305">
        <v>0</v>
      </c>
      <c r="BZ305">
        <v>0</v>
      </c>
      <c r="CA305">
        <v>0</v>
      </c>
      <c r="CB305">
        <v>0</v>
      </c>
      <c r="CC305">
        <v>0</v>
      </c>
      <c r="CD305">
        <v>0</v>
      </c>
      <c r="CE305">
        <v>0.40689999999999998</v>
      </c>
      <c r="CF305">
        <v>0</v>
      </c>
      <c r="CG305">
        <v>0.77039999999999997</v>
      </c>
      <c r="CH305">
        <v>0</v>
      </c>
      <c r="CI305">
        <v>0</v>
      </c>
      <c r="CJ305">
        <v>0</v>
      </c>
      <c r="CK305">
        <v>1.3230999999999999</v>
      </c>
      <c r="CL305">
        <v>0</v>
      </c>
      <c r="CM305">
        <v>0</v>
      </c>
      <c r="CN305">
        <v>0</v>
      </c>
      <c r="CO305">
        <v>0</v>
      </c>
      <c r="CP305">
        <v>0</v>
      </c>
      <c r="CQ305">
        <v>0</v>
      </c>
      <c r="CR305">
        <v>0</v>
      </c>
      <c r="CS305">
        <v>0</v>
      </c>
    </row>
    <row r="306" spans="1:97" x14ac:dyDescent="0.3">
      <c r="A306" s="155">
        <v>9017</v>
      </c>
      <c r="B306" t="s">
        <v>1053</v>
      </c>
      <c r="C306" t="s">
        <v>1054</v>
      </c>
      <c r="D306">
        <v>0</v>
      </c>
      <c r="E306">
        <v>0</v>
      </c>
      <c r="F306">
        <v>0</v>
      </c>
      <c r="G306">
        <v>0</v>
      </c>
      <c r="H306">
        <v>0</v>
      </c>
      <c r="I306">
        <v>0</v>
      </c>
      <c r="J306">
        <v>0</v>
      </c>
      <c r="K306">
        <v>25.27</v>
      </c>
      <c r="L306">
        <v>0</v>
      </c>
      <c r="M306">
        <v>8.6300000000000008</v>
      </c>
      <c r="N306">
        <v>0</v>
      </c>
      <c r="O306">
        <v>0</v>
      </c>
      <c r="P306">
        <v>0</v>
      </c>
      <c r="Q306">
        <v>0</v>
      </c>
      <c r="R306">
        <v>0</v>
      </c>
      <c r="S306">
        <v>0</v>
      </c>
      <c r="T306">
        <v>0</v>
      </c>
      <c r="U306">
        <v>0</v>
      </c>
      <c r="V306">
        <v>0</v>
      </c>
      <c r="W306">
        <v>0</v>
      </c>
      <c r="X306">
        <v>0</v>
      </c>
      <c r="Y306">
        <v>0</v>
      </c>
      <c r="Z306">
        <v>0</v>
      </c>
      <c r="AA306">
        <v>0</v>
      </c>
      <c r="AB306">
        <v>0</v>
      </c>
      <c r="AC306">
        <v>9.43</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2.2799999999999998</v>
      </c>
      <c r="BB306">
        <v>0</v>
      </c>
      <c r="BC306">
        <v>0</v>
      </c>
      <c r="BD306">
        <v>0</v>
      </c>
      <c r="BE306">
        <v>0</v>
      </c>
      <c r="BF306">
        <v>0</v>
      </c>
      <c r="BG306">
        <v>29.56</v>
      </c>
      <c r="BH306">
        <v>0</v>
      </c>
      <c r="BI306">
        <v>0</v>
      </c>
      <c r="BJ306">
        <v>8.9499999999999993</v>
      </c>
      <c r="BK306">
        <v>0</v>
      </c>
      <c r="BL306">
        <v>0</v>
      </c>
      <c r="BM306">
        <v>0</v>
      </c>
      <c r="BN306">
        <v>5.73</v>
      </c>
      <c r="BO306">
        <v>0</v>
      </c>
      <c r="BP306">
        <v>0</v>
      </c>
      <c r="BQ306">
        <v>0</v>
      </c>
      <c r="BR306">
        <v>0</v>
      </c>
      <c r="BS306">
        <v>0</v>
      </c>
      <c r="BT306">
        <v>0</v>
      </c>
      <c r="BU306">
        <v>0</v>
      </c>
      <c r="BV306">
        <v>0</v>
      </c>
      <c r="BW306">
        <v>0</v>
      </c>
      <c r="BX306">
        <v>0</v>
      </c>
      <c r="BY306">
        <v>0</v>
      </c>
      <c r="BZ306">
        <v>0</v>
      </c>
      <c r="CA306">
        <v>0</v>
      </c>
      <c r="CB306">
        <v>0</v>
      </c>
      <c r="CC306">
        <v>0</v>
      </c>
      <c r="CD306">
        <v>0</v>
      </c>
      <c r="CE306">
        <v>6.38</v>
      </c>
      <c r="CF306">
        <v>0</v>
      </c>
      <c r="CG306">
        <v>6.1</v>
      </c>
      <c r="CH306">
        <v>0</v>
      </c>
      <c r="CI306">
        <v>0</v>
      </c>
      <c r="CJ306">
        <v>0</v>
      </c>
      <c r="CK306">
        <v>19</v>
      </c>
      <c r="CL306">
        <v>0</v>
      </c>
      <c r="CM306">
        <v>0</v>
      </c>
      <c r="CN306">
        <v>0</v>
      </c>
      <c r="CO306">
        <v>0</v>
      </c>
      <c r="CP306">
        <v>0</v>
      </c>
      <c r="CQ306">
        <v>0</v>
      </c>
      <c r="CR306">
        <v>0</v>
      </c>
      <c r="CS306">
        <v>0</v>
      </c>
    </row>
    <row r="307" spans="1:97" x14ac:dyDescent="0.3">
      <c r="A307" s="155">
        <v>9018</v>
      </c>
      <c r="B307" t="s">
        <v>1055</v>
      </c>
      <c r="C307" t="s">
        <v>1056</v>
      </c>
      <c r="D307">
        <v>0</v>
      </c>
      <c r="E307">
        <v>434523</v>
      </c>
      <c r="F307">
        <v>250247</v>
      </c>
      <c r="G307">
        <v>4492</v>
      </c>
      <c r="H307">
        <v>622771</v>
      </c>
      <c r="I307">
        <v>32528</v>
      </c>
      <c r="J307">
        <v>379284</v>
      </c>
      <c r="K307">
        <v>20424</v>
      </c>
      <c r="L307">
        <v>17221</v>
      </c>
      <c r="M307">
        <v>3096279</v>
      </c>
      <c r="N307">
        <v>51394</v>
      </c>
      <c r="O307">
        <v>11278</v>
      </c>
      <c r="P307">
        <v>28098</v>
      </c>
      <c r="Q307">
        <v>68772</v>
      </c>
      <c r="R307">
        <v>0</v>
      </c>
      <c r="S307">
        <v>8103</v>
      </c>
      <c r="T307">
        <v>303148</v>
      </c>
      <c r="U307">
        <v>188187</v>
      </c>
      <c r="V307">
        <v>251743</v>
      </c>
      <c r="W307">
        <v>956029</v>
      </c>
      <c r="X307">
        <v>1044772</v>
      </c>
      <c r="Y307">
        <v>26053</v>
      </c>
      <c r="Z307">
        <v>450502</v>
      </c>
      <c r="AA307">
        <v>130483</v>
      </c>
      <c r="AB307">
        <v>2538</v>
      </c>
      <c r="AC307">
        <v>428540</v>
      </c>
      <c r="AD307">
        <v>28345</v>
      </c>
      <c r="AE307">
        <v>21029</v>
      </c>
      <c r="AF307">
        <v>5935</v>
      </c>
      <c r="AG307">
        <v>2360178</v>
      </c>
      <c r="AH307">
        <v>21714</v>
      </c>
      <c r="AI307">
        <v>135548</v>
      </c>
      <c r="AJ307">
        <v>18726</v>
      </c>
      <c r="AK307">
        <v>74932</v>
      </c>
      <c r="AL307">
        <v>0</v>
      </c>
      <c r="AM307">
        <v>949357</v>
      </c>
      <c r="AN307">
        <v>193531</v>
      </c>
      <c r="AO307">
        <v>184281</v>
      </c>
      <c r="AP307">
        <v>4556</v>
      </c>
      <c r="AQ307">
        <v>18846</v>
      </c>
      <c r="AR307">
        <v>178237</v>
      </c>
      <c r="AS307">
        <v>51205</v>
      </c>
      <c r="AT307">
        <v>17088</v>
      </c>
      <c r="AU307">
        <v>956</v>
      </c>
      <c r="AV307">
        <v>45747</v>
      </c>
      <c r="AW307">
        <v>2172</v>
      </c>
      <c r="AX307">
        <v>17845</v>
      </c>
      <c r="AY307">
        <v>301153</v>
      </c>
      <c r="AZ307">
        <v>10053</v>
      </c>
      <c r="BA307">
        <v>12964752</v>
      </c>
      <c r="BB307">
        <v>99552</v>
      </c>
      <c r="BC307">
        <v>1259448</v>
      </c>
      <c r="BD307">
        <v>0</v>
      </c>
      <c r="BE307">
        <v>43796</v>
      </c>
      <c r="BF307">
        <v>96787</v>
      </c>
      <c r="BG307">
        <v>14961</v>
      </c>
      <c r="BH307">
        <v>18987</v>
      </c>
      <c r="BI307">
        <v>222529</v>
      </c>
      <c r="BJ307">
        <v>1060840</v>
      </c>
      <c r="BK307">
        <v>6644</v>
      </c>
      <c r="BL307">
        <v>0</v>
      </c>
      <c r="BM307">
        <v>1207771</v>
      </c>
      <c r="BN307">
        <v>1134390</v>
      </c>
      <c r="BO307">
        <v>854354</v>
      </c>
      <c r="BP307">
        <v>2695</v>
      </c>
      <c r="BQ307">
        <v>125938</v>
      </c>
      <c r="BR307">
        <v>33081</v>
      </c>
      <c r="BS307">
        <v>4127538</v>
      </c>
      <c r="BT307">
        <v>25901</v>
      </c>
      <c r="BU307">
        <v>59524</v>
      </c>
      <c r="BV307">
        <v>102954</v>
      </c>
      <c r="BW307">
        <v>122526</v>
      </c>
      <c r="BX307">
        <v>49721</v>
      </c>
      <c r="BY307">
        <v>82483</v>
      </c>
      <c r="BZ307">
        <v>638272</v>
      </c>
      <c r="CA307">
        <v>2772</v>
      </c>
      <c r="CB307">
        <v>693819</v>
      </c>
      <c r="CC307">
        <v>1252948</v>
      </c>
      <c r="CD307">
        <v>43022771</v>
      </c>
      <c r="CE307">
        <v>9090880</v>
      </c>
      <c r="CF307">
        <v>19914</v>
      </c>
      <c r="CG307">
        <v>986988</v>
      </c>
      <c r="CH307">
        <v>30457</v>
      </c>
      <c r="CI307">
        <v>143290</v>
      </c>
      <c r="CJ307">
        <v>93577574</v>
      </c>
      <c r="CK307">
        <v>1425201</v>
      </c>
      <c r="CL307">
        <v>80079</v>
      </c>
      <c r="CM307">
        <v>510949</v>
      </c>
      <c r="CN307">
        <v>42567</v>
      </c>
      <c r="CO307">
        <v>968751</v>
      </c>
      <c r="CP307">
        <v>147967</v>
      </c>
      <c r="CQ307">
        <v>124238</v>
      </c>
      <c r="CR307">
        <v>853655</v>
      </c>
      <c r="CS307">
        <v>956630</v>
      </c>
    </row>
    <row r="308" spans="1:97" x14ac:dyDescent="0.3">
      <c r="A308" s="155">
        <v>9019</v>
      </c>
      <c r="B308" t="s">
        <v>1057</v>
      </c>
      <c r="C308" t="s">
        <v>1058</v>
      </c>
      <c r="D308">
        <v>0</v>
      </c>
      <c r="E308">
        <v>434523</v>
      </c>
      <c r="F308">
        <v>250247</v>
      </c>
      <c r="G308">
        <v>4492</v>
      </c>
      <c r="H308">
        <v>622771</v>
      </c>
      <c r="I308">
        <v>32528</v>
      </c>
      <c r="J308">
        <v>379284</v>
      </c>
      <c r="K308">
        <v>20424</v>
      </c>
      <c r="L308">
        <v>17221</v>
      </c>
      <c r="M308">
        <v>3096279</v>
      </c>
      <c r="N308">
        <v>51394</v>
      </c>
      <c r="O308">
        <v>11278</v>
      </c>
      <c r="P308">
        <v>28098</v>
      </c>
      <c r="Q308">
        <v>68772</v>
      </c>
      <c r="R308">
        <v>0</v>
      </c>
      <c r="S308">
        <v>8103</v>
      </c>
      <c r="T308">
        <v>303148</v>
      </c>
      <c r="U308">
        <v>188187</v>
      </c>
      <c r="V308">
        <v>251743</v>
      </c>
      <c r="W308">
        <v>956029</v>
      </c>
      <c r="X308">
        <v>1044772</v>
      </c>
      <c r="Y308">
        <v>26053</v>
      </c>
      <c r="Z308">
        <v>450502</v>
      </c>
      <c r="AA308">
        <v>130483</v>
      </c>
      <c r="AB308">
        <v>2538</v>
      </c>
      <c r="AC308">
        <v>428540</v>
      </c>
      <c r="AD308">
        <v>28345</v>
      </c>
      <c r="AE308">
        <v>21029</v>
      </c>
      <c r="AF308">
        <v>5935</v>
      </c>
      <c r="AG308">
        <v>2360178</v>
      </c>
      <c r="AH308">
        <v>21714</v>
      </c>
      <c r="AI308">
        <v>135548</v>
      </c>
      <c r="AJ308">
        <v>18726</v>
      </c>
      <c r="AK308">
        <v>74932</v>
      </c>
      <c r="AL308">
        <v>0</v>
      </c>
      <c r="AM308">
        <v>949357</v>
      </c>
      <c r="AN308">
        <v>193531</v>
      </c>
      <c r="AO308">
        <v>184281</v>
      </c>
      <c r="AP308">
        <v>4556</v>
      </c>
      <c r="AQ308">
        <v>18846</v>
      </c>
      <c r="AR308">
        <v>178237</v>
      </c>
      <c r="AS308">
        <v>51205</v>
      </c>
      <c r="AT308">
        <v>17088</v>
      </c>
      <c r="AU308">
        <v>956</v>
      </c>
      <c r="AV308">
        <v>45747</v>
      </c>
      <c r="AW308">
        <v>2172</v>
      </c>
      <c r="AX308">
        <v>17845</v>
      </c>
      <c r="AY308">
        <v>301153</v>
      </c>
      <c r="AZ308">
        <v>10053</v>
      </c>
      <c r="BA308">
        <v>12964752</v>
      </c>
      <c r="BB308">
        <v>99552</v>
      </c>
      <c r="BC308">
        <v>1259448</v>
      </c>
      <c r="BD308">
        <v>0</v>
      </c>
      <c r="BE308">
        <v>43796</v>
      </c>
      <c r="BF308">
        <v>96787</v>
      </c>
      <c r="BG308">
        <v>14961</v>
      </c>
      <c r="BH308">
        <v>18987</v>
      </c>
      <c r="BI308">
        <v>222529</v>
      </c>
      <c r="BJ308">
        <v>1060840</v>
      </c>
      <c r="BK308">
        <v>6644</v>
      </c>
      <c r="BL308">
        <v>0</v>
      </c>
      <c r="BM308">
        <v>1207771</v>
      </c>
      <c r="BN308">
        <v>1134390</v>
      </c>
      <c r="BO308">
        <v>854354</v>
      </c>
      <c r="BP308">
        <v>2695</v>
      </c>
      <c r="BQ308">
        <v>125938</v>
      </c>
      <c r="BR308">
        <v>33081</v>
      </c>
      <c r="BS308">
        <v>4127538</v>
      </c>
      <c r="BT308">
        <v>25901</v>
      </c>
      <c r="BU308">
        <v>59524</v>
      </c>
      <c r="BV308">
        <v>102954</v>
      </c>
      <c r="BW308">
        <v>122526</v>
      </c>
      <c r="BX308">
        <v>49721</v>
      </c>
      <c r="BY308">
        <v>82483</v>
      </c>
      <c r="BZ308">
        <v>638272</v>
      </c>
      <c r="CA308">
        <v>2772</v>
      </c>
      <c r="CB308">
        <v>693819</v>
      </c>
      <c r="CC308">
        <v>1252948</v>
      </c>
      <c r="CD308">
        <v>43022771</v>
      </c>
      <c r="CE308">
        <v>9090880</v>
      </c>
      <c r="CF308">
        <v>19914</v>
      </c>
      <c r="CG308">
        <v>986988</v>
      </c>
      <c r="CH308">
        <v>30457</v>
      </c>
      <c r="CI308">
        <v>143290</v>
      </c>
      <c r="CJ308">
        <v>93577574</v>
      </c>
      <c r="CK308">
        <v>1425201</v>
      </c>
      <c r="CL308">
        <v>80079</v>
      </c>
      <c r="CM308">
        <v>510949</v>
      </c>
      <c r="CN308">
        <v>42567</v>
      </c>
      <c r="CO308">
        <v>968751</v>
      </c>
      <c r="CP308">
        <v>147967</v>
      </c>
      <c r="CQ308">
        <v>124238</v>
      </c>
      <c r="CR308">
        <v>853655</v>
      </c>
      <c r="CS308">
        <v>956630</v>
      </c>
    </row>
    <row r="309" spans="1:97" s="995" customFormat="1" ht="21.6" customHeight="1" x14ac:dyDescent="0.3">
      <c r="A309" s="991" t="s">
        <v>1984</v>
      </c>
      <c r="B309" s="992" t="s">
        <v>1973</v>
      </c>
      <c r="C309" s="992" t="s">
        <v>1983</v>
      </c>
      <c r="D309" s="994">
        <f t="shared" ref="D309:AI309" si="0">D295/(D296)</f>
        <v>3.1420804655893528</v>
      </c>
      <c r="E309" s="994">
        <f t="shared" si="0"/>
        <v>1.1258252874256163</v>
      </c>
      <c r="F309" s="994">
        <f t="shared" si="0"/>
        <v>0.22505195084280516</v>
      </c>
      <c r="G309" s="994">
        <f t="shared" si="0"/>
        <v>5.2902231798040571</v>
      </c>
      <c r="H309" s="994">
        <f t="shared" si="0"/>
        <v>1.1312832995819473</v>
      </c>
      <c r="I309" s="994">
        <f t="shared" si="0"/>
        <v>1.1110250878332573</v>
      </c>
      <c r="J309" s="994">
        <f t="shared" si="0"/>
        <v>0.40485369020273643</v>
      </c>
      <c r="K309" s="994">
        <f t="shared" si="0"/>
        <v>0.60569831890431036</v>
      </c>
      <c r="L309" s="994">
        <f t="shared" si="0"/>
        <v>1.3359803409197772</v>
      </c>
      <c r="M309" s="994">
        <f t="shared" si="0"/>
        <v>0.68675866975621969</v>
      </c>
      <c r="N309" s="994">
        <f t="shared" si="0"/>
        <v>0.60702324515651795</v>
      </c>
      <c r="O309" s="994">
        <f t="shared" si="0"/>
        <v>0.92040891480133102</v>
      </c>
      <c r="P309" s="994">
        <f t="shared" si="0"/>
        <v>8.1108258784568399</v>
      </c>
      <c r="Q309" s="994">
        <f t="shared" si="0"/>
        <v>0.62398927297159534</v>
      </c>
      <c r="R309" s="994">
        <f t="shared" si="0"/>
        <v>5.2793231385328125</v>
      </c>
      <c r="S309" s="994">
        <f t="shared" si="0"/>
        <v>1.2527715851694259</v>
      </c>
      <c r="T309" s="994">
        <f t="shared" si="0"/>
        <v>0.74827484616197049</v>
      </c>
      <c r="U309" s="994">
        <f t="shared" si="0"/>
        <v>5.0405305714861308</v>
      </c>
      <c r="V309" s="994">
        <f t="shared" si="0"/>
        <v>1.3440674101224153</v>
      </c>
      <c r="W309" s="994">
        <f t="shared" si="0"/>
        <v>0.24540107461824892</v>
      </c>
      <c r="X309" s="994">
        <f t="shared" si="0"/>
        <v>0.61678797611398928</v>
      </c>
      <c r="Y309" s="994">
        <f t="shared" si="0"/>
        <v>2.2961790604232188</v>
      </c>
      <c r="Z309" s="994">
        <f t="shared" si="0"/>
        <v>1.3402370096535761</v>
      </c>
      <c r="AA309" s="994">
        <f t="shared" si="0"/>
        <v>0.4736849807582359</v>
      </c>
      <c r="AB309" s="994">
        <f t="shared" si="0"/>
        <v>1.9673102708500938</v>
      </c>
      <c r="AC309" s="994">
        <f t="shared" si="0"/>
        <v>0.29682074755342142</v>
      </c>
      <c r="AD309" s="994">
        <f t="shared" si="0"/>
        <v>0.76668972803031543</v>
      </c>
      <c r="AE309" s="994">
        <f t="shared" si="0"/>
        <v>0.56409259709159065</v>
      </c>
      <c r="AF309" s="994">
        <f t="shared" si="0"/>
        <v>2.986374170322871</v>
      </c>
      <c r="AG309" s="994">
        <f t="shared" si="0"/>
        <v>0.42822637128135871</v>
      </c>
      <c r="AH309" s="994">
        <f t="shared" si="0"/>
        <v>2.0826850973970004</v>
      </c>
      <c r="AI309" s="994">
        <f t="shared" si="0"/>
        <v>0.91474572716028846</v>
      </c>
      <c r="AJ309" s="994">
        <f t="shared" ref="AJ309:BR309" si="1">AJ295/(AJ296)</f>
        <v>0.68981618142467005</v>
      </c>
      <c r="AK309" s="994">
        <f t="shared" si="1"/>
        <v>3.7534587881481971</v>
      </c>
      <c r="AL309" s="994">
        <f t="shared" si="1"/>
        <v>2.7977514243962665</v>
      </c>
      <c r="AM309" s="994">
        <f t="shared" si="1"/>
        <v>0.79543021981752904</v>
      </c>
      <c r="AN309" s="994">
        <f t="shared" si="1"/>
        <v>0.41520090478272031</v>
      </c>
      <c r="AO309" s="994">
        <f t="shared" si="1"/>
        <v>0.46804155494587746</v>
      </c>
      <c r="AP309" s="994">
        <f t="shared" si="1"/>
        <v>0.25038812643606784</v>
      </c>
      <c r="AQ309" s="994">
        <f t="shared" si="1"/>
        <v>8.9614051732463746</v>
      </c>
      <c r="AR309" s="994">
        <f t="shared" si="1"/>
        <v>0.95637280598302155</v>
      </c>
      <c r="AS309" s="994">
        <f t="shared" si="1"/>
        <v>1.0324030352210207</v>
      </c>
      <c r="AT309" s="994">
        <f t="shared" si="1"/>
        <v>1.9528300868138038</v>
      </c>
      <c r="AU309" s="994">
        <f t="shared" si="1"/>
        <v>13.052127899121819</v>
      </c>
      <c r="AV309" s="994">
        <f t="shared" si="1"/>
        <v>0.53267013748544612</v>
      </c>
      <c r="AW309" s="994">
        <f t="shared" si="1"/>
        <v>0.7654229127913339</v>
      </c>
      <c r="AX309" s="994">
        <f t="shared" si="1"/>
        <v>0.49266485245494757</v>
      </c>
      <c r="AY309" s="994">
        <f t="shared" si="1"/>
        <v>0.56534324681300652</v>
      </c>
      <c r="AZ309" s="994">
        <f t="shared" si="1"/>
        <v>3.7044174218026349</v>
      </c>
      <c r="BA309" s="994">
        <f t="shared" si="1"/>
        <v>0.309448813597414</v>
      </c>
      <c r="BB309" s="994">
        <f t="shared" si="1"/>
        <v>2.9377571785548624</v>
      </c>
      <c r="BC309" s="994">
        <f t="shared" si="1"/>
        <v>0.36650817060682184</v>
      </c>
      <c r="BD309" s="994">
        <f t="shared" si="1"/>
        <v>3.3913989182490609</v>
      </c>
      <c r="BE309" s="994">
        <f t="shared" si="1"/>
        <v>1.3732270443106445</v>
      </c>
      <c r="BF309" s="994">
        <f t="shared" si="1"/>
        <v>1.3737918041813706</v>
      </c>
      <c r="BG309" s="994">
        <f t="shared" si="1"/>
        <v>0.94437439079108199</v>
      </c>
      <c r="BH309" s="994">
        <f t="shared" si="1"/>
        <v>0.69483236944026272</v>
      </c>
      <c r="BI309" s="994">
        <f t="shared" si="1"/>
        <v>0.73517017777083915</v>
      </c>
      <c r="BJ309" s="994">
        <f t="shared" si="1"/>
        <v>0.31454153724962874</v>
      </c>
      <c r="BK309" s="994">
        <f t="shared" si="1"/>
        <v>1.5740421014251857</v>
      </c>
      <c r="BL309" s="994">
        <f t="shared" si="1"/>
        <v>3.4856804912421984</v>
      </c>
      <c r="BM309" s="994">
        <f t="shared" si="1"/>
        <v>0.82676176504567822</v>
      </c>
      <c r="BN309" s="994">
        <f t="shared" si="1"/>
        <v>0.6620258236556974</v>
      </c>
      <c r="BO309" s="994">
        <f t="shared" si="1"/>
        <v>0.5481254700272048</v>
      </c>
      <c r="BP309" s="994">
        <f t="shared" si="1"/>
        <v>1.8818783765636782</v>
      </c>
      <c r="BQ309" s="994">
        <f t="shared" si="1"/>
        <v>1.9316437468054632</v>
      </c>
      <c r="BR309" s="994">
        <f t="shared" si="1"/>
        <v>0.78598726187770207</v>
      </c>
      <c r="BS309" s="994">
        <f t="shared" ref="BS309:BV309" si="2">BS295/(BS296)</f>
        <v>0.62536255803228169</v>
      </c>
      <c r="BT309" s="994">
        <f t="shared" si="2"/>
        <v>2.0830726293830919</v>
      </c>
      <c r="BU309" s="994">
        <f t="shared" si="2"/>
        <v>2.5030778569731895</v>
      </c>
      <c r="BV309" s="994">
        <f t="shared" si="2"/>
        <v>1.1092932693168118</v>
      </c>
      <c r="BW309" s="994">
        <f t="shared" ref="BW309:CS309" si="3">BW295/(BW296)</f>
        <v>0.62355324392922606</v>
      </c>
      <c r="BX309" s="994">
        <f t="shared" si="3"/>
        <v>0.12266253669056129</v>
      </c>
      <c r="BY309" s="994">
        <f t="shared" si="3"/>
        <v>0.67324167139758728</v>
      </c>
      <c r="BZ309" s="994">
        <f t="shared" si="3"/>
        <v>0.32067899174960435</v>
      </c>
      <c r="CA309" s="994">
        <f t="shared" si="3"/>
        <v>4.0883937267685706</v>
      </c>
      <c r="CB309" s="994">
        <f t="shared" si="3"/>
        <v>0.173333136910718</v>
      </c>
      <c r="CC309" s="994">
        <f t="shared" si="3"/>
        <v>0.4327126550701475</v>
      </c>
      <c r="CD309" s="994">
        <f t="shared" si="3"/>
        <v>0.77019196840330684</v>
      </c>
      <c r="CE309" s="994">
        <f t="shared" si="3"/>
        <v>0.40427729958583986</v>
      </c>
      <c r="CF309" s="994">
        <f t="shared" si="3"/>
        <v>0.93122358373290715</v>
      </c>
      <c r="CG309" s="994">
        <f t="shared" si="3"/>
        <v>0.59002373365879945</v>
      </c>
      <c r="CH309" s="994">
        <f t="shared" si="3"/>
        <v>0.35466020708471313</v>
      </c>
      <c r="CI309" s="994">
        <f t="shared" si="3"/>
        <v>0.99360611214229555</v>
      </c>
      <c r="CJ309" s="994">
        <f t="shared" si="3"/>
        <v>0.38430238936906097</v>
      </c>
      <c r="CK309" s="994">
        <f t="shared" si="3"/>
        <v>1.2839223750582154</v>
      </c>
      <c r="CL309" s="994">
        <f t="shared" si="3"/>
        <v>1.479836489114897</v>
      </c>
      <c r="CM309" s="994">
        <f t="shared" si="3"/>
        <v>0.76984018529079978</v>
      </c>
      <c r="CN309" s="994">
        <f t="shared" si="3"/>
        <v>2.017065598927557</v>
      </c>
      <c r="CO309" s="994">
        <f t="shared" si="3"/>
        <v>1.1415542074233131</v>
      </c>
      <c r="CP309" s="994">
        <f t="shared" si="3"/>
        <v>1.0740556111923236</v>
      </c>
      <c r="CQ309" s="994">
        <f t="shared" si="3"/>
        <v>1.3403626234963719</v>
      </c>
      <c r="CR309" s="994">
        <f t="shared" si="3"/>
        <v>0.64903216262443075</v>
      </c>
      <c r="CS309" s="994">
        <f t="shared" si="3"/>
        <v>1.1739147793118743</v>
      </c>
    </row>
    <row r="310" spans="1:97" s="571" customFormat="1" ht="20.399999999999999" customHeight="1" x14ac:dyDescent="0.3">
      <c r="A310" s="570" t="s">
        <v>1943</v>
      </c>
      <c r="B310" s="571" t="s">
        <v>1942</v>
      </c>
      <c r="D310" s="982" t="e">
        <f>1-((D146+D147+D148+D149)/(D138+D139+D140+D141))</f>
        <v>#DIV/0!</v>
      </c>
      <c r="E310" s="982" t="e">
        <f t="shared" ref="E310:BP310" si="4">1-((E146+E147+E148+E149)/(E138+E139+E140+E141))</f>
        <v>#DIV/0!</v>
      </c>
      <c r="F310" s="982">
        <f t="shared" si="4"/>
        <v>0.58024594176715372</v>
      </c>
      <c r="G310" s="982" t="e">
        <f t="shared" si="4"/>
        <v>#DIV/0!</v>
      </c>
      <c r="H310" s="982" t="e">
        <f t="shared" si="4"/>
        <v>#DIV/0!</v>
      </c>
      <c r="I310" s="982">
        <f t="shared" si="4"/>
        <v>0.60291586619463988</v>
      </c>
      <c r="J310" s="982">
        <f t="shared" si="4"/>
        <v>0.61477106986732655</v>
      </c>
      <c r="K310" s="982">
        <f t="shared" si="4"/>
        <v>0.56662443076707802</v>
      </c>
      <c r="L310" s="982">
        <f t="shared" si="4"/>
        <v>0.18427661556523867</v>
      </c>
      <c r="M310" s="982">
        <f t="shared" si="4"/>
        <v>0.46682300365573348</v>
      </c>
      <c r="N310" s="982">
        <f t="shared" si="4"/>
        <v>0.49191604008230272</v>
      </c>
      <c r="O310" s="982" t="e">
        <f t="shared" si="4"/>
        <v>#DIV/0!</v>
      </c>
      <c r="P310" s="982">
        <f t="shared" si="4"/>
        <v>0.6102381453339436</v>
      </c>
      <c r="Q310" s="982">
        <f t="shared" si="4"/>
        <v>0.68203682237809038</v>
      </c>
      <c r="R310" s="982" t="e">
        <f t="shared" si="4"/>
        <v>#DIV/0!</v>
      </c>
      <c r="S310" s="982">
        <f t="shared" si="4"/>
        <v>0.66488109372464832</v>
      </c>
      <c r="T310" s="982" t="e">
        <f t="shared" si="4"/>
        <v>#DIV/0!</v>
      </c>
      <c r="U310" s="982" t="e">
        <f t="shared" si="4"/>
        <v>#DIV/0!</v>
      </c>
      <c r="V310" s="982" t="e">
        <f t="shared" si="4"/>
        <v>#DIV/0!</v>
      </c>
      <c r="W310" s="982">
        <f t="shared" si="4"/>
        <v>0.66418974356664551</v>
      </c>
      <c r="X310" s="982" t="e">
        <f t="shared" si="4"/>
        <v>#DIV/0!</v>
      </c>
      <c r="Y310" s="982">
        <f t="shared" si="4"/>
        <v>0.48718927295015702</v>
      </c>
      <c r="Z310" s="982" t="e">
        <f t="shared" si="4"/>
        <v>#DIV/0!</v>
      </c>
      <c r="AA310" s="982">
        <f t="shared" si="4"/>
        <v>0.62493171481688758</v>
      </c>
      <c r="AB310" s="982" t="e">
        <f t="shared" si="4"/>
        <v>#DIV/0!</v>
      </c>
      <c r="AC310" s="982">
        <f t="shared" si="4"/>
        <v>0.25398351115953699</v>
      </c>
      <c r="AD310" s="982">
        <f t="shared" si="4"/>
        <v>0.49732936947977824</v>
      </c>
      <c r="AE310" s="982">
        <f t="shared" si="4"/>
        <v>0.31359844304413353</v>
      </c>
      <c r="AF310" s="982">
        <f t="shared" si="4"/>
        <v>0.5873049370375214</v>
      </c>
      <c r="AG310" s="982">
        <f t="shared" si="4"/>
        <v>0.31450372871775734</v>
      </c>
      <c r="AH310" s="982" t="e">
        <f t="shared" si="4"/>
        <v>#DIV/0!</v>
      </c>
      <c r="AI310" s="982">
        <f t="shared" si="4"/>
        <v>0.64134946343770116</v>
      </c>
      <c r="AJ310" s="982" t="e">
        <f t="shared" si="4"/>
        <v>#DIV/0!</v>
      </c>
      <c r="AK310" s="982">
        <f t="shared" si="4"/>
        <v>0.93304649638021953</v>
      </c>
      <c r="AL310" s="982">
        <f t="shared" si="4"/>
        <v>0.7538497523127945</v>
      </c>
      <c r="AM310" s="982">
        <f t="shared" si="4"/>
        <v>0.61177203318830142</v>
      </c>
      <c r="AN310" s="982">
        <f t="shared" si="4"/>
        <v>0.36441768571611521</v>
      </c>
      <c r="AO310" s="982">
        <f t="shared" si="4"/>
        <v>0.35019872354432102</v>
      </c>
      <c r="AP310" s="982">
        <f t="shared" si="4"/>
        <v>0.19384879368634611</v>
      </c>
      <c r="AQ310" s="982" t="e">
        <f t="shared" si="4"/>
        <v>#DIV/0!</v>
      </c>
      <c r="AR310" s="982">
        <f t="shared" si="4"/>
        <v>0.4574648736667738</v>
      </c>
      <c r="AS310" s="982">
        <f t="shared" si="4"/>
        <v>0.42587121142762974</v>
      </c>
      <c r="AT310" s="982" t="e">
        <f t="shared" si="4"/>
        <v>#DIV/0!</v>
      </c>
      <c r="AU310" s="982" t="e">
        <f t="shared" si="4"/>
        <v>#DIV/0!</v>
      </c>
      <c r="AV310" s="982" t="e">
        <f t="shared" si="4"/>
        <v>#DIV/0!</v>
      </c>
      <c r="AW310" s="982" t="e">
        <f t="shared" si="4"/>
        <v>#DIV/0!</v>
      </c>
      <c r="AX310" s="982">
        <f t="shared" si="4"/>
        <v>0.30707272873786806</v>
      </c>
      <c r="AY310" s="982">
        <f t="shared" si="4"/>
        <v>0.45645619046364028</v>
      </c>
      <c r="AZ310" s="982">
        <f t="shared" si="4"/>
        <v>0.6105848776070345</v>
      </c>
      <c r="BA310" s="982" t="e">
        <f t="shared" si="4"/>
        <v>#DIV/0!</v>
      </c>
      <c r="BB310" s="982" t="e">
        <f t="shared" si="4"/>
        <v>#DIV/0!</v>
      </c>
      <c r="BC310" s="982">
        <f t="shared" si="4"/>
        <v>0.46109524459550122</v>
      </c>
      <c r="BD310" s="982" t="e">
        <f t="shared" si="4"/>
        <v>#DIV/0!</v>
      </c>
      <c r="BE310" s="982">
        <f t="shared" si="4"/>
        <v>0.42677885801167825</v>
      </c>
      <c r="BF310" s="982">
        <f t="shared" si="4"/>
        <v>0.61846571893625657</v>
      </c>
      <c r="BG310" s="982">
        <f t="shared" si="4"/>
        <v>0.53867328309708307</v>
      </c>
      <c r="BH310" s="982">
        <f t="shared" si="4"/>
        <v>0.58685672140263601</v>
      </c>
      <c r="BI310" s="982">
        <f t="shared" si="4"/>
        <v>0.61259795351242441</v>
      </c>
      <c r="BJ310" s="982">
        <f t="shared" si="4"/>
        <v>0.3976662465512506</v>
      </c>
      <c r="BK310" s="982" t="e">
        <f t="shared" si="4"/>
        <v>#DIV/0!</v>
      </c>
      <c r="BL310" s="982" t="e">
        <f t="shared" si="4"/>
        <v>#DIV/0!</v>
      </c>
      <c r="BM310" s="982" t="e">
        <f t="shared" si="4"/>
        <v>#DIV/0!</v>
      </c>
      <c r="BN310" s="982">
        <f t="shared" si="4"/>
        <v>0.35524958625854652</v>
      </c>
      <c r="BO310" s="982">
        <f t="shared" si="4"/>
        <v>0.5458733948513339</v>
      </c>
      <c r="BP310" s="982" t="e">
        <f t="shared" si="4"/>
        <v>#DIV/0!</v>
      </c>
      <c r="BQ310" s="982" t="e">
        <f t="shared" ref="BQ310:BR310" si="5">1-((BQ146+BQ147+BQ148+BQ149)/(BQ138+BQ139+BQ140+BQ141))</f>
        <v>#DIV/0!</v>
      </c>
      <c r="BR310" s="982">
        <f t="shared" si="5"/>
        <v>0.45642070106988808</v>
      </c>
      <c r="BS310" s="982" t="e">
        <f t="shared" ref="BS310:BV310" si="6">1-((BS146+BS147+BS148+BS149)/(BS138+BS139+BS140+BS141))</f>
        <v>#DIV/0!</v>
      </c>
      <c r="BT310" s="982" t="e">
        <f t="shared" si="6"/>
        <v>#DIV/0!</v>
      </c>
      <c r="BU310" s="982" t="e">
        <f t="shared" si="6"/>
        <v>#DIV/0!</v>
      </c>
      <c r="BV310" s="982">
        <f t="shared" si="6"/>
        <v>0.56930361028731769</v>
      </c>
      <c r="BW310" s="982" t="e">
        <f t="shared" ref="BW310:CS310" si="7">1-((BW146+BW147+BW148+BW149)/(BW138+BW139+BW140+BW141))</f>
        <v>#DIV/0!</v>
      </c>
      <c r="BX310" s="982">
        <f t="shared" si="7"/>
        <v>0.62290308728192345</v>
      </c>
      <c r="BY310" s="982">
        <f t="shared" si="7"/>
        <v>0.49041484739314589</v>
      </c>
      <c r="BZ310" s="982">
        <f t="shared" si="7"/>
        <v>0.55395630373922378</v>
      </c>
      <c r="CA310" s="982">
        <f t="shared" si="7"/>
        <v>0.77916594064006506</v>
      </c>
      <c r="CB310" s="982">
        <f t="shared" si="7"/>
        <v>0.63371245591809</v>
      </c>
      <c r="CC310" s="982">
        <f t="shared" si="7"/>
        <v>0.4202433489055214</v>
      </c>
      <c r="CD310" s="982" t="e">
        <f t="shared" si="7"/>
        <v>#DIV/0!</v>
      </c>
      <c r="CE310" s="982">
        <f t="shared" si="7"/>
        <v>0.52803760178174941</v>
      </c>
      <c r="CF310" s="982">
        <f t="shared" si="7"/>
        <v>0.93904419881732304</v>
      </c>
      <c r="CG310" s="982">
        <f t="shared" si="7"/>
        <v>0.4650250089817165</v>
      </c>
      <c r="CH310" s="982">
        <f t="shared" si="7"/>
        <v>0.60009188163925442</v>
      </c>
      <c r="CI310" s="982">
        <f t="shared" si="7"/>
        <v>0.71353977402704127</v>
      </c>
      <c r="CJ310" s="982">
        <f t="shared" si="7"/>
        <v>0.57400676041078258</v>
      </c>
      <c r="CK310" s="982">
        <f t="shared" si="7"/>
        <v>0.52537494602630619</v>
      </c>
      <c r="CL310" s="982">
        <f t="shared" si="7"/>
        <v>0.39550947055134067</v>
      </c>
      <c r="CM310" s="982" t="e">
        <f t="shared" si="7"/>
        <v>#DIV/0!</v>
      </c>
      <c r="CN310" s="982">
        <f t="shared" si="7"/>
        <v>0.4596354675998191</v>
      </c>
      <c r="CO310" s="982">
        <f t="shared" si="7"/>
        <v>0.32675865379104052</v>
      </c>
      <c r="CP310" s="982">
        <f t="shared" si="7"/>
        <v>0.37840053647391525</v>
      </c>
      <c r="CQ310" s="982">
        <f t="shared" si="7"/>
        <v>0.5858494568166599</v>
      </c>
      <c r="CR310" s="982" t="e">
        <f t="shared" si="7"/>
        <v>#DIV/0!</v>
      </c>
      <c r="CS310" s="982" t="e">
        <f t="shared" si="7"/>
        <v>#DIV/0!</v>
      </c>
    </row>
    <row r="313" spans="1:97" x14ac:dyDescent="0.3">
      <c r="D313" s="581">
        <f t="shared" ref="D313:U313" si="8">D297-D309</f>
        <v>1.9534410647281675E-5</v>
      </c>
      <c r="E313" s="581">
        <f t="shared" si="8"/>
        <v>-2.5287425616360437E-5</v>
      </c>
      <c r="F313" s="581">
        <f t="shared" si="8"/>
        <v>4.8049157194834935E-5</v>
      </c>
      <c r="G313" s="581">
        <f t="shared" si="8"/>
        <v>-2.3179804057527065E-5</v>
      </c>
      <c r="H313" s="581">
        <f t="shared" si="8"/>
        <v>1.6700418052684185E-5</v>
      </c>
      <c r="I313" s="581">
        <f t="shared" si="8"/>
        <v>-2.5087833257275705E-5</v>
      </c>
      <c r="J313" s="581">
        <f t="shared" si="8"/>
        <v>4.6309797263555108E-5</v>
      </c>
      <c r="K313" s="581">
        <f t="shared" si="8"/>
        <v>1.6810956896540219E-6</v>
      </c>
      <c r="L313" s="581">
        <f t="shared" si="8"/>
        <v>1.965908022283358E-5</v>
      </c>
      <c r="M313" s="581">
        <f t="shared" si="8"/>
        <v>4.1330243780279829E-5</v>
      </c>
      <c r="N313" s="581">
        <f t="shared" si="8"/>
        <v>-2.3245156517970322E-5</v>
      </c>
      <c r="O313" s="581">
        <f t="shared" si="8"/>
        <v>-8.914801331028066E-6</v>
      </c>
      <c r="P313" s="581">
        <f t="shared" si="8"/>
        <v>-2.5878456840544573E-5</v>
      </c>
      <c r="Q313" s="581">
        <f t="shared" si="8"/>
        <v>1.072702840465567E-5</v>
      </c>
      <c r="R313" s="581">
        <f t="shared" si="8"/>
        <v>-2.3138532812438939E-5</v>
      </c>
      <c r="S313" s="581">
        <f t="shared" si="8"/>
        <v>2.8414830574030603E-5</v>
      </c>
      <c r="T313" s="581">
        <f t="shared" si="8"/>
        <v>2.5153838029479125E-5</v>
      </c>
      <c r="U313" s="581">
        <f t="shared" si="8"/>
        <v>-3.0571486131059089E-5</v>
      </c>
      <c r="W313" s="581">
        <f>W297-W309</f>
        <v>-1.0746182489140832E-6</v>
      </c>
      <c r="X313" s="581">
        <f>X297-X309</f>
        <v>1.2023886010736895E-5</v>
      </c>
      <c r="Y313" s="581">
        <f>Y297-Y309</f>
        <v>2.0939576780953928E-5</v>
      </c>
      <c r="AA313" s="581">
        <f t="shared" ref="AA313:AT313" si="9">AA297-AA309</f>
        <v>1.5019241764113733E-5</v>
      </c>
      <c r="AB313" s="581">
        <f t="shared" si="9"/>
        <v>-1.027085009375206E-5</v>
      </c>
      <c r="AC313" s="581">
        <f t="shared" si="9"/>
        <v>-2.0747553421407439E-5</v>
      </c>
      <c r="AD313" s="581">
        <f t="shared" si="9"/>
        <v>1.0271969684616522E-5</v>
      </c>
      <c r="AE313" s="581">
        <f t="shared" si="9"/>
        <v>7.4029084093929498E-6</v>
      </c>
      <c r="AF313" s="581">
        <f t="shared" si="9"/>
        <v>2.5829677129163287E-5</v>
      </c>
      <c r="AG313" s="581">
        <f t="shared" si="9"/>
        <v>-2.6371281358683607E-5</v>
      </c>
      <c r="AH313" s="581">
        <f t="shared" si="9"/>
        <v>1.490260299963353E-5</v>
      </c>
      <c r="AI313" s="581">
        <f t="shared" si="9"/>
        <v>-4.5727160288500102E-5</v>
      </c>
      <c r="AJ313" s="581">
        <f t="shared" si="9"/>
        <v>-1.6181424670080879E-5</v>
      </c>
      <c r="AK313" s="581">
        <f t="shared" si="9"/>
        <v>4.1211851802724908E-5</v>
      </c>
      <c r="AL313" s="581">
        <f t="shared" si="9"/>
        <v>4.8575603733613804E-5</v>
      </c>
      <c r="AM313" s="581">
        <f t="shared" si="9"/>
        <v>-3.0219817529042459E-5</v>
      </c>
      <c r="AN313" s="581">
        <f t="shared" si="9"/>
        <v>-9.0478272030125595E-7</v>
      </c>
      <c r="AO313" s="581">
        <f t="shared" si="9"/>
        <v>-4.1554945877431138E-5</v>
      </c>
      <c r="AP313" s="581">
        <f t="shared" si="9"/>
        <v>1.1873563932174314E-5</v>
      </c>
      <c r="AQ313" s="581">
        <f t="shared" si="9"/>
        <v>-5.1732463752784952E-6</v>
      </c>
      <c r="AR313" s="581">
        <f t="shared" si="9"/>
        <v>2.7194016978482338E-5</v>
      </c>
      <c r="AS313" s="581">
        <f t="shared" si="9"/>
        <v>-3.0352210207418295E-6</v>
      </c>
      <c r="AT313" s="581">
        <f t="shared" si="9"/>
        <v>-3.0086813803675838E-5</v>
      </c>
      <c r="AV313" s="581">
        <f t="shared" ref="AV313:CS313" si="10">AV297-AV309</f>
        <v>2.9862514553835595E-5</v>
      </c>
      <c r="AW313" s="581">
        <f t="shared" si="10"/>
        <v>-2.2912791333928872E-5</v>
      </c>
      <c r="AX313" s="581">
        <f t="shared" si="10"/>
        <v>3.514754505246076E-5</v>
      </c>
      <c r="AY313" s="581">
        <f t="shared" si="10"/>
        <v>-4.3246813006492246E-5</v>
      </c>
      <c r="AZ313" s="581">
        <f t="shared" si="10"/>
        <v>-1.7421802634753902E-5</v>
      </c>
      <c r="BA313" s="581">
        <f t="shared" si="10"/>
        <v>-4.8813597413988052E-5</v>
      </c>
      <c r="BB313" s="581">
        <f t="shared" si="10"/>
        <v>4.2821445137786185E-5</v>
      </c>
      <c r="BC313" s="581">
        <f t="shared" si="10"/>
        <v>-8.1706068218445616E-6</v>
      </c>
      <c r="BD313" s="581">
        <f t="shared" si="10"/>
        <v>1.0817509390470548E-6</v>
      </c>
      <c r="BE313" s="581">
        <f t="shared" si="10"/>
        <v>-2.7044310644486202E-5</v>
      </c>
      <c r="BF313" s="581">
        <f t="shared" si="10"/>
        <v>8.1958186293196178E-6</v>
      </c>
      <c r="BG313" s="581">
        <f t="shared" si="10"/>
        <v>2.5609208918031534E-5</v>
      </c>
      <c r="BH313" s="581">
        <f t="shared" si="10"/>
        <v>-3.236944026274724E-5</v>
      </c>
      <c r="BI313" s="581">
        <f t="shared" si="10"/>
        <v>2.9822229160814118E-5</v>
      </c>
      <c r="BJ313" s="581">
        <f t="shared" si="10"/>
        <v>-4.1537249628742501E-5</v>
      </c>
      <c r="BK313" s="581">
        <f t="shared" si="10"/>
        <v>-4.2101425185681052E-5</v>
      </c>
      <c r="BL313" s="581">
        <f t="shared" si="10"/>
        <v>1.9508757801656174E-5</v>
      </c>
      <c r="BM313" s="581">
        <f t="shared" si="10"/>
        <v>3.8234954321758607E-5</v>
      </c>
      <c r="BN313" s="581">
        <f t="shared" si="10"/>
        <v>-2.5823655697365666E-5</v>
      </c>
      <c r="BO313" s="581">
        <f t="shared" si="10"/>
        <v>-2.5470027204765877E-5</v>
      </c>
      <c r="BP313" s="581">
        <f t="shared" si="10"/>
        <v>2.1623436321727141E-5</v>
      </c>
      <c r="BQ313" s="581">
        <f t="shared" si="10"/>
        <v>-4.3746805463262817E-5</v>
      </c>
      <c r="BR313" s="581">
        <f t="shared" si="10"/>
        <v>1.2738122297961674E-5</v>
      </c>
      <c r="BS313" s="581">
        <f t="shared" si="10"/>
        <v>3.7441967718265801E-5</v>
      </c>
      <c r="BT313" s="581">
        <f t="shared" si="10"/>
        <v>2.7370616908051204E-5</v>
      </c>
      <c r="BU313" s="581">
        <f t="shared" si="10"/>
        <v>2.2143026810361732E-5</v>
      </c>
      <c r="BV313" s="581">
        <f t="shared" si="10"/>
        <v>6.7306831881275286E-6</v>
      </c>
      <c r="BW313" s="581">
        <f t="shared" si="10"/>
        <v>4.6756070773978919E-5</v>
      </c>
      <c r="BX313" s="581">
        <f t="shared" si="10"/>
        <v>3.7463309438712233E-5</v>
      </c>
      <c r="BY313" s="581">
        <f t="shared" si="10"/>
        <v>-4.1671397587261794E-5</v>
      </c>
      <c r="BZ313" s="581">
        <f t="shared" si="10"/>
        <v>2.1008250395637695E-5</v>
      </c>
      <c r="CA313" s="581">
        <f t="shared" si="10"/>
        <v>6.2732314294322578E-6</v>
      </c>
      <c r="CB313" s="581">
        <f t="shared" si="10"/>
        <v>-3.3136910717990187E-5</v>
      </c>
      <c r="CC313" s="581">
        <f t="shared" si="10"/>
        <v>-1.2655070147526981E-5</v>
      </c>
      <c r="CD313" s="581">
        <f t="shared" si="10"/>
        <v>8.0315966931587823E-6</v>
      </c>
      <c r="CE313" s="581">
        <f t="shared" si="10"/>
        <v>2.2700414160137239E-5</v>
      </c>
      <c r="CF313" s="581">
        <f t="shared" si="10"/>
        <v>-2.3583732907117572E-5</v>
      </c>
      <c r="CG313" s="581">
        <f t="shared" si="10"/>
        <v>-2.3733658799485191E-5</v>
      </c>
      <c r="CH313" s="581">
        <f t="shared" si="10"/>
        <v>3.9792915286884778E-5</v>
      </c>
      <c r="CI313" s="581">
        <f t="shared" si="10"/>
        <v>-6.1121422955112692E-6</v>
      </c>
      <c r="CJ313" s="581">
        <f t="shared" si="10"/>
        <v>-2.3893690609955165E-6</v>
      </c>
      <c r="CK313" s="581">
        <f t="shared" si="10"/>
        <v>-2.237505821534036E-5</v>
      </c>
      <c r="CL313" s="581">
        <f t="shared" si="10"/>
        <v>-3.6489114896953723E-5</v>
      </c>
      <c r="CM313" s="581">
        <f t="shared" si="10"/>
        <v>-4.0185290799743534E-5</v>
      </c>
      <c r="CN313" s="581">
        <f t="shared" si="10"/>
        <v>3.4401072443124292E-5</v>
      </c>
      <c r="CO313" s="581">
        <f t="shared" si="10"/>
        <v>4.579257668679837E-5</v>
      </c>
      <c r="CP313" s="581">
        <f t="shared" si="10"/>
        <v>4.4388807676432052E-5</v>
      </c>
      <c r="CQ313" s="581">
        <f t="shared" si="10"/>
        <v>3.7376503628117064E-5</v>
      </c>
      <c r="CR313" s="581">
        <f t="shared" si="10"/>
        <v>-3.216262443073159E-5</v>
      </c>
      <c r="CS313" s="581">
        <f t="shared" si="10"/>
        <v>-1.4779311874324463E-5</v>
      </c>
    </row>
    <row r="314" spans="1:97" x14ac:dyDescent="0.3">
      <c r="V314" s="581">
        <f>V297-V309</f>
        <v>3.2589877584809912E-5</v>
      </c>
      <c r="Z314" s="581">
        <f>Z297-Z309</f>
        <v>-3.7009653576003387E-5</v>
      </c>
      <c r="AU314" s="581">
        <f>AU297-AU309</f>
        <v>-2.7899121819885409E-5</v>
      </c>
    </row>
  </sheetData>
  <sheetProtection algorithmName="SHA-512" hashValue="KU9WxBsZvpw2WEKjkVtQlJHdvoBBQaXIyOFQuJRGAmutF7Z5zQQU5LgpY8mt2v8AKNQS5B1V8zK577sxqTa8lA==" saltValue="N2KML+CBQaO11+gCASrsR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C1" sqref="C1"/>
    </sheetView>
  </sheetViews>
  <sheetFormatPr defaultColWidth="9.109375" defaultRowHeight="14.4" x14ac:dyDescent="0.3"/>
  <cols>
    <col min="1" max="1" width="28.5546875" style="384" customWidth="1"/>
    <col min="2" max="12" width="9.109375" style="384"/>
    <col min="13" max="13" width="21.6640625" style="384" customWidth="1"/>
    <col min="14" max="14" width="16.88671875" style="384" customWidth="1"/>
    <col min="15" max="16" width="9.109375" style="384"/>
    <col min="17" max="17" width="18.109375" style="384" customWidth="1"/>
    <col min="18" max="18" width="11" style="384" customWidth="1"/>
    <col min="19" max="16384" width="9.109375" style="384"/>
  </cols>
  <sheetData>
    <row r="1" spans="1:20" x14ac:dyDescent="0.3">
      <c r="A1" s="384" t="s">
        <v>814</v>
      </c>
    </row>
    <row r="2" spans="1:20" ht="15" thickBot="1" x14ac:dyDescent="0.35">
      <c r="A2" s="382" t="s">
        <v>1060</v>
      </c>
      <c r="B2" s="156">
        <v>50526</v>
      </c>
      <c r="C2" s="380">
        <v>50</v>
      </c>
      <c r="D2" s="50"/>
      <c r="E2" s="50"/>
      <c r="G2" s="384">
        <v>100</v>
      </c>
      <c r="I2" s="384" t="s">
        <v>332</v>
      </c>
    </row>
    <row r="3" spans="1:20" ht="15" customHeight="1" thickBot="1" x14ac:dyDescent="0.35">
      <c r="A3" s="383" t="s">
        <v>1061</v>
      </c>
      <c r="B3" s="156">
        <v>50554</v>
      </c>
      <c r="C3" s="380">
        <v>50</v>
      </c>
      <c r="D3" s="49"/>
      <c r="E3" s="50"/>
      <c r="G3" s="384">
        <v>200</v>
      </c>
      <c r="I3" s="384" t="s">
        <v>333</v>
      </c>
      <c r="O3" s="386"/>
      <c r="P3" s="386"/>
      <c r="S3" s="386"/>
      <c r="T3" s="386"/>
    </row>
    <row r="4" spans="1:20" ht="15" customHeight="1" thickBot="1" x14ac:dyDescent="0.35">
      <c r="A4" s="383" t="s">
        <v>1062</v>
      </c>
      <c r="B4" s="156">
        <v>50343</v>
      </c>
      <c r="C4" s="380">
        <v>50</v>
      </c>
      <c r="D4" s="49"/>
      <c r="E4" s="50"/>
      <c r="G4" s="384">
        <v>300</v>
      </c>
      <c r="I4" s="384" t="s">
        <v>334</v>
      </c>
      <c r="O4" s="386"/>
      <c r="P4" s="386"/>
      <c r="S4" s="386"/>
      <c r="T4" s="386"/>
    </row>
    <row r="5" spans="1:20" ht="15" thickBot="1" x14ac:dyDescent="0.35">
      <c r="A5" s="383" t="s">
        <v>1063</v>
      </c>
      <c r="B5" s="156">
        <v>50372</v>
      </c>
      <c r="C5" s="380">
        <v>50</v>
      </c>
      <c r="D5" s="49"/>
      <c r="E5" s="50"/>
      <c r="G5" s="384">
        <v>400</v>
      </c>
      <c r="O5" s="386"/>
      <c r="P5" s="386"/>
      <c r="S5" s="386"/>
      <c r="T5" s="386"/>
    </row>
    <row r="6" spans="1:20" ht="15" thickBot="1" x14ac:dyDescent="0.35">
      <c r="A6" s="383" t="s">
        <v>1064</v>
      </c>
      <c r="B6" s="156">
        <v>50457</v>
      </c>
      <c r="C6" s="380">
        <v>50</v>
      </c>
      <c r="D6" s="49"/>
      <c r="E6" s="50"/>
      <c r="G6" s="384">
        <v>500</v>
      </c>
      <c r="O6" s="386"/>
      <c r="P6" s="386"/>
      <c r="S6" s="386"/>
      <c r="T6" s="386"/>
    </row>
    <row r="7" spans="1:20" ht="15" thickBot="1" x14ac:dyDescent="0.35">
      <c r="A7" s="383" t="s">
        <v>1065</v>
      </c>
      <c r="B7" s="156">
        <v>50373</v>
      </c>
      <c r="C7" s="380">
        <v>50</v>
      </c>
      <c r="D7" s="49"/>
      <c r="E7" s="50"/>
      <c r="O7" s="386"/>
      <c r="P7" s="386"/>
      <c r="S7" s="386"/>
      <c r="T7" s="386"/>
    </row>
    <row r="8" spans="1:20" ht="15" thickBot="1" x14ac:dyDescent="0.35">
      <c r="A8" s="383" t="s">
        <v>848</v>
      </c>
      <c r="B8" s="156">
        <v>50374</v>
      </c>
      <c r="C8" s="380">
        <v>50</v>
      </c>
      <c r="D8" s="49"/>
      <c r="E8" s="50"/>
      <c r="O8" s="386"/>
      <c r="P8" s="386"/>
      <c r="S8" s="386"/>
      <c r="T8" s="386"/>
    </row>
    <row r="9" spans="1:20" ht="15" thickBot="1" x14ac:dyDescent="0.35">
      <c r="A9" s="383" t="s">
        <v>1066</v>
      </c>
      <c r="B9" s="156">
        <v>50375</v>
      </c>
      <c r="C9" s="380">
        <v>50</v>
      </c>
      <c r="D9" s="49"/>
      <c r="E9" s="50"/>
      <c r="O9" s="386"/>
      <c r="P9" s="386"/>
      <c r="S9" s="386"/>
      <c r="T9" s="386"/>
    </row>
    <row r="10" spans="1:20" ht="15" thickBot="1" x14ac:dyDescent="0.35">
      <c r="A10" s="383" t="s">
        <v>1067</v>
      </c>
      <c r="B10" s="156">
        <v>50376</v>
      </c>
      <c r="C10" s="380">
        <v>50</v>
      </c>
      <c r="D10" s="49"/>
      <c r="E10" s="50"/>
      <c r="O10" s="386"/>
      <c r="P10" s="386"/>
      <c r="S10" s="386"/>
      <c r="T10" s="386"/>
    </row>
    <row r="11" spans="1:20" ht="15" thickBot="1" x14ac:dyDescent="0.35">
      <c r="A11" s="383" t="s">
        <v>1068</v>
      </c>
      <c r="B11" s="156">
        <v>50377</v>
      </c>
      <c r="C11" s="380">
        <v>50</v>
      </c>
      <c r="D11" s="49"/>
      <c r="E11" s="50"/>
      <c r="O11" s="386"/>
      <c r="P11" s="386"/>
      <c r="S11" s="386"/>
      <c r="T11" s="386"/>
    </row>
    <row r="12" spans="1:20" ht="15" thickBot="1" x14ac:dyDescent="0.35">
      <c r="A12" s="383" t="s">
        <v>1069</v>
      </c>
      <c r="B12" s="156">
        <v>50378</v>
      </c>
      <c r="C12" s="380">
        <v>50</v>
      </c>
      <c r="D12" s="49"/>
      <c r="E12" s="50"/>
      <c r="O12" s="386"/>
      <c r="P12" s="386"/>
      <c r="S12" s="386"/>
      <c r="T12" s="386"/>
    </row>
    <row r="13" spans="1:20" ht="15" thickBot="1" x14ac:dyDescent="0.35">
      <c r="A13" s="383" t="s">
        <v>1070</v>
      </c>
      <c r="B13" s="156">
        <v>50379</v>
      </c>
      <c r="C13" s="380">
        <v>50</v>
      </c>
      <c r="D13" s="49"/>
      <c r="E13" s="50"/>
      <c r="O13" s="386"/>
      <c r="P13" s="386"/>
      <c r="S13" s="386"/>
      <c r="T13" s="386"/>
    </row>
    <row r="14" spans="1:20" ht="15" thickBot="1" x14ac:dyDescent="0.35">
      <c r="A14" s="383" t="s">
        <v>1071</v>
      </c>
      <c r="B14" s="156">
        <v>50530</v>
      </c>
      <c r="C14" s="380">
        <v>50</v>
      </c>
      <c r="D14" s="49"/>
      <c r="E14" s="50"/>
      <c r="O14" s="386"/>
      <c r="P14" s="386"/>
      <c r="S14" s="386"/>
      <c r="T14" s="386"/>
    </row>
    <row r="15" spans="1:20" ht="15" thickBot="1" x14ac:dyDescent="0.35">
      <c r="A15" s="383" t="s">
        <v>1072</v>
      </c>
      <c r="B15" s="156">
        <v>50380</v>
      </c>
      <c r="C15" s="380">
        <v>50</v>
      </c>
      <c r="D15" s="49"/>
      <c r="E15" s="50"/>
      <c r="O15" s="386"/>
      <c r="P15" s="386"/>
      <c r="S15" s="386"/>
      <c r="T15" s="386"/>
    </row>
    <row r="16" spans="1:20" ht="15" thickBot="1" x14ac:dyDescent="0.35">
      <c r="A16" s="383" t="s">
        <v>849</v>
      </c>
      <c r="B16" s="156">
        <v>50483</v>
      </c>
      <c r="C16" s="380">
        <v>50</v>
      </c>
      <c r="D16" s="49"/>
      <c r="E16" s="50"/>
      <c r="O16" s="386"/>
      <c r="P16" s="386"/>
      <c r="S16" s="386"/>
      <c r="T16" s="386"/>
    </row>
    <row r="17" spans="1:20" ht="15" thickBot="1" x14ac:dyDescent="0.35">
      <c r="A17" s="383" t="s">
        <v>1073</v>
      </c>
      <c r="B17" s="156">
        <v>50381</v>
      </c>
      <c r="C17" s="380">
        <v>50</v>
      </c>
      <c r="D17" s="49"/>
      <c r="E17" s="50"/>
      <c r="O17" s="386"/>
      <c r="P17" s="386"/>
      <c r="S17" s="386"/>
      <c r="T17" s="386"/>
    </row>
    <row r="18" spans="1:20" ht="15" thickBot="1" x14ac:dyDescent="0.35">
      <c r="A18" s="383" t="s">
        <v>1074</v>
      </c>
      <c r="B18" s="156">
        <v>50501</v>
      </c>
      <c r="C18" s="380">
        <v>50</v>
      </c>
      <c r="D18" s="49"/>
      <c r="E18" s="50"/>
      <c r="O18" s="386"/>
      <c r="P18" s="386"/>
      <c r="S18" s="386"/>
      <c r="T18" s="386"/>
    </row>
    <row r="19" spans="1:20" ht="15" thickBot="1" x14ac:dyDescent="0.35">
      <c r="A19" s="383" t="s">
        <v>1075</v>
      </c>
      <c r="B19" s="156">
        <v>50494</v>
      </c>
      <c r="C19" s="380">
        <v>50</v>
      </c>
      <c r="D19" s="49"/>
      <c r="E19" s="50"/>
      <c r="O19" s="386"/>
      <c r="P19" s="386"/>
      <c r="S19" s="386"/>
      <c r="T19" s="386"/>
    </row>
    <row r="20" spans="1:20" ht="15" thickBot="1" x14ac:dyDescent="0.35">
      <c r="A20" s="383" t="s">
        <v>1076</v>
      </c>
      <c r="B20" s="156">
        <v>50382</v>
      </c>
      <c r="C20" s="380">
        <v>50</v>
      </c>
      <c r="D20" s="49"/>
      <c r="E20" s="50"/>
      <c r="O20" s="386"/>
      <c r="P20" s="386"/>
      <c r="S20" s="386"/>
      <c r="T20" s="386"/>
    </row>
    <row r="21" spans="1:20" ht="15" thickBot="1" x14ac:dyDescent="0.35">
      <c r="A21" s="383" t="s">
        <v>1077</v>
      </c>
      <c r="B21" s="156">
        <v>50383</v>
      </c>
      <c r="C21" s="380">
        <v>50</v>
      </c>
      <c r="D21" s="49"/>
      <c r="E21" s="50"/>
      <c r="O21" s="386"/>
      <c r="P21" s="386"/>
      <c r="S21" s="386"/>
      <c r="T21" s="386"/>
    </row>
    <row r="22" spans="1:20" ht="15" thickBot="1" x14ac:dyDescent="0.35">
      <c r="A22" s="383" t="s">
        <v>1078</v>
      </c>
      <c r="B22" s="156">
        <v>50384</v>
      </c>
      <c r="C22" s="380">
        <v>50</v>
      </c>
      <c r="D22" s="49"/>
      <c r="E22" s="50"/>
      <c r="O22" s="386"/>
      <c r="P22" s="386"/>
      <c r="S22" s="386"/>
      <c r="T22" s="386"/>
    </row>
    <row r="23" spans="1:20" ht="15" thickBot="1" x14ac:dyDescent="0.35">
      <c r="A23" s="383" t="s">
        <v>1079</v>
      </c>
      <c r="B23" s="156">
        <v>50557</v>
      </c>
      <c r="C23" s="380">
        <v>50</v>
      </c>
      <c r="D23" s="49"/>
      <c r="E23" s="50"/>
      <c r="O23" s="386"/>
      <c r="P23" s="386"/>
      <c r="S23" s="386"/>
      <c r="T23" s="386"/>
    </row>
    <row r="24" spans="1:20" ht="15" thickBot="1" x14ac:dyDescent="0.35">
      <c r="A24" s="383" t="s">
        <v>1080</v>
      </c>
      <c r="B24" s="156">
        <v>50385</v>
      </c>
      <c r="C24" s="380">
        <v>50</v>
      </c>
      <c r="D24" s="49"/>
      <c r="E24" s="50"/>
      <c r="O24" s="386"/>
      <c r="P24" s="386"/>
      <c r="S24" s="386"/>
      <c r="T24" s="386"/>
    </row>
    <row r="25" spans="1:20" ht="15" thickBot="1" x14ac:dyDescent="0.35">
      <c r="A25" s="383" t="s">
        <v>850</v>
      </c>
      <c r="B25" s="156">
        <v>50386</v>
      </c>
      <c r="C25" s="380">
        <v>50</v>
      </c>
      <c r="D25" s="49"/>
      <c r="E25" s="50"/>
      <c r="O25" s="386"/>
      <c r="P25" s="386"/>
      <c r="S25" s="386"/>
      <c r="T25" s="386"/>
    </row>
    <row r="26" spans="1:20" ht="15" thickBot="1" x14ac:dyDescent="0.35">
      <c r="A26" s="383" t="s">
        <v>1081</v>
      </c>
      <c r="B26" s="156">
        <v>50388</v>
      </c>
      <c r="C26" s="380">
        <v>50</v>
      </c>
      <c r="D26" s="49"/>
      <c r="E26" s="50"/>
      <c r="O26" s="386"/>
      <c r="P26" s="386"/>
      <c r="S26" s="386"/>
      <c r="T26" s="386"/>
    </row>
    <row r="27" spans="1:20" ht="15" thickBot="1" x14ac:dyDescent="0.35">
      <c r="A27" s="383" t="s">
        <v>1082</v>
      </c>
      <c r="B27" s="156">
        <v>50387</v>
      </c>
      <c r="C27" s="380">
        <v>50</v>
      </c>
      <c r="D27" s="49"/>
      <c r="E27" s="50"/>
      <c r="O27" s="386"/>
      <c r="P27" s="386"/>
      <c r="S27" s="386"/>
      <c r="T27" s="386"/>
    </row>
    <row r="28" spans="1:20" ht="15" thickBot="1" x14ac:dyDescent="0.35">
      <c r="A28" s="383" t="s">
        <v>555</v>
      </c>
      <c r="B28" s="156">
        <v>50389</v>
      </c>
      <c r="C28" s="380">
        <v>50</v>
      </c>
      <c r="D28" s="49"/>
      <c r="E28" s="50"/>
      <c r="O28" s="386"/>
      <c r="P28" s="386"/>
      <c r="S28" s="386"/>
      <c r="T28" s="386"/>
    </row>
    <row r="29" spans="1:20" ht="15" thickBot="1" x14ac:dyDescent="0.35">
      <c r="A29" s="383" t="s">
        <v>556</v>
      </c>
      <c r="B29" s="156">
        <v>50500</v>
      </c>
      <c r="C29" s="380">
        <v>50</v>
      </c>
      <c r="D29" s="49"/>
      <c r="E29" s="50"/>
      <c r="O29" s="386"/>
      <c r="P29" s="386"/>
      <c r="S29" s="386"/>
      <c r="T29" s="386"/>
    </row>
    <row r="30" spans="1:20" ht="15" thickBot="1" x14ac:dyDescent="0.35">
      <c r="A30" s="383" t="s">
        <v>851</v>
      </c>
      <c r="B30" s="156">
        <v>50390</v>
      </c>
      <c r="C30" s="380">
        <v>50</v>
      </c>
      <c r="D30" s="49"/>
      <c r="E30" s="50"/>
      <c r="O30" s="386"/>
      <c r="P30" s="386"/>
      <c r="S30" s="386"/>
      <c r="T30" s="386"/>
    </row>
    <row r="31" spans="1:20" ht="15" thickBot="1" x14ac:dyDescent="0.35">
      <c r="A31" s="383" t="s">
        <v>1083</v>
      </c>
      <c r="B31" s="156">
        <v>50391</v>
      </c>
      <c r="C31" s="380">
        <v>50</v>
      </c>
      <c r="D31" s="49"/>
      <c r="E31" s="50"/>
      <c r="O31" s="386"/>
      <c r="P31" s="386"/>
      <c r="S31" s="386"/>
      <c r="T31" s="386"/>
    </row>
    <row r="32" spans="1:20" ht="15" thickBot="1" x14ac:dyDescent="0.35">
      <c r="A32" s="383" t="s">
        <v>1084</v>
      </c>
      <c r="B32" s="156">
        <v>50531</v>
      </c>
      <c r="C32" s="380">
        <v>50</v>
      </c>
      <c r="D32" s="49"/>
      <c r="E32" s="50"/>
      <c r="O32" s="386"/>
      <c r="P32" s="386"/>
      <c r="S32" s="386"/>
      <c r="T32" s="386"/>
    </row>
    <row r="33" spans="1:20" ht="15" thickBot="1" x14ac:dyDescent="0.35">
      <c r="A33" s="383" t="s">
        <v>1085</v>
      </c>
      <c r="B33" s="156">
        <v>50392</v>
      </c>
      <c r="C33" s="380">
        <v>50</v>
      </c>
      <c r="D33" s="49"/>
      <c r="E33" s="50"/>
      <c r="O33" s="386"/>
      <c r="P33" s="386"/>
      <c r="S33" s="386"/>
      <c r="T33" s="386"/>
    </row>
    <row r="34" spans="1:20" ht="15" thickBot="1" x14ac:dyDescent="0.35">
      <c r="A34" s="383" t="s">
        <v>1086</v>
      </c>
      <c r="B34" s="156">
        <v>50458</v>
      </c>
      <c r="C34" s="380">
        <v>50</v>
      </c>
      <c r="D34" s="49"/>
      <c r="E34" s="50"/>
      <c r="O34" s="386"/>
      <c r="P34" s="386"/>
      <c r="S34" s="386"/>
      <c r="T34" s="386"/>
    </row>
    <row r="35" spans="1:20" ht="15" thickBot="1" x14ac:dyDescent="0.35">
      <c r="A35" s="383" t="s">
        <v>1087</v>
      </c>
      <c r="B35" s="156">
        <v>50393</v>
      </c>
      <c r="C35" s="380">
        <v>50</v>
      </c>
      <c r="D35" s="49"/>
      <c r="E35" s="50"/>
      <c r="O35" s="386"/>
      <c r="P35" s="386"/>
      <c r="S35" s="386"/>
      <c r="T35" s="386"/>
    </row>
    <row r="36" spans="1:20" ht="15" thickBot="1" x14ac:dyDescent="0.35">
      <c r="A36" s="383" t="s">
        <v>1088</v>
      </c>
      <c r="B36" s="156">
        <v>50544</v>
      </c>
      <c r="C36" s="380">
        <v>50</v>
      </c>
      <c r="D36" s="49"/>
      <c r="E36" s="50"/>
      <c r="O36" s="386"/>
      <c r="P36" s="386"/>
      <c r="S36" s="386"/>
      <c r="T36" s="386"/>
    </row>
    <row r="37" spans="1:20" ht="15" thickBot="1" x14ac:dyDescent="0.35">
      <c r="A37" s="383" t="s">
        <v>1089</v>
      </c>
      <c r="B37" s="156">
        <v>50394</v>
      </c>
      <c r="C37" s="380">
        <v>50</v>
      </c>
      <c r="D37" s="49"/>
      <c r="E37" s="50"/>
      <c r="O37" s="386"/>
      <c r="P37" s="386"/>
      <c r="S37" s="386"/>
      <c r="T37" s="386"/>
    </row>
    <row r="38" spans="1:20" ht="15" thickBot="1" x14ac:dyDescent="0.35">
      <c r="A38" s="383" t="s">
        <v>1090</v>
      </c>
      <c r="B38" s="156">
        <v>50395</v>
      </c>
      <c r="C38" s="380">
        <v>50</v>
      </c>
      <c r="D38" s="49"/>
      <c r="E38" s="50"/>
      <c r="O38" s="386"/>
      <c r="P38" s="386"/>
      <c r="S38" s="386"/>
      <c r="T38" s="386"/>
    </row>
    <row r="39" spans="1:20" ht="15" thickBot="1" x14ac:dyDescent="0.35">
      <c r="A39" s="383" t="s">
        <v>557</v>
      </c>
      <c r="B39" s="156">
        <v>50396</v>
      </c>
      <c r="C39" s="380">
        <v>50</v>
      </c>
      <c r="D39" s="49"/>
      <c r="E39" s="50"/>
      <c r="O39" s="386"/>
      <c r="P39" s="386"/>
      <c r="S39" s="386"/>
      <c r="T39" s="386"/>
    </row>
    <row r="40" spans="1:20" ht="15" thickBot="1" x14ac:dyDescent="0.35">
      <c r="A40" s="383" t="s">
        <v>1091</v>
      </c>
      <c r="B40" s="156">
        <v>50397</v>
      </c>
      <c r="C40" s="380">
        <v>50</v>
      </c>
      <c r="D40" s="49"/>
      <c r="E40" s="50"/>
      <c r="O40" s="386"/>
      <c r="P40" s="386"/>
      <c r="S40" s="386"/>
      <c r="T40" s="386"/>
    </row>
    <row r="41" spans="1:20" ht="15" thickBot="1" x14ac:dyDescent="0.35">
      <c r="A41" s="383" t="s">
        <v>1092</v>
      </c>
      <c r="B41" s="156">
        <v>50550</v>
      </c>
      <c r="C41" s="380">
        <v>50</v>
      </c>
      <c r="D41" s="49"/>
      <c r="E41" s="50"/>
      <c r="O41" s="386"/>
      <c r="P41" s="386"/>
      <c r="S41" s="386"/>
      <c r="T41" s="386"/>
    </row>
    <row r="42" spans="1:20" ht="15" thickBot="1" x14ac:dyDescent="0.35">
      <c r="A42" s="383" t="s">
        <v>1093</v>
      </c>
      <c r="B42" s="156">
        <v>50398</v>
      </c>
      <c r="C42" s="380">
        <v>50</v>
      </c>
      <c r="D42" s="49"/>
      <c r="E42" s="50"/>
      <c r="O42" s="386"/>
      <c r="P42" s="386"/>
      <c r="S42" s="386"/>
      <c r="T42" s="386"/>
    </row>
    <row r="43" spans="1:20" ht="15" thickBot="1" x14ac:dyDescent="0.35">
      <c r="A43" s="383" t="s">
        <v>559</v>
      </c>
      <c r="B43" s="156">
        <v>50399</v>
      </c>
      <c r="C43" s="380">
        <v>50</v>
      </c>
      <c r="D43" s="49"/>
      <c r="E43" s="50"/>
      <c r="O43" s="386"/>
      <c r="P43" s="386"/>
      <c r="S43" s="386"/>
      <c r="T43" s="386"/>
    </row>
    <row r="44" spans="1:20" ht="15" thickBot="1" x14ac:dyDescent="0.35">
      <c r="A44" s="383" t="s">
        <v>1094</v>
      </c>
      <c r="B44" s="156">
        <v>50400</v>
      </c>
      <c r="C44" s="380">
        <v>50</v>
      </c>
      <c r="D44" s="49"/>
      <c r="E44" s="50"/>
      <c r="O44" s="386"/>
      <c r="P44" s="386"/>
      <c r="S44" s="386"/>
      <c r="T44" s="386"/>
    </row>
    <row r="45" spans="1:20" ht="15" thickBot="1" x14ac:dyDescent="0.35">
      <c r="A45" s="383" t="s">
        <v>1095</v>
      </c>
      <c r="B45" s="156">
        <v>50532</v>
      </c>
      <c r="C45" s="380">
        <v>50</v>
      </c>
      <c r="D45" s="49"/>
      <c r="E45" s="50"/>
      <c r="O45" s="386"/>
      <c r="P45" s="386"/>
      <c r="S45" s="386"/>
      <c r="T45" s="386"/>
    </row>
    <row r="46" spans="1:20" ht="15" thickBot="1" x14ac:dyDescent="0.35">
      <c r="A46" s="383" t="s">
        <v>560</v>
      </c>
      <c r="B46" s="156">
        <v>50401</v>
      </c>
      <c r="C46" s="380">
        <v>50</v>
      </c>
      <c r="D46" s="49"/>
      <c r="E46" s="50"/>
      <c r="O46" s="386"/>
      <c r="P46" s="386"/>
      <c r="S46" s="386"/>
      <c r="T46" s="386"/>
    </row>
    <row r="47" spans="1:20" ht="15" thickBot="1" x14ac:dyDescent="0.35">
      <c r="A47" s="383" t="s">
        <v>852</v>
      </c>
      <c r="B47" s="156">
        <v>50402</v>
      </c>
      <c r="C47" s="380">
        <v>50</v>
      </c>
      <c r="D47" s="49"/>
      <c r="E47" s="50"/>
      <c r="O47" s="386"/>
      <c r="P47" s="386"/>
      <c r="S47" s="386"/>
      <c r="T47" s="386"/>
    </row>
    <row r="48" spans="1:20" ht="15" thickBot="1" x14ac:dyDescent="0.35">
      <c r="A48" s="383" t="s">
        <v>1096</v>
      </c>
      <c r="B48" s="156">
        <v>50485</v>
      </c>
      <c r="C48" s="380">
        <v>50</v>
      </c>
      <c r="D48" s="49"/>
      <c r="E48" s="50"/>
      <c r="O48" s="386"/>
      <c r="P48" s="386"/>
      <c r="S48" s="386"/>
      <c r="T48" s="386"/>
    </row>
    <row r="49" spans="1:20" ht="15" thickBot="1" x14ac:dyDescent="0.35">
      <c r="A49" s="383" t="s">
        <v>1097</v>
      </c>
      <c r="B49" s="156">
        <v>50403</v>
      </c>
      <c r="C49" s="380">
        <v>50</v>
      </c>
      <c r="D49" s="49"/>
      <c r="E49" s="50"/>
      <c r="O49" s="386"/>
      <c r="P49" s="386"/>
      <c r="S49" s="386"/>
      <c r="T49" s="386"/>
    </row>
    <row r="50" spans="1:20" ht="15" thickBot="1" x14ac:dyDescent="0.35">
      <c r="A50" s="383" t="s">
        <v>1098</v>
      </c>
      <c r="B50" s="156">
        <v>50404</v>
      </c>
      <c r="C50" s="380">
        <v>50</v>
      </c>
      <c r="D50" s="49"/>
      <c r="E50" s="50"/>
      <c r="O50" s="386"/>
      <c r="P50" s="386"/>
      <c r="S50" s="386"/>
      <c r="T50" s="386"/>
    </row>
    <row r="51" spans="1:20" ht="15" thickBot="1" x14ac:dyDescent="0.35">
      <c r="A51" s="383" t="s">
        <v>399</v>
      </c>
      <c r="B51" s="156">
        <v>50405</v>
      </c>
      <c r="C51" s="380">
        <v>50</v>
      </c>
      <c r="D51" s="49"/>
      <c r="E51" s="50"/>
      <c r="O51" s="386"/>
      <c r="P51" s="386"/>
      <c r="S51" s="386"/>
      <c r="T51" s="386"/>
    </row>
    <row r="52" spans="1:20" ht="15" thickBot="1" x14ac:dyDescent="0.35">
      <c r="A52" s="383" t="s">
        <v>1099</v>
      </c>
      <c r="B52" s="156">
        <v>50533</v>
      </c>
      <c r="C52" s="380">
        <v>50</v>
      </c>
      <c r="D52" s="49"/>
      <c r="E52" s="50"/>
      <c r="O52" s="386"/>
      <c r="P52" s="386"/>
      <c r="S52" s="386"/>
      <c r="T52" s="386"/>
    </row>
    <row r="53" spans="1:20" ht="15" thickBot="1" x14ac:dyDescent="0.35">
      <c r="A53" s="383" t="s">
        <v>1100</v>
      </c>
      <c r="B53" s="156">
        <v>50406</v>
      </c>
      <c r="C53" s="380">
        <v>50</v>
      </c>
      <c r="D53" s="49"/>
      <c r="E53" s="50"/>
      <c r="O53" s="386"/>
      <c r="P53" s="386"/>
      <c r="S53" s="386"/>
      <c r="T53" s="386"/>
    </row>
    <row r="54" spans="1:20" ht="15" thickBot="1" x14ac:dyDescent="0.35">
      <c r="A54" s="383" t="s">
        <v>1101</v>
      </c>
      <c r="B54" s="156">
        <v>50565</v>
      </c>
      <c r="C54" s="380">
        <v>50</v>
      </c>
      <c r="D54" s="49"/>
      <c r="E54" s="50"/>
      <c r="O54" s="386"/>
      <c r="P54" s="386"/>
      <c r="S54" s="386"/>
      <c r="T54" s="386"/>
    </row>
    <row r="55" spans="1:20" ht="15" thickBot="1" x14ac:dyDescent="0.35">
      <c r="A55" s="383" t="s">
        <v>1102</v>
      </c>
      <c r="B55" s="156">
        <v>50407</v>
      </c>
      <c r="C55" s="380">
        <v>50</v>
      </c>
      <c r="D55" s="49"/>
      <c r="E55" s="50"/>
      <c r="O55" s="386"/>
      <c r="P55" s="386"/>
      <c r="S55" s="386"/>
      <c r="T55" s="386"/>
    </row>
    <row r="56" spans="1:20" ht="15" thickBot="1" x14ac:dyDescent="0.35">
      <c r="A56" s="383" t="s">
        <v>853</v>
      </c>
      <c r="B56" s="156">
        <v>50486</v>
      </c>
      <c r="C56" s="380">
        <v>50</v>
      </c>
      <c r="D56" s="49"/>
      <c r="E56" s="50"/>
      <c r="O56" s="386"/>
      <c r="P56" s="386"/>
      <c r="S56" s="386"/>
      <c r="T56" s="386"/>
    </row>
    <row r="57" spans="1:20" ht="15" thickBot="1" x14ac:dyDescent="0.35">
      <c r="A57" s="383" t="s">
        <v>1103</v>
      </c>
      <c r="B57" s="156">
        <v>50408</v>
      </c>
      <c r="C57" s="380">
        <v>50</v>
      </c>
      <c r="D57" s="49"/>
      <c r="E57" s="50"/>
      <c r="O57" s="386"/>
      <c r="P57" s="386"/>
      <c r="S57" s="386"/>
      <c r="T57" s="386"/>
    </row>
    <row r="58" spans="1:20" ht="15" thickBot="1" x14ac:dyDescent="0.35">
      <c r="A58" s="383" t="s">
        <v>854</v>
      </c>
      <c r="B58" s="156">
        <v>50409</v>
      </c>
      <c r="C58" s="380">
        <v>50</v>
      </c>
      <c r="D58" s="49"/>
      <c r="E58" s="50"/>
      <c r="O58" s="386"/>
      <c r="P58" s="386"/>
      <c r="S58" s="386"/>
      <c r="T58" s="386"/>
    </row>
    <row r="59" spans="1:20" ht="15" thickBot="1" x14ac:dyDescent="0.35">
      <c r="A59" s="383" t="s">
        <v>1104</v>
      </c>
      <c r="B59" s="156">
        <v>50410</v>
      </c>
      <c r="C59" s="380">
        <v>50</v>
      </c>
      <c r="D59" s="49"/>
      <c r="E59" s="50"/>
      <c r="O59" s="386"/>
      <c r="P59" s="386"/>
      <c r="S59" s="386"/>
      <c r="T59" s="386"/>
    </row>
    <row r="60" spans="1:20" ht="15" thickBot="1" x14ac:dyDescent="0.35">
      <c r="A60" s="383" t="s">
        <v>1105</v>
      </c>
      <c r="B60" s="156">
        <v>50411</v>
      </c>
      <c r="C60" s="380">
        <v>50</v>
      </c>
      <c r="D60" s="49"/>
      <c r="E60" s="50"/>
      <c r="O60" s="386"/>
      <c r="P60" s="386"/>
      <c r="S60" s="386"/>
      <c r="T60" s="386"/>
    </row>
    <row r="61" spans="1:20" ht="15" thickBot="1" x14ac:dyDescent="0.35">
      <c r="A61" s="383" t="s">
        <v>1106</v>
      </c>
      <c r="B61" s="156">
        <v>50412</v>
      </c>
      <c r="C61" s="380">
        <v>50</v>
      </c>
      <c r="D61" s="49"/>
      <c r="E61" s="50"/>
      <c r="O61" s="386"/>
      <c r="P61" s="386"/>
      <c r="S61" s="386"/>
      <c r="T61" s="386"/>
    </row>
    <row r="62" spans="1:20" ht="15" thickBot="1" x14ac:dyDescent="0.35">
      <c r="A62" s="383" t="s">
        <v>1107</v>
      </c>
      <c r="B62" s="156">
        <v>50488</v>
      </c>
      <c r="C62" s="380">
        <v>50</v>
      </c>
      <c r="D62" s="49"/>
      <c r="E62" s="50"/>
      <c r="O62" s="386"/>
      <c r="P62" s="386"/>
      <c r="S62" s="386"/>
      <c r="T62" s="386"/>
    </row>
    <row r="63" spans="1:20" ht="15" thickBot="1" x14ac:dyDescent="0.35">
      <c r="A63" s="383" t="s">
        <v>1108</v>
      </c>
      <c r="B63" s="156">
        <v>50413</v>
      </c>
      <c r="C63" s="380">
        <v>50</v>
      </c>
      <c r="D63" s="49"/>
      <c r="E63" s="50"/>
      <c r="O63" s="386"/>
      <c r="P63" s="386"/>
      <c r="S63" s="386"/>
      <c r="T63" s="386"/>
    </row>
    <row r="64" spans="1:20" ht="15" thickBot="1" x14ac:dyDescent="0.35">
      <c r="A64" s="383" t="s">
        <v>1109</v>
      </c>
      <c r="B64" s="156">
        <v>50414</v>
      </c>
      <c r="C64" s="380">
        <v>50</v>
      </c>
      <c r="D64" s="49"/>
      <c r="E64" s="50"/>
      <c r="O64" s="386"/>
      <c r="P64" s="386"/>
      <c r="S64" s="386"/>
      <c r="T64" s="386"/>
    </row>
    <row r="65" spans="1:20" ht="15" thickBot="1" x14ac:dyDescent="0.35">
      <c r="A65" s="383" t="s">
        <v>1110</v>
      </c>
      <c r="B65" s="156">
        <v>50415</v>
      </c>
      <c r="C65" s="380">
        <v>50</v>
      </c>
      <c r="D65" s="49"/>
      <c r="E65" s="50"/>
      <c r="O65" s="386"/>
      <c r="P65" s="386"/>
      <c r="S65" s="386"/>
      <c r="T65" s="386"/>
    </row>
    <row r="66" spans="1:20" ht="15" thickBot="1" x14ac:dyDescent="0.35">
      <c r="A66" s="383" t="s">
        <v>1111</v>
      </c>
      <c r="B66" s="156">
        <v>50416</v>
      </c>
      <c r="C66" s="380">
        <v>50</v>
      </c>
      <c r="D66" s="49"/>
      <c r="E66" s="50"/>
      <c r="O66" s="386"/>
      <c r="P66" s="386"/>
      <c r="S66" s="386"/>
      <c r="T66" s="386"/>
    </row>
    <row r="67" spans="1:20" ht="15" thickBot="1" x14ac:dyDescent="0.35">
      <c r="A67" s="383" t="s">
        <v>1112</v>
      </c>
      <c r="B67" s="156">
        <v>50534</v>
      </c>
      <c r="C67" s="380">
        <v>50</v>
      </c>
      <c r="D67" s="49"/>
      <c r="E67" s="50"/>
      <c r="O67" s="386"/>
      <c r="P67" s="386"/>
      <c r="S67" s="386"/>
      <c r="T67" s="386"/>
    </row>
    <row r="68" spans="1:20" ht="15" thickBot="1" x14ac:dyDescent="0.35">
      <c r="A68" s="383" t="s">
        <v>1113</v>
      </c>
      <c r="B68" s="156">
        <v>50417</v>
      </c>
      <c r="C68" s="380">
        <v>50</v>
      </c>
      <c r="D68" s="49"/>
      <c r="E68" s="50"/>
      <c r="O68" s="386"/>
      <c r="P68" s="386"/>
      <c r="S68" s="386"/>
      <c r="T68" s="386"/>
    </row>
    <row r="69" spans="1:20" ht="15" thickBot="1" x14ac:dyDescent="0.35">
      <c r="A69" s="383" t="s">
        <v>1114</v>
      </c>
      <c r="B69" s="156">
        <v>50418</v>
      </c>
      <c r="C69" s="380">
        <v>50</v>
      </c>
    </row>
    <row r="70" spans="1:20" ht="15" thickBot="1" x14ac:dyDescent="0.35">
      <c r="A70" s="383" t="s">
        <v>1115</v>
      </c>
      <c r="B70" s="156">
        <v>50546</v>
      </c>
      <c r="C70" s="380">
        <v>50</v>
      </c>
    </row>
    <row r="71" spans="1:20" ht="15" thickBot="1" x14ac:dyDescent="0.35">
      <c r="A71" s="383" t="s">
        <v>1116</v>
      </c>
      <c r="B71" s="156">
        <v>50552</v>
      </c>
      <c r="C71" s="380">
        <v>50</v>
      </c>
    </row>
    <row r="72" spans="1:20" ht="15" thickBot="1" x14ac:dyDescent="0.35">
      <c r="A72" s="383" t="s">
        <v>1117</v>
      </c>
      <c r="B72" s="156">
        <v>50419</v>
      </c>
      <c r="C72" s="380">
        <v>50</v>
      </c>
    </row>
    <row r="73" spans="1:20" ht="15" thickBot="1" x14ac:dyDescent="0.35">
      <c r="A73" s="383" t="s">
        <v>1118</v>
      </c>
      <c r="B73" s="156">
        <v>50441</v>
      </c>
      <c r="C73" s="380">
        <v>50</v>
      </c>
    </row>
    <row r="74" spans="1:20" ht="15" thickBot="1" x14ac:dyDescent="0.35">
      <c r="A74" s="383" t="s">
        <v>561</v>
      </c>
      <c r="B74" s="156">
        <v>50420</v>
      </c>
      <c r="C74" s="380">
        <v>50</v>
      </c>
    </row>
    <row r="75" spans="1:20" ht="15" thickBot="1" x14ac:dyDescent="0.35">
      <c r="A75" s="383" t="s">
        <v>855</v>
      </c>
      <c r="B75" s="156">
        <v>50421</v>
      </c>
      <c r="C75" s="380">
        <v>50</v>
      </c>
    </row>
    <row r="76" spans="1:20" ht="15" thickBot="1" x14ac:dyDescent="0.35">
      <c r="A76" s="383" t="s">
        <v>1119</v>
      </c>
      <c r="B76" s="156">
        <v>50422</v>
      </c>
      <c r="C76" s="380">
        <v>50</v>
      </c>
    </row>
    <row r="77" spans="1:20" ht="15" thickBot="1" x14ac:dyDescent="0.35">
      <c r="A77" s="383" t="s">
        <v>1120</v>
      </c>
      <c r="B77" s="156">
        <v>50535</v>
      </c>
      <c r="C77" s="380">
        <v>50</v>
      </c>
    </row>
    <row r="78" spans="1:20" ht="15" thickBot="1" x14ac:dyDescent="0.35">
      <c r="A78" s="383" t="s">
        <v>562</v>
      </c>
      <c r="B78" s="156">
        <v>50423</v>
      </c>
      <c r="C78" s="380">
        <v>50</v>
      </c>
    </row>
    <row r="79" spans="1:20" ht="15" thickBot="1" x14ac:dyDescent="0.35">
      <c r="A79" s="383" t="s">
        <v>1121</v>
      </c>
      <c r="B79" s="156">
        <v>50424</v>
      </c>
      <c r="C79" s="380">
        <v>50</v>
      </c>
    </row>
    <row r="80" spans="1:20" ht="15" thickBot="1" x14ac:dyDescent="0.35">
      <c r="A80" s="383" t="s">
        <v>400</v>
      </c>
      <c r="B80" s="156">
        <v>50425</v>
      </c>
      <c r="C80" s="380">
        <v>50</v>
      </c>
    </row>
    <row r="81" spans="1:3" ht="15" thickBot="1" x14ac:dyDescent="0.35">
      <c r="A81" s="383" t="s">
        <v>1122</v>
      </c>
      <c r="B81" s="156">
        <v>50426</v>
      </c>
      <c r="C81" s="380">
        <v>50</v>
      </c>
    </row>
    <row r="82" spans="1:3" ht="15" thickBot="1" x14ac:dyDescent="0.35">
      <c r="A82" s="383" t="s">
        <v>1123</v>
      </c>
      <c r="B82" s="156">
        <v>50537</v>
      </c>
      <c r="C82" s="380">
        <v>50</v>
      </c>
    </row>
    <row r="83" spans="1:3" ht="15" thickBot="1" x14ac:dyDescent="0.35">
      <c r="A83" s="383" t="s">
        <v>1124</v>
      </c>
      <c r="B83" s="156">
        <v>50427</v>
      </c>
      <c r="C83" s="380">
        <v>50</v>
      </c>
    </row>
    <row r="84" spans="1:3" ht="15" thickBot="1" x14ac:dyDescent="0.35">
      <c r="A84" s="383" t="s">
        <v>1125</v>
      </c>
      <c r="B84" s="156">
        <v>50428</v>
      </c>
      <c r="C84" s="380">
        <v>50</v>
      </c>
    </row>
    <row r="85" spans="1:3" ht="15" thickBot="1" x14ac:dyDescent="0.35">
      <c r="A85" s="383" t="s">
        <v>1126</v>
      </c>
      <c r="B85" s="156">
        <v>50429</v>
      </c>
      <c r="C85" s="380">
        <v>50</v>
      </c>
    </row>
    <row r="86" spans="1:3" ht="15" thickBot="1" x14ac:dyDescent="0.35">
      <c r="A86" s="383" t="s">
        <v>401</v>
      </c>
      <c r="B86" s="156">
        <v>50431</v>
      </c>
      <c r="C86" s="380">
        <v>50</v>
      </c>
    </row>
    <row r="87" spans="1:3" ht="15" thickBot="1" x14ac:dyDescent="0.35">
      <c r="A87" s="383" t="s">
        <v>1127</v>
      </c>
      <c r="B87" s="156">
        <v>50430</v>
      </c>
      <c r="C87" s="380">
        <v>50</v>
      </c>
    </row>
    <row r="88" spans="1:3" ht="15" thickBot="1" x14ac:dyDescent="0.35">
      <c r="A88" s="383" t="s">
        <v>856</v>
      </c>
      <c r="B88" s="156">
        <v>50432</v>
      </c>
      <c r="C88" s="380">
        <v>50</v>
      </c>
    </row>
    <row r="89" spans="1:3" ht="15" thickBot="1" x14ac:dyDescent="0.35">
      <c r="A89" s="383" t="s">
        <v>1128</v>
      </c>
      <c r="B89" s="156">
        <v>50453</v>
      </c>
      <c r="C89" s="380">
        <v>50</v>
      </c>
    </row>
    <row r="90" spans="1:3" ht="15" thickBot="1" x14ac:dyDescent="0.35">
      <c r="A90" s="383" t="s">
        <v>1129</v>
      </c>
      <c r="B90" s="156">
        <v>50433</v>
      </c>
      <c r="C90" s="380">
        <v>50</v>
      </c>
    </row>
    <row r="91" spans="1:3" ht="15" thickBot="1" x14ac:dyDescent="0.35">
      <c r="A91" s="383" t="s">
        <v>1130</v>
      </c>
      <c r="B91" s="156">
        <v>50435</v>
      </c>
      <c r="C91" s="380">
        <v>50</v>
      </c>
    </row>
    <row r="92" spans="1:3" ht="15" thickBot="1" x14ac:dyDescent="0.35">
      <c r="A92" s="383" t="s">
        <v>1131</v>
      </c>
      <c r="B92" s="156">
        <v>50436</v>
      </c>
      <c r="C92" s="380">
        <v>50</v>
      </c>
    </row>
    <row r="93" spans="1:3" ht="15" thickBot="1" x14ac:dyDescent="0.35">
      <c r="A93" s="383" t="s">
        <v>857</v>
      </c>
      <c r="B93" s="156">
        <v>50499</v>
      </c>
      <c r="C93" s="380">
        <v>50</v>
      </c>
    </row>
    <row r="94" spans="1:3" ht="15" thickBot="1" x14ac:dyDescent="0.35">
      <c r="A94" s="383" t="s">
        <v>1132</v>
      </c>
      <c r="B94" s="156">
        <v>50438</v>
      </c>
      <c r="C94" s="380">
        <v>50</v>
      </c>
    </row>
    <row r="95" spans="1:3" ht="15" thickBot="1" x14ac:dyDescent="0.35">
      <c r="A95" s="383" t="s">
        <v>1133</v>
      </c>
      <c r="B95" s="156">
        <v>50439</v>
      </c>
      <c r="C95" s="380">
        <v>50</v>
      </c>
    </row>
  </sheetData>
  <sheetProtection algorithmName="SHA-512" hashValue="WhdUdri765BFN/fsTPAvVIVJSGtEHNLlca1aE6ig8STcy0/ycCSLlROmdNGGizNt0tNr1gpHNQtBsNakux4NOA==" saltValue="ovGoXmIgcsnSFw2RdL++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9" customWidth="1"/>
    <col min="2" max="2" width="20.6640625" style="5" customWidth="1"/>
    <col min="3" max="3" width="17.44140625" style="5" customWidth="1"/>
    <col min="4" max="4" width="46.33203125" style="386" customWidth="1"/>
    <col min="5" max="5" width="17.109375" style="18" customWidth="1"/>
    <col min="6" max="6" width="21.5546875" style="386" customWidth="1"/>
    <col min="7" max="7" width="26.6640625" style="451" customWidth="1"/>
    <col min="8" max="8" width="25.109375" style="311" customWidth="1"/>
    <col min="9" max="10" width="24" style="386" customWidth="1"/>
    <col min="11" max="11" width="17.33203125" style="18" customWidth="1"/>
    <col min="12" max="12" width="11.6640625" style="18" customWidth="1"/>
    <col min="13" max="13" width="4" hidden="1" customWidth="1"/>
    <col min="14" max="14" width="11" style="18" hidden="1" customWidth="1"/>
    <col min="15" max="15" width="3.33203125" style="187"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6"/>
  </cols>
  <sheetData>
    <row r="1" spans="1:123" ht="15" thickBot="1" x14ac:dyDescent="0.35">
      <c r="B1" s="453" t="s">
        <v>388</v>
      </c>
      <c r="C1" s="453"/>
      <c r="E1" s="387" t="s">
        <v>35</v>
      </c>
      <c r="F1" s="388">
        <v>2023</v>
      </c>
      <c r="G1" s="115" t="s">
        <v>118</v>
      </c>
      <c r="H1" s="389"/>
      <c r="I1" s="390"/>
      <c r="J1" s="390"/>
      <c r="K1" s="391"/>
      <c r="N1" s="18" t="s">
        <v>50</v>
      </c>
      <c r="P1" s="18">
        <v>1</v>
      </c>
      <c r="Q1" s="18" t="s">
        <v>1140</v>
      </c>
    </row>
    <row r="2" spans="1:123" ht="44.25" customHeight="1" thickBot="1" x14ac:dyDescent="0.35">
      <c r="B2" s="1089" t="s">
        <v>284</v>
      </c>
      <c r="C2" s="1090"/>
      <c r="D2" s="392" t="s">
        <v>814</v>
      </c>
      <c r="E2" s="1087" t="s">
        <v>296</v>
      </c>
      <c r="F2" s="1087"/>
      <c r="G2" s="1088"/>
      <c r="H2" s="776" t="s">
        <v>2884</v>
      </c>
      <c r="N2" s="18" t="s">
        <v>51</v>
      </c>
      <c r="O2" s="187">
        <v>50</v>
      </c>
      <c r="P2" s="18">
        <v>2</v>
      </c>
      <c r="Q2" s="18">
        <v>9004</v>
      </c>
    </row>
    <row r="3" spans="1:123" ht="15" thickBot="1" x14ac:dyDescent="0.35">
      <c r="B3" s="454" t="s">
        <v>0</v>
      </c>
      <c r="C3" s="455"/>
      <c r="D3" s="394" t="e">
        <f>VLOOKUP(D2,'Unit Names(H)'!A2:B139,2,FALSE)</f>
        <v>#N/A</v>
      </c>
      <c r="E3" s="526"/>
      <c r="F3" s="395"/>
      <c r="G3" s="396"/>
      <c r="H3" s="393"/>
      <c r="O3" s="187">
        <v>51</v>
      </c>
      <c r="P3" s="18">
        <v>3</v>
      </c>
    </row>
    <row r="4" spans="1:123" ht="15" thickBot="1" x14ac:dyDescent="0.35">
      <c r="B4" s="456" t="s">
        <v>680</v>
      </c>
      <c r="C4" s="457"/>
      <c r="D4" s="397"/>
      <c r="E4" s="397"/>
      <c r="F4" s="398"/>
      <c r="G4" s="399"/>
      <c r="H4" s="393"/>
      <c r="I4" s="2"/>
      <c r="J4" s="2"/>
      <c r="N4" s="18" t="s">
        <v>324</v>
      </c>
      <c r="O4" s="187">
        <v>52</v>
      </c>
      <c r="P4" s="18">
        <v>4</v>
      </c>
    </row>
    <row r="5" spans="1:123" ht="37.5" customHeight="1" thickBot="1" x14ac:dyDescent="0.35">
      <c r="A5" s="375" t="s">
        <v>385</v>
      </c>
      <c r="B5" s="958" t="s">
        <v>103</v>
      </c>
      <c r="C5" s="958" t="s">
        <v>120</v>
      </c>
      <c r="D5" s="959" t="s">
        <v>1</v>
      </c>
      <c r="E5" s="959">
        <v>2022</v>
      </c>
      <c r="F5" s="400">
        <v>2023</v>
      </c>
      <c r="G5" s="960" t="s">
        <v>789</v>
      </c>
      <c r="H5" s="401" t="s">
        <v>300</v>
      </c>
      <c r="I5" s="388" t="s">
        <v>13</v>
      </c>
      <c r="J5" s="388"/>
      <c r="N5" s="18" t="s">
        <v>430</v>
      </c>
    </row>
    <row r="6" spans="1:123" ht="48" customHeight="1" thickBot="1" x14ac:dyDescent="0.4">
      <c r="A6" s="375"/>
      <c r="B6" s="1096" t="s">
        <v>1940</v>
      </c>
      <c r="C6" s="1097"/>
      <c r="D6" s="1097"/>
      <c r="E6" s="1097"/>
      <c r="F6" s="1097"/>
      <c r="G6" s="1098"/>
      <c r="H6" s="948"/>
      <c r="I6" s="1032"/>
      <c r="J6" s="388"/>
      <c r="M6" s="180"/>
      <c r="N6" s="344" t="s">
        <v>464</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5"/>
      <c r="B7" s="1096" t="s">
        <v>1976</v>
      </c>
      <c r="C7" s="1097"/>
      <c r="D7" s="1097"/>
      <c r="E7" s="1097"/>
      <c r="F7" s="1097"/>
      <c r="G7" s="1098"/>
      <c r="H7" s="948"/>
      <c r="I7" s="1032"/>
      <c r="J7" s="388"/>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81" t="s">
        <v>119</v>
      </c>
      <c r="C8" s="482"/>
      <c r="D8" s="483"/>
      <c r="E8" s="484"/>
      <c r="F8" s="485"/>
      <c r="G8" s="477"/>
      <c r="H8" s="17"/>
      <c r="I8" s="72"/>
      <c r="K8" s="771"/>
      <c r="N8" s="18" t="s">
        <v>413</v>
      </c>
    </row>
    <row r="9" spans="1:123" s="18" customFormat="1" ht="72.599999999999994" customHeight="1" x14ac:dyDescent="0.3">
      <c r="A9" s="553">
        <v>333</v>
      </c>
      <c r="B9" s="375" t="s">
        <v>66</v>
      </c>
      <c r="C9" s="375" t="s">
        <v>121</v>
      </c>
      <c r="D9" s="385" t="s">
        <v>681</v>
      </c>
      <c r="E9" s="373" t="e">
        <f>INDEX('PY1 Data(H)'!$A$1:$CZ$265,MATCH('Unit Data from Audit Worksheet'!$A9,'PY1 Data(H)'!$A$1:$A$258,0),MATCH('Unit Data from Audit Worksheet'!$D$2,'PY1 Data(H)'!$A$1:$CZ$1,0))</f>
        <v>#N/A</v>
      </c>
      <c r="F9" s="808">
        <v>0</v>
      </c>
      <c r="G9" s="403">
        <f>IF(F9&lt;0,"Note: Number is normally positive.",)</f>
        <v>0</v>
      </c>
      <c r="H9" s="404"/>
      <c r="I9" s="405"/>
      <c r="J9" s="405"/>
      <c r="K9" s="294"/>
      <c r="L9" s="550"/>
      <c r="M9"/>
      <c r="N9" s="18" t="s">
        <v>431</v>
      </c>
      <c r="O9" s="187"/>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5" t="s">
        <v>54</v>
      </c>
      <c r="C10" s="375" t="s">
        <v>121</v>
      </c>
      <c r="D10" s="385" t="s">
        <v>682</v>
      </c>
      <c r="E10" s="373" t="e">
        <f>INDEX('PY1 Data(H)'!$A$1:$CZ$265,MATCH('Unit Data from Audit Worksheet'!$A10,'PY1 Data(H)'!$A$1:$A$258,0),MATCH('Unit Data from Audit Worksheet'!$D$2,'PY1 Data(H)'!$A$1:$CZ$1,0))</f>
        <v>#N/A</v>
      </c>
      <c r="F10" s="808">
        <v>0</v>
      </c>
      <c r="G10" s="403">
        <f>IF(F10&lt;0,"Note: Number is normally positive.",)</f>
        <v>0</v>
      </c>
      <c r="H10" s="404"/>
      <c r="I10" s="404"/>
      <c r="J10" s="404"/>
      <c r="K10" s="294"/>
      <c r="L10" s="550"/>
      <c r="M10"/>
      <c r="N10" s="18" t="s">
        <v>432</v>
      </c>
      <c r="O10" s="187"/>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5">
        <v>385</v>
      </c>
      <c r="B11" s="4" t="s">
        <v>59</v>
      </c>
      <c r="C11" s="375" t="s">
        <v>121</v>
      </c>
      <c r="D11" s="99" t="s">
        <v>122</v>
      </c>
      <c r="E11" s="373" t="e">
        <f>INDEX('PY1 Data(H)'!$A$1:$CZ$265,MATCH('Unit Data from Audit Worksheet'!$A11,'PY1 Data(H)'!$A$1:$A$258,0),MATCH('Unit Data from Audit Worksheet'!$D$2,'PY1 Data(H)'!$A$1:$CZ$1,0))-INDEX('PY1 Data(H)'!$A$1:$CZ$258,MATCH('Unit Data from Audit Worksheet'!$A13,'PY1 Data(H)'!$A$1:$A$258,0),MATCH('Unit Data from Audit Worksheet'!$D$2,'PY1 Data(H)'!$A$1:$CZ$1,0))</f>
        <v>#N/A</v>
      </c>
      <c r="F11" s="808">
        <v>0</v>
      </c>
      <c r="G11" s="403">
        <f>IF((F9+F10)&gt;F11,"Error: Please review Account numbers (333+500)&gt;385",)</f>
        <v>0</v>
      </c>
      <c r="H11" s="404"/>
      <c r="I11" s="404"/>
      <c r="J11" s="404"/>
      <c r="K11"/>
      <c r="L11" s="550"/>
    </row>
    <row r="12" spans="1:123" s="18" customFormat="1" ht="90" customHeight="1" x14ac:dyDescent="0.3">
      <c r="A12" s="100">
        <v>575</v>
      </c>
      <c r="B12" s="375" t="s">
        <v>69</v>
      </c>
      <c r="C12" s="375" t="s">
        <v>121</v>
      </c>
      <c r="D12" s="458" t="s">
        <v>683</v>
      </c>
      <c r="E12" s="373" t="e">
        <f>INDEX('PY1 Data(H)'!$A$1:$CZ$265,MATCH('Unit Data from Audit Worksheet'!$A12,'PY1 Data(H)'!$A$1:$A$258,0),MATCH('Unit Data from Audit Worksheet'!$D$2,'PY1 Data(H)'!$A$1:$CZ$1,0))</f>
        <v>#N/A</v>
      </c>
      <c r="F12" s="808">
        <v>0</v>
      </c>
      <c r="G12" s="403">
        <f>IF(F12&lt;0,"Note: Number is normally positive.",)</f>
        <v>0</v>
      </c>
      <c r="H12" s="406"/>
      <c r="I12" s="407"/>
      <c r="J12" s="407"/>
      <c r="K12"/>
      <c r="L12" s="550"/>
      <c r="M12"/>
      <c r="O12" s="18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5" t="s">
        <v>69</v>
      </c>
      <c r="C13" s="375" t="s">
        <v>121</v>
      </c>
      <c r="D13" s="458" t="s">
        <v>684</v>
      </c>
      <c r="E13" s="373" t="e">
        <f>INDEX('PY1 Data(H)'!$A$1:$CZ$265,MATCH('Unit Data from Audit Worksheet'!$A13,'PY1 Data(H)'!$A$1:$A$258,0),MATCH('Unit Data from Audit Worksheet'!$D$2,'PY1 Data(H)'!$A$1:$CZ$1,0))</f>
        <v>#N/A</v>
      </c>
      <c r="F13" s="808">
        <v>0</v>
      </c>
      <c r="G13" s="403">
        <f>IF(F13&lt;0,"Error: Enter as positive.",)</f>
        <v>0</v>
      </c>
      <c r="H13" s="406"/>
      <c r="I13" s="407"/>
      <c r="J13" s="407"/>
      <c r="K13"/>
      <c r="L13" s="550"/>
      <c r="M13"/>
      <c r="O13" s="18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6">
        <v>626</v>
      </c>
      <c r="B14" s="462" t="s">
        <v>445</v>
      </c>
      <c r="C14" s="462" t="s">
        <v>121</v>
      </c>
      <c r="D14" s="216" t="s">
        <v>685</v>
      </c>
      <c r="E14" s="373" t="e">
        <f>INDEX('PY1 Data(H)'!$A$1:$CZ$265,MATCH('Unit Data from Audit Worksheet'!$A14,'PY1 Data(H)'!$A$1:$A$258,0),MATCH('Unit Data from Audit Worksheet'!$D$2,'PY1 Data(H)'!$A$1:$CZ$1,0))-INDEX('PY1 Data(H)'!$A$1:$CZ$258,MATCH('Unit Data from Audit Worksheet'!$A13,'PY1 Data(H)'!$A$1:$A$258,0),MATCH('Unit Data from Audit Worksheet'!$D$2,'PY1 Data(H)'!$A$1:$CZ$1,0))</f>
        <v>#N/A</v>
      </c>
      <c r="F14" s="808">
        <v>0</v>
      </c>
      <c r="G14" s="403">
        <f>IF(F14&lt;0,"Error: Enter as positive.",)</f>
        <v>0</v>
      </c>
      <c r="H14" s="408"/>
      <c r="I14" s="408"/>
      <c r="J14" s="772"/>
      <c r="K14"/>
      <c r="L14" s="550"/>
    </row>
    <row r="15" spans="1:123" ht="89.25" customHeight="1" x14ac:dyDescent="0.3">
      <c r="A15" s="191">
        <v>627</v>
      </c>
      <c r="B15" s="463" t="s">
        <v>360</v>
      </c>
      <c r="C15" s="462" t="s">
        <v>121</v>
      </c>
      <c r="D15" s="216" t="s">
        <v>686</v>
      </c>
      <c r="E15" s="373" t="e">
        <f>INDEX('PY1 Data(H)'!$A$1:$CZ$265,MATCH('Unit Data from Audit Worksheet'!$A15,'PY1 Data(H)'!$A$1:$A$258,0),MATCH('Unit Data from Audit Worksheet'!$D$2,'PY1 Data(H)'!$A$1:$CZ$1,0))</f>
        <v>#N/A</v>
      </c>
      <c r="F15" s="808">
        <v>0</v>
      </c>
      <c r="G15" s="403">
        <f>IF(F15&gt;F14,"Please review account numbers 627 &gt;626",)</f>
        <v>0</v>
      </c>
      <c r="H15" s="408"/>
      <c r="I15" s="408"/>
      <c r="J15" s="772"/>
      <c r="K15"/>
      <c r="L15" s="550"/>
    </row>
    <row r="16" spans="1:123" ht="105" customHeight="1" x14ac:dyDescent="0.3">
      <c r="A16" s="191">
        <v>628</v>
      </c>
      <c r="B16" s="463" t="s">
        <v>360</v>
      </c>
      <c r="C16" s="462" t="s">
        <v>121</v>
      </c>
      <c r="D16" s="216" t="s">
        <v>687</v>
      </c>
      <c r="E16" s="373" t="e">
        <f>INDEX('PY1 Data(H)'!$A$1:$CZ$265,MATCH('Unit Data from Audit Worksheet'!$A16,'PY1 Data(H)'!$A$1:$A$258,0),MATCH('Unit Data from Audit Worksheet'!$D$2,'PY1 Data(H)'!$A$1:$CZ$1,0))</f>
        <v>#N/A</v>
      </c>
      <c r="F16" s="808">
        <v>0</v>
      </c>
      <c r="G16" s="403">
        <f>IF(F16&gt;F14,"Please review account numbers 628 &gt; 626",)</f>
        <v>0</v>
      </c>
      <c r="H16" s="408"/>
      <c r="I16" s="408"/>
      <c r="J16" s="772"/>
      <c r="K16"/>
      <c r="L16" s="550"/>
    </row>
    <row r="17" spans="1:12" ht="95.25" customHeight="1" x14ac:dyDescent="0.3">
      <c r="A17" s="191">
        <v>629</v>
      </c>
      <c r="B17" s="463" t="s">
        <v>360</v>
      </c>
      <c r="C17" s="462" t="s">
        <v>121</v>
      </c>
      <c r="D17" s="216" t="s">
        <v>688</v>
      </c>
      <c r="E17" s="373" t="e">
        <f>INDEX('PY1 Data(H)'!$A$1:$CZ$265,MATCH('Unit Data from Audit Worksheet'!$A17,'PY1 Data(H)'!$A$1:$A$258,0),MATCH('Unit Data from Audit Worksheet'!$D$2,'PY1 Data(H)'!$A$1:$CZ$1,0))</f>
        <v>#N/A</v>
      </c>
      <c r="F17" s="808">
        <v>0</v>
      </c>
      <c r="G17" s="403">
        <f>IF(F17&gt;F14,"Please review account numbers 629 &gt; 626",)</f>
        <v>0</v>
      </c>
      <c r="H17" s="408"/>
      <c r="I17" s="408"/>
      <c r="J17" s="772"/>
      <c r="K17"/>
      <c r="L17" s="550"/>
    </row>
    <row r="18" spans="1:12" ht="69" customHeight="1" x14ac:dyDescent="0.3">
      <c r="A18" s="191">
        <v>630</v>
      </c>
      <c r="B18" s="463" t="s">
        <v>360</v>
      </c>
      <c r="C18" s="462" t="s">
        <v>121</v>
      </c>
      <c r="D18" s="216" t="s">
        <v>426</v>
      </c>
      <c r="E18" s="373" t="e">
        <f>INDEX('PY1 Data(H)'!$A$1:$CZ$265,MATCH('Unit Data from Audit Worksheet'!$A18,'PY1 Data(H)'!$A$1:$A$258,0),MATCH('Unit Data from Audit Worksheet'!$D$2,'PY1 Data(H)'!$A$1:$CZ$1,0))</f>
        <v>#N/A</v>
      </c>
      <c r="F18" s="808">
        <v>0</v>
      </c>
      <c r="G18" s="403">
        <f>IF(F18&gt;F14,"Please review account numbers 630 &gt; 626",)</f>
        <v>0</v>
      </c>
      <c r="H18" s="408"/>
      <c r="I18" s="408"/>
      <c r="J18" s="772"/>
      <c r="K18"/>
      <c r="L18" s="550"/>
    </row>
    <row r="19" spans="1:12" ht="95.25" customHeight="1" x14ac:dyDescent="0.3">
      <c r="A19" s="191">
        <v>631</v>
      </c>
      <c r="B19" s="463" t="s">
        <v>360</v>
      </c>
      <c r="C19" s="462" t="s">
        <v>121</v>
      </c>
      <c r="D19" s="216" t="s">
        <v>689</v>
      </c>
      <c r="E19" s="373" t="e">
        <f>INDEX('PY1 Data(H)'!$A$1:$CZ$265,MATCH('Unit Data from Audit Worksheet'!$A19,'PY1 Data(H)'!$A$1:$A$258,0),MATCH('Unit Data from Audit Worksheet'!$D$2,'PY1 Data(H)'!$A$1:$CZ$1,0))</f>
        <v>#N/A</v>
      </c>
      <c r="F19" s="808">
        <v>0</v>
      </c>
      <c r="G19" s="403">
        <f>IF(F19&gt;F14,"Please review account numbers 631 &gt; 626",)</f>
        <v>0</v>
      </c>
      <c r="H19" s="408"/>
      <c r="I19" s="408"/>
      <c r="J19" s="772"/>
      <c r="K19"/>
      <c r="L19" s="550"/>
    </row>
    <row r="20" spans="1:12" ht="111.75" customHeight="1" x14ac:dyDescent="0.3">
      <c r="A20" s="191">
        <v>632</v>
      </c>
      <c r="B20" s="463" t="s">
        <v>360</v>
      </c>
      <c r="C20" s="462" t="s">
        <v>121</v>
      </c>
      <c r="D20" s="216" t="s">
        <v>690</v>
      </c>
      <c r="E20" s="373" t="e">
        <f>INDEX('PY1 Data(H)'!$A$1:$CZ$265,MATCH('Unit Data from Audit Worksheet'!$A20,'PY1 Data(H)'!$A$1:$A$258,0),MATCH('Unit Data from Audit Worksheet'!$D$2,'PY1 Data(H)'!$A$1:$CZ$1,0))</f>
        <v>#N/A</v>
      </c>
      <c r="F20" s="808">
        <v>0</v>
      </c>
      <c r="G20" s="403">
        <f>IF(F20&gt;F14,"Please review account numbers 632 &gt; 626",)</f>
        <v>0</v>
      </c>
      <c r="H20" s="408"/>
      <c r="I20" s="408"/>
      <c r="J20" s="772"/>
      <c r="K20"/>
      <c r="L20" s="550"/>
    </row>
    <row r="21" spans="1:12" ht="55.5" customHeight="1" x14ac:dyDescent="0.3">
      <c r="A21" s="565">
        <v>338</v>
      </c>
      <c r="B21" s="4" t="s">
        <v>55</v>
      </c>
      <c r="C21" s="375" t="s">
        <v>121</v>
      </c>
      <c r="D21" s="99" t="s">
        <v>123</v>
      </c>
      <c r="E21" s="373" t="e">
        <f>INDEX('PY1 Data(H)'!$A$1:$CZ$265,MATCH('Unit Data from Audit Worksheet'!$A21,'PY1 Data(H)'!$A$1:$A$258,0),MATCH('Unit Data from Audit Worksheet'!$D$2,'PY1 Data(H)'!$A$1:$CZ$1,0))-INDEX('PY1 Data(H)'!$A$1:$CZ$258,MATCH('Unit Data from Audit Worksheet'!$A13,'PY1 Data(H)'!$A$1:$A$258,0),MATCH('Unit Data from Audit Worksheet'!$D$2,'PY1 Data(H)'!$A$1:$CZ$1,0))</f>
        <v>#N/A</v>
      </c>
      <c r="F21" s="808">
        <v>0</v>
      </c>
      <c r="G21" s="403" t="str">
        <f>IF(F14&gt;F21,"Error: Please review accts 626 &gt; 338","")</f>
        <v/>
      </c>
      <c r="H21" s="404"/>
      <c r="I21" s="404"/>
      <c r="J21" s="404"/>
      <c r="K21"/>
      <c r="L21" s="550"/>
    </row>
    <row r="22" spans="1:12" ht="89.25" customHeight="1" x14ac:dyDescent="0.3">
      <c r="A22" s="100">
        <v>335</v>
      </c>
      <c r="B22" s="4" t="s">
        <v>55</v>
      </c>
      <c r="C22" s="375" t="s">
        <v>121</v>
      </c>
      <c r="D22" s="385" t="s">
        <v>691</v>
      </c>
      <c r="E22" s="373" t="e">
        <f>INDEX('PY1 Data(H)'!$A$1:$CZ$265,MATCH('Unit Data from Audit Worksheet'!$A22,'PY1 Data(H)'!$A$1:$A$258,0),MATCH('Unit Data from Audit Worksheet'!$D$2,'PY1 Data(H)'!$A$1:$CZ$1,0))</f>
        <v>#N/A</v>
      </c>
      <c r="F22" s="808">
        <v>0</v>
      </c>
      <c r="G22" s="403">
        <f>IF(F22&lt;0,"Error: Enter as positive.",)</f>
        <v>0</v>
      </c>
      <c r="H22" s="404"/>
      <c r="I22" s="244"/>
      <c r="J22" s="244"/>
      <c r="K22"/>
      <c r="L22" s="550"/>
    </row>
    <row r="23" spans="1:12" ht="48.75" customHeight="1" x14ac:dyDescent="0.3">
      <c r="A23" s="100">
        <v>252</v>
      </c>
      <c r="B23" s="4" t="s">
        <v>55</v>
      </c>
      <c r="C23" s="375" t="s">
        <v>121</v>
      </c>
      <c r="D23" s="99" t="s">
        <v>124</v>
      </c>
      <c r="E23" s="373" t="e">
        <f>INDEX('PY1 Data(H)'!$A$1:$CZ$265,MATCH('Unit Data from Audit Worksheet'!$A23,'PY1 Data(H)'!$A$1:$A$258,0),MATCH('Unit Data from Audit Worksheet'!$D$2,'PY1 Data(H)'!$A$1:$CZ$1,0))</f>
        <v>#N/A</v>
      </c>
      <c r="F23" s="808">
        <v>0</v>
      </c>
      <c r="G23" s="736"/>
      <c r="H23" s="404"/>
      <c r="I23" s="72"/>
      <c r="J23" s="72"/>
      <c r="K23"/>
      <c r="L23" s="550"/>
    </row>
    <row r="24" spans="1:12" ht="43.2" x14ac:dyDescent="0.3">
      <c r="A24" s="100">
        <v>253</v>
      </c>
      <c r="B24" s="4" t="s">
        <v>55</v>
      </c>
      <c r="C24" s="375" t="s">
        <v>121</v>
      </c>
      <c r="D24" s="99" t="s">
        <v>125</v>
      </c>
      <c r="E24" s="373" t="e">
        <f>INDEX('PY1 Data(H)'!$A$1:$CZ$265,MATCH('Unit Data from Audit Worksheet'!$A24,'PY1 Data(H)'!$A$1:$A$258,0),MATCH('Unit Data from Audit Worksheet'!$D$2,'PY1 Data(H)'!$A$1:$CZ$1,0))</f>
        <v>#N/A</v>
      </c>
      <c r="F24" s="808">
        <v>0</v>
      </c>
      <c r="G24" s="403"/>
      <c r="H24" s="404"/>
      <c r="I24" s="72"/>
      <c r="J24" s="72"/>
      <c r="K24"/>
      <c r="L24" s="550"/>
    </row>
    <row r="25" spans="1:12" ht="138" customHeight="1" x14ac:dyDescent="0.3">
      <c r="A25" s="100">
        <v>254</v>
      </c>
      <c r="B25" s="4" t="s">
        <v>55</v>
      </c>
      <c r="C25" s="375" t="s">
        <v>121</v>
      </c>
      <c r="D25" s="99" t="s">
        <v>692</v>
      </c>
      <c r="E25" s="373" t="e">
        <f>INDEX('PY1 Data(H)'!$A$1:$CZ$265,MATCH('Unit Data from Audit Worksheet'!$A25,'PY1 Data(H)'!$A$1:$A$258,0),MATCH('Unit Data from Audit Worksheet'!$D$2,'PY1 Data(H)'!$A$1:$CZ$1,0))</f>
        <v>#N/A</v>
      </c>
      <c r="F25" s="808">
        <v>0</v>
      </c>
      <c r="G25" s="403">
        <f>IF(H25=0,,"Error: Total assets and deferred outflows less total liabilities and deferred inflows do not equal total net position. Account numbers  385-338-252-253-254 = 0.  The amount the formula is off is located in the cell to the right")</f>
        <v>0</v>
      </c>
      <c r="H25" s="406">
        <f>F11-F21-F23-F24-F25</f>
        <v>0</v>
      </c>
      <c r="I25" s="72"/>
      <c r="J25" s="72"/>
      <c r="K25"/>
      <c r="L25" s="550"/>
    </row>
    <row r="26" spans="1:12" ht="21.75" customHeight="1" x14ac:dyDescent="0.3">
      <c r="A26" s="100"/>
      <c r="B26" s="492" t="s">
        <v>126</v>
      </c>
      <c r="C26" s="502"/>
      <c r="D26" s="475"/>
      <c r="E26" s="486"/>
      <c r="F26" s="486"/>
      <c r="G26" s="487"/>
      <c r="H26" s="17"/>
      <c r="I26" s="72"/>
      <c r="J26" s="72"/>
      <c r="K26"/>
      <c r="L26" s="550"/>
    </row>
    <row r="27" spans="1:12" ht="59.25" customHeight="1" x14ac:dyDescent="0.3">
      <c r="A27" s="100">
        <v>502</v>
      </c>
      <c r="B27" s="4" t="s">
        <v>54</v>
      </c>
      <c r="C27" s="375" t="s">
        <v>128</v>
      </c>
      <c r="D27" s="385" t="s">
        <v>693</v>
      </c>
      <c r="E27" s="373" t="e">
        <f>INDEX('PY1 Data(H)'!$A$1:$CZ$265,MATCH('Unit Data from Audit Worksheet'!$A27,'PY1 Data(H)'!$A$1:$A$258,0),MATCH('Unit Data from Audit Worksheet'!$D$2,'PY1 Data(H)'!$A$1:$CZ$1,0))</f>
        <v>#N/A</v>
      </c>
      <c r="F27" s="808">
        <v>0</v>
      </c>
      <c r="G27" s="403">
        <f>IF(F27&lt;0,"Note: Number is normally positive.",)</f>
        <v>0</v>
      </c>
      <c r="H27" s="17"/>
      <c r="I27" s="72"/>
      <c r="J27" s="72"/>
      <c r="K27"/>
      <c r="L27" s="550"/>
    </row>
    <row r="28" spans="1:12" ht="59.25" customHeight="1" x14ac:dyDescent="0.3">
      <c r="A28" s="100">
        <v>503</v>
      </c>
      <c r="B28" s="4" t="s">
        <v>54</v>
      </c>
      <c r="C28" s="375" t="s">
        <v>128</v>
      </c>
      <c r="D28" s="99" t="s">
        <v>127</v>
      </c>
      <c r="E28" s="373" t="e">
        <f>INDEX('PY1 Data(H)'!$A$1:$CZ$265,MATCH('Unit Data from Audit Worksheet'!$A28,'PY1 Data(H)'!$A$1:$A$258,0),MATCH('Unit Data from Audit Worksheet'!$D$2,'PY1 Data(H)'!$A$1:$CZ$1,0))</f>
        <v>#N/A</v>
      </c>
      <c r="F28" s="808">
        <v>0</v>
      </c>
      <c r="G28" s="403">
        <f>IF(F28&lt;0,"Note: Number is normally positive.",)</f>
        <v>0</v>
      </c>
      <c r="H28" s="17"/>
      <c r="I28" s="72"/>
      <c r="J28" s="72"/>
      <c r="K28"/>
      <c r="L28" s="550"/>
    </row>
    <row r="29" spans="1:12" ht="27" customHeight="1" x14ac:dyDescent="0.3">
      <c r="A29" s="100"/>
      <c r="B29" s="492" t="s">
        <v>129</v>
      </c>
      <c r="C29" s="502"/>
      <c r="D29" s="475"/>
      <c r="E29" s="476"/>
      <c r="F29" s="476"/>
      <c r="G29" s="477"/>
      <c r="H29" s="17"/>
      <c r="I29" s="72"/>
      <c r="J29" s="72"/>
      <c r="K29"/>
      <c r="L29" s="550"/>
    </row>
    <row r="30" spans="1:12" ht="49.5" customHeight="1" x14ac:dyDescent="0.3">
      <c r="A30" s="100">
        <v>344</v>
      </c>
      <c r="B30" s="4" t="s">
        <v>55</v>
      </c>
      <c r="C30" s="4" t="s">
        <v>136</v>
      </c>
      <c r="D30" s="99" t="s">
        <v>130</v>
      </c>
      <c r="E30" s="373" t="e">
        <f>INDEX('PY1 Data(H)'!$A$1:$CZ$265,MATCH('Unit Data from Audit Worksheet'!$A30,'PY1 Data(H)'!$A$1:$A$258,0),MATCH('Unit Data from Audit Worksheet'!$D$2,'PY1 Data(H)'!$A$1:$CZ$1,0))</f>
        <v>#N/A</v>
      </c>
      <c r="F30" s="808">
        <v>0</v>
      </c>
      <c r="G30" s="403">
        <f t="shared" ref="G30:G37" si="0">IF(F30&lt;0,"Error: Enter as positive.",)</f>
        <v>0</v>
      </c>
      <c r="H30" s="17"/>
      <c r="I30" s="72"/>
      <c r="J30" s="72"/>
      <c r="K30"/>
      <c r="L30" s="550"/>
    </row>
    <row r="31" spans="1:12" ht="49.5" customHeight="1" x14ac:dyDescent="0.3">
      <c r="A31" s="100">
        <v>388</v>
      </c>
      <c r="B31" s="4" t="s">
        <v>59</v>
      </c>
      <c r="C31" s="4" t="s">
        <v>136</v>
      </c>
      <c r="D31" s="99" t="s">
        <v>131</v>
      </c>
      <c r="E31" s="373" t="e">
        <f>INDEX('PY1 Data(H)'!$A$1:$CZ$265,MATCH('Unit Data from Audit Worksheet'!$A31,'PY1 Data(H)'!$A$1:$A$258,0),MATCH('Unit Data from Audit Worksheet'!$D$2,'PY1 Data(H)'!$A$1:$CZ$1,0))</f>
        <v>#N/A</v>
      </c>
      <c r="F31" s="808">
        <v>0</v>
      </c>
      <c r="G31" s="403">
        <f t="shared" si="0"/>
        <v>0</v>
      </c>
      <c r="H31" s="17"/>
      <c r="I31" s="72"/>
      <c r="J31" s="72"/>
      <c r="K31"/>
      <c r="L31" s="550"/>
    </row>
    <row r="32" spans="1:12" ht="51.75" customHeight="1" x14ac:dyDescent="0.3">
      <c r="A32" s="100">
        <v>339</v>
      </c>
      <c r="B32" s="4" t="s">
        <v>55</v>
      </c>
      <c r="C32" s="4" t="s">
        <v>136</v>
      </c>
      <c r="D32" s="99" t="s">
        <v>132</v>
      </c>
      <c r="E32" s="373" t="e">
        <f>INDEX('PY1 Data(H)'!$A$1:$CZ$265,MATCH('Unit Data from Audit Worksheet'!$A32,'PY1 Data(H)'!$A$1:$A$258,0),MATCH('Unit Data from Audit Worksheet'!$D$2,'PY1 Data(H)'!$A$1:$CZ$1,0))</f>
        <v>#N/A</v>
      </c>
      <c r="F32" s="808">
        <v>0</v>
      </c>
      <c r="G32" s="403">
        <f t="shared" si="0"/>
        <v>0</v>
      </c>
      <c r="H32" s="17"/>
      <c r="I32" s="72"/>
      <c r="J32" s="72"/>
      <c r="K32"/>
      <c r="L32" s="550"/>
    </row>
    <row r="33" spans="1:123" ht="50.25" customHeight="1" x14ac:dyDescent="0.3">
      <c r="A33" s="100">
        <v>504</v>
      </c>
      <c r="B33" s="4" t="s">
        <v>55</v>
      </c>
      <c r="C33" s="4" t="s">
        <v>136</v>
      </c>
      <c r="D33" s="99" t="s">
        <v>133</v>
      </c>
      <c r="E33" s="373" t="e">
        <f>INDEX('PY1 Data(H)'!$A$1:$CZ$265,MATCH('Unit Data from Audit Worksheet'!$A33,'PY1 Data(H)'!$A$1:$A$258,0),MATCH('Unit Data from Audit Worksheet'!$D$2,'PY1 Data(H)'!$A$1:$CZ$1,0))</f>
        <v>#N/A</v>
      </c>
      <c r="F33" s="808">
        <v>0</v>
      </c>
      <c r="G33" s="403">
        <f t="shared" si="0"/>
        <v>0</v>
      </c>
      <c r="H33" s="17"/>
      <c r="I33" s="72"/>
      <c r="J33" s="72"/>
      <c r="K33"/>
      <c r="L33" s="550"/>
    </row>
    <row r="34" spans="1:123" ht="60" customHeight="1" x14ac:dyDescent="0.3">
      <c r="A34" s="100">
        <v>505</v>
      </c>
      <c r="B34" s="4" t="s">
        <v>55</v>
      </c>
      <c r="C34" s="4" t="s">
        <v>136</v>
      </c>
      <c r="D34" s="379" t="s">
        <v>134</v>
      </c>
      <c r="E34" s="373" t="e">
        <f>INDEX('PY1 Data(H)'!$A$1:$CZ$265,MATCH('Unit Data from Audit Worksheet'!$A34,'PY1 Data(H)'!$A$1:$A$258,0),MATCH('Unit Data from Audit Worksheet'!$D$2,'PY1 Data(H)'!$A$1:$CZ$1,0))</f>
        <v>#N/A</v>
      </c>
      <c r="F34" s="808">
        <v>0</v>
      </c>
      <c r="G34" s="403">
        <f t="shared" si="0"/>
        <v>0</v>
      </c>
      <c r="H34" s="17"/>
      <c r="I34" s="72"/>
      <c r="J34" s="72"/>
      <c r="K34"/>
      <c r="L34" s="550"/>
    </row>
    <row r="35" spans="1:123" ht="67.95" customHeight="1" x14ac:dyDescent="0.3">
      <c r="A35" s="100">
        <v>341</v>
      </c>
      <c r="B35" s="4" t="s">
        <v>55</v>
      </c>
      <c r="C35" s="4" t="s">
        <v>136</v>
      </c>
      <c r="D35" s="385" t="s">
        <v>694</v>
      </c>
      <c r="E35" s="373" t="e">
        <f>INDEX('PY1 Data(H)'!$A$1:$CZ$265,MATCH('Unit Data from Audit Worksheet'!$A35,'PY1 Data(H)'!$A$1:$A$258,0),MATCH('Unit Data from Audit Worksheet'!$D$2,'PY1 Data(H)'!$A$1:$CZ$1,0))</f>
        <v>#N/A</v>
      </c>
      <c r="F35" s="808">
        <v>0</v>
      </c>
      <c r="G35" s="403">
        <f t="shared" si="0"/>
        <v>0</v>
      </c>
      <c r="H35" s="17"/>
      <c r="I35" s="72"/>
      <c r="J35" s="72"/>
      <c r="K35"/>
      <c r="L35" s="550"/>
    </row>
    <row r="36" spans="1:123" ht="44.25" customHeight="1" x14ac:dyDescent="0.3">
      <c r="A36" s="100">
        <v>386</v>
      </c>
      <c r="B36" s="4" t="s">
        <v>55</v>
      </c>
      <c r="C36" s="4" t="s">
        <v>136</v>
      </c>
      <c r="D36" s="99" t="s">
        <v>695</v>
      </c>
      <c r="E36" s="373" t="e">
        <f>INDEX('PY1 Data(H)'!$A$1:$CZ$265,MATCH('Unit Data from Audit Worksheet'!$A36,'PY1 Data(H)'!$A$1:$A$258,0),MATCH('Unit Data from Audit Worksheet'!$D$2,'PY1 Data(H)'!$A$1:$CZ$1,0))</f>
        <v>#N/A</v>
      </c>
      <c r="F36" s="808">
        <v>0</v>
      </c>
      <c r="G36" s="403">
        <f t="shared" si="0"/>
        <v>0</v>
      </c>
      <c r="H36" s="17"/>
      <c r="I36" s="72"/>
      <c r="J36" s="72"/>
      <c r="K36"/>
      <c r="L36" s="550"/>
    </row>
    <row r="37" spans="1:123" ht="48.75" customHeight="1" x14ac:dyDescent="0.3">
      <c r="A37" s="100">
        <v>387</v>
      </c>
      <c r="B37" s="4" t="s">
        <v>59</v>
      </c>
      <c r="C37" s="4" t="s">
        <v>136</v>
      </c>
      <c r="D37" s="99" t="s">
        <v>696</v>
      </c>
      <c r="E37" s="373" t="e">
        <f>INDEX('PY1 Data(H)'!$A$1:$CZ$265,MATCH('Unit Data from Audit Worksheet'!$A37,'PY1 Data(H)'!$A$1:$A$258,0),MATCH('Unit Data from Audit Worksheet'!$D$2,'PY1 Data(H)'!$A$1:$CZ$1,0))</f>
        <v>#N/A</v>
      </c>
      <c r="F37" s="808">
        <v>0</v>
      </c>
      <c r="G37" s="403">
        <f t="shared" si="0"/>
        <v>0</v>
      </c>
      <c r="H37" s="17"/>
      <c r="I37" s="72"/>
      <c r="J37" s="72"/>
      <c r="K37"/>
      <c r="L37" s="550"/>
    </row>
    <row r="38" spans="1:123" ht="92.25" customHeight="1" x14ac:dyDescent="0.3">
      <c r="A38" s="100">
        <v>389</v>
      </c>
      <c r="B38" s="4" t="s">
        <v>59</v>
      </c>
      <c r="C38" s="4" t="s">
        <v>136</v>
      </c>
      <c r="D38" s="385" t="s">
        <v>697</v>
      </c>
      <c r="E38" s="373" t="e">
        <f>INDEX('PY1 Data(H)'!$A$1:$CZ$265,MATCH('Unit Data from Audit Worksheet'!$A38,'PY1 Data(H)'!$A$1:$A$258,0),MATCH('Unit Data from Audit Worksheet'!$D$2,'PY1 Data(H)'!$A$1:$CZ$1,0))</f>
        <v>#N/A</v>
      </c>
      <c r="F38" s="808">
        <v>0</v>
      </c>
      <c r="G38" s="403"/>
      <c r="H38" s="17"/>
      <c r="I38" s="72"/>
      <c r="J38" s="72"/>
      <c r="K38"/>
      <c r="L38" s="550"/>
    </row>
    <row r="39" spans="1:123" ht="138" customHeight="1" x14ac:dyDescent="0.3">
      <c r="A39" s="100">
        <v>255</v>
      </c>
      <c r="B39" s="4" t="s">
        <v>55</v>
      </c>
      <c r="C39" s="4" t="s">
        <v>136</v>
      </c>
      <c r="D39" s="385" t="s">
        <v>698</v>
      </c>
      <c r="E39" s="373" t="e">
        <f>INDEX('PY1 Data(H)'!$A$1:$CZ$265,MATCH('Unit Data from Audit Worksheet'!$A39,'PY1 Data(H)'!$A$1:$A$258,0),MATCH('Unit Data from Audit Worksheet'!$D$2,'PY1 Data(H)'!$A$1:$CZ$1,0))</f>
        <v>#N/A</v>
      </c>
      <c r="F39" s="808">
        <v>0</v>
      </c>
      <c r="G39" s="403">
        <f>IF(H39=0,,"Error: Total revenues less total expenses do not equal total change in net position. Account numbers 339+504+505+341+386-387+389-388-255 = 0  The amount the formula is off is located in the cell to the right")</f>
        <v>0</v>
      </c>
      <c r="H39" s="406">
        <f>F32+F33+F34+F35+F36-F37+F38-F31-F39</f>
        <v>0</v>
      </c>
      <c r="I39" s="72"/>
      <c r="J39" s="72"/>
      <c r="K39"/>
      <c r="L39" s="550"/>
    </row>
    <row r="40" spans="1:123" ht="138" customHeight="1" x14ac:dyDescent="0.3">
      <c r="A40" s="100">
        <v>376</v>
      </c>
      <c r="B40" s="4" t="s">
        <v>55</v>
      </c>
      <c r="C40" s="4" t="s">
        <v>136</v>
      </c>
      <c r="D40" s="385" t="s">
        <v>699</v>
      </c>
      <c r="E40" s="373" t="e">
        <f>INDEX('PY1 Data(H)'!$A$1:$CZ$265,MATCH('Unit Data from Audit Worksheet'!$A40,'PY1 Data(H)'!$A$1:$A$258,0),MATCH('Unit Data from Audit Worksheet'!$D$2,'PY1 Data(H)'!$A$1:$CZ$1,0))</f>
        <v>#N/A</v>
      </c>
      <c r="F40" s="808">
        <v>0</v>
      </c>
      <c r="G40" s="764" t="e">
        <f>IF(H40=0,,"Error: Beginning Balance does not agree with our records.  Account numbers  252+253+254-255-376-(Prior Year 252+253+254)=0  The amount the formula is off is located in the cell to the right")</f>
        <v>#N/A</v>
      </c>
      <c r="H40" s="765" t="e">
        <f>F23+F24+F25-F39-F40-(E23+E24+E25)</f>
        <v>#N/A</v>
      </c>
      <c r="I40" s="1040" t="e">
        <f>IF(H40=0," ","If the out of balance is because prior years data is not populated in cells E23,E24,E25, disregard the error message.  Do not include prior year's ending balances in cell F40")</f>
        <v>#N/A</v>
      </c>
      <c r="J40" s="774"/>
      <c r="K40" s="527"/>
      <c r="L40" s="550"/>
    </row>
    <row r="41" spans="1:123" s="18" customFormat="1" ht="141.75" customHeight="1" x14ac:dyDescent="0.3">
      <c r="A41" s="100">
        <v>597</v>
      </c>
      <c r="B41" s="375" t="s">
        <v>326</v>
      </c>
      <c r="C41" s="375" t="s">
        <v>336</v>
      </c>
      <c r="D41" s="459" t="s">
        <v>700</v>
      </c>
      <c r="E41" s="373" t="e">
        <f>INDEX('PY1 Data(H)'!$A$1:$CZ$265,MATCH('Unit Data from Audit Worksheet'!$A41,'PY1 Data(H)'!$A$1:$A$258,0),MATCH('Unit Data from Audit Worksheet'!$D$2,'PY1 Data(H)'!$A$1:$CZ$1,0))</f>
        <v>#N/A</v>
      </c>
      <c r="F41" s="808">
        <v>0</v>
      </c>
      <c r="G41" s="403">
        <f>IF(F41&lt;0,"Note: Number is normally positive.",)</f>
        <v>0</v>
      </c>
      <c r="H41" s="404"/>
      <c r="I41" s="405"/>
      <c r="J41" s="405"/>
      <c r="K41"/>
      <c r="L41" s="550"/>
      <c r="M41"/>
      <c r="O41" s="187"/>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92" t="s">
        <v>325</v>
      </c>
      <c r="C42" s="502"/>
      <c r="D42" s="475"/>
      <c r="E42" s="476"/>
      <c r="F42" s="476"/>
      <c r="G42" s="477"/>
      <c r="H42" s="17"/>
      <c r="I42" s="72"/>
      <c r="J42" s="72"/>
      <c r="K42"/>
      <c r="L42" s="550"/>
    </row>
    <row r="43" spans="1:123" s="18" customFormat="1" ht="86.25" customHeight="1" x14ac:dyDescent="0.3">
      <c r="A43" s="100">
        <v>592</v>
      </c>
      <c r="B43" s="375" t="s">
        <v>58</v>
      </c>
      <c r="C43" s="375" t="s">
        <v>327</v>
      </c>
      <c r="D43" s="385" t="s">
        <v>701</v>
      </c>
      <c r="E43" s="373" t="e">
        <f>INDEX('PY1 Data(H)'!$A$1:$CZ$265,MATCH('Unit Data from Audit Worksheet'!$A43,'PY1 Data(H)'!$A$1:$A$258,0),MATCH('Unit Data from Audit Worksheet'!$D$2,'PY1 Data(H)'!$A$1:$CZ$1,0))</f>
        <v>#N/A</v>
      </c>
      <c r="F43" s="808">
        <v>0</v>
      </c>
      <c r="G43" s="403"/>
      <c r="H43" s="404"/>
      <c r="I43" s="405"/>
      <c r="K43"/>
      <c r="L43" s="550"/>
      <c r="M43"/>
      <c r="O43" s="187"/>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5" t="s">
        <v>58</v>
      </c>
      <c r="C44" s="375" t="s">
        <v>327</v>
      </c>
      <c r="D44" s="99" t="s">
        <v>328</v>
      </c>
      <c r="E44" s="373" t="e">
        <f>INDEX('PY1 Data(H)'!$A$1:$CZ$265,MATCH('Unit Data from Audit Worksheet'!$A44,'PY1 Data(H)'!$A$1:$A$258,0),MATCH('Unit Data from Audit Worksheet'!$D$2,'PY1 Data(H)'!$A$1:$CZ$1,0))</f>
        <v>#N/A</v>
      </c>
      <c r="F44" s="808">
        <v>0</v>
      </c>
      <c r="G44" s="403">
        <f>IF(F44&lt;0,"Error: Enter as positive.",)</f>
        <v>0</v>
      </c>
      <c r="H44" s="404"/>
      <c r="I44" s="405"/>
      <c r="K44"/>
      <c r="L44" s="550"/>
      <c r="M44"/>
      <c r="O44" s="187"/>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92" t="s">
        <v>137</v>
      </c>
      <c r="C45" s="502"/>
      <c r="D45" s="478"/>
      <c r="E45" s="479"/>
      <c r="F45" s="479"/>
      <c r="G45" s="480"/>
      <c r="H45" s="17"/>
      <c r="I45" s="72"/>
      <c r="J45" s="72"/>
      <c r="K45"/>
      <c r="L45" s="550"/>
    </row>
    <row r="46" spans="1:123" s="18" customFormat="1" ht="55.5" customHeight="1" x14ac:dyDescent="0.3">
      <c r="A46" s="100">
        <v>506</v>
      </c>
      <c r="B46" s="962" t="s">
        <v>1952</v>
      </c>
      <c r="C46" s="460" t="s">
        <v>141</v>
      </c>
      <c r="D46" s="99" t="s">
        <v>702</v>
      </c>
      <c r="E46" s="373" t="e">
        <f>INDEX('PY1 Data(H)'!$A$1:$CZ$265,MATCH('Unit Data from Audit Worksheet'!$A46,'PY1 Data(H)'!$A$1:$A$258,0),MATCH('Unit Data from Audit Worksheet'!$D$2,'PY1 Data(H)'!$A$1:$CZ$1,0))</f>
        <v>#N/A</v>
      </c>
      <c r="F46" s="808">
        <v>0</v>
      </c>
      <c r="G46" s="403">
        <f>IF(F46&lt;0,"Note: Number is normally positive.",)</f>
        <v>0</v>
      </c>
      <c r="H46" s="404"/>
      <c r="I46" s="72"/>
      <c r="J46" s="72"/>
      <c r="K46"/>
      <c r="L46" s="550"/>
      <c r="M46"/>
      <c r="O46" s="187"/>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62" t="s">
        <v>1952</v>
      </c>
      <c r="C47" s="460" t="s">
        <v>141</v>
      </c>
      <c r="D47" s="99" t="s">
        <v>138</v>
      </c>
      <c r="E47" s="373" t="e">
        <f>INDEX('PY1 Data(H)'!$A$1:$CZ$265,MATCH('Unit Data from Audit Worksheet'!$A47,'PY1 Data(H)'!$A$1:$A$258,0),MATCH('Unit Data from Audit Worksheet'!$D$2,'PY1 Data(H)'!$A$1:$CZ$1,0))</f>
        <v>#N/A</v>
      </c>
      <c r="F47" s="808">
        <v>0</v>
      </c>
      <c r="G47" s="403">
        <f>IF(F47&lt;0,"Note: Number is normally positive.",)</f>
        <v>0</v>
      </c>
      <c r="H47" s="404"/>
      <c r="I47" s="405"/>
      <c r="J47" s="405"/>
      <c r="K47"/>
      <c r="L47" s="550"/>
      <c r="M47"/>
      <c r="O47" s="18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60" t="s">
        <v>58</v>
      </c>
      <c r="C48" s="460" t="s">
        <v>141</v>
      </c>
      <c r="D48" s="378" t="s">
        <v>314</v>
      </c>
      <c r="E48" s="373" t="e">
        <f>INDEX('PY1 Data(H)'!$A$1:$CZ$265,MATCH('Unit Data from Audit Worksheet'!$A48,'PY1 Data(H)'!$A$1:$A$258,0),MATCH('Unit Data from Audit Worksheet'!$D$2,'PY1 Data(H)'!$A$1:$CZ$1,0))</f>
        <v>#N/A</v>
      </c>
      <c r="F48" s="808">
        <v>0</v>
      </c>
      <c r="G48" s="403">
        <f>IF(F48&lt;0,"Note: Number is normally positive.",)</f>
        <v>0</v>
      </c>
      <c r="H48" s="404"/>
      <c r="I48" s="405"/>
      <c r="J48" s="405"/>
      <c r="K48"/>
      <c r="L48" s="550"/>
      <c r="M48"/>
      <c r="O48" s="187"/>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60" t="s">
        <v>59</v>
      </c>
      <c r="C49" s="460" t="s">
        <v>141</v>
      </c>
      <c r="D49" s="99" t="s">
        <v>122</v>
      </c>
      <c r="E49" s="373" t="e">
        <f>INDEX('PY1 Data(H)'!$A$1:$CZ$265,MATCH('Unit Data from Audit Worksheet'!$A49,'PY1 Data(H)'!$A$1:$A$258,0),MATCH('Unit Data from Audit Worksheet'!$D$2,'PY1 Data(H)'!$A$1:$CZ$1,0))</f>
        <v>#N/A</v>
      </c>
      <c r="F49" s="808">
        <v>0</v>
      </c>
      <c r="G49" s="403">
        <f>IF((F46+F47)&gt;F49,"Error: Please review account numbers (506+536)&gt;379",)</f>
        <v>0</v>
      </c>
      <c r="H49" s="404"/>
      <c r="I49" s="72"/>
      <c r="J49" s="72"/>
      <c r="K49"/>
      <c r="L49" s="550"/>
    </row>
    <row r="50" spans="1:123" ht="93" customHeight="1" x14ac:dyDescent="0.3">
      <c r="A50" s="100">
        <v>368</v>
      </c>
      <c r="B50" s="460" t="s">
        <v>1523</v>
      </c>
      <c r="C50" s="460" t="s">
        <v>141</v>
      </c>
      <c r="D50" s="385" t="s">
        <v>703</v>
      </c>
      <c r="E50" s="373" t="e">
        <f>INDEX('PY1 Data(H)'!$A$1:$CZ$265,MATCH('Unit Data from Audit Worksheet'!$A50,'PY1 Data(H)'!$A$1:$A$258,0),MATCH('Unit Data from Audit Worksheet'!$D$2,'PY1 Data(H)'!$A$1:$CZ$1,0))</f>
        <v>#N/A</v>
      </c>
      <c r="F50" s="808">
        <v>0</v>
      </c>
      <c r="G50" s="403">
        <f t="shared" ref="G50:G56" si="1">IF(F50&lt;0,"Error: Enter as positive.",)</f>
        <v>0</v>
      </c>
      <c r="H50" s="404"/>
      <c r="I50" s="404"/>
      <c r="J50" s="404"/>
      <c r="K50"/>
      <c r="L50" s="550"/>
    </row>
    <row r="51" spans="1:123" ht="87" customHeight="1" x14ac:dyDescent="0.3">
      <c r="A51" s="100">
        <v>4</v>
      </c>
      <c r="B51" s="962" t="s">
        <v>1952</v>
      </c>
      <c r="C51" s="460" t="s">
        <v>141</v>
      </c>
      <c r="D51" s="190" t="s">
        <v>704</v>
      </c>
      <c r="E51" s="373" t="e">
        <f>INDEX('PY1 Data(H)'!$A$1:$CZ$265,MATCH('Unit Data from Audit Worksheet'!$A51,'PY1 Data(H)'!$A$1:$A$258,0),MATCH('Unit Data from Audit Worksheet'!$D$2,'PY1 Data(H)'!$A$1:$CZ$1,0))</f>
        <v>#N/A</v>
      </c>
      <c r="F51" s="808">
        <v>0</v>
      </c>
      <c r="G51" s="403">
        <f t="shared" si="1"/>
        <v>0</v>
      </c>
      <c r="H51" s="404"/>
      <c r="I51" s="72"/>
      <c r="J51" s="72"/>
      <c r="K51"/>
      <c r="L51" s="550"/>
    </row>
    <row r="52" spans="1:123" ht="132" customHeight="1" x14ac:dyDescent="0.3">
      <c r="A52" s="100">
        <v>5</v>
      </c>
      <c r="B52" s="962" t="s">
        <v>1952</v>
      </c>
      <c r="C52" s="460" t="s">
        <v>141</v>
      </c>
      <c r="D52" s="213" t="s">
        <v>705</v>
      </c>
      <c r="E52" s="373" t="e">
        <f>INDEX('PY1 Data(H)'!$A$1:$CZ$265,MATCH('Unit Data from Audit Worksheet'!$A52,'PY1 Data(H)'!$A$1:$A$258,0),MATCH('Unit Data from Audit Worksheet'!$D$2,'PY1 Data(H)'!$A$1:$CZ$1,0))</f>
        <v>#N/A</v>
      </c>
      <c r="F52" s="808">
        <v>0</v>
      </c>
      <c r="G52" s="403">
        <f t="shared" si="1"/>
        <v>0</v>
      </c>
      <c r="H52" s="404"/>
      <c r="I52" s="72"/>
      <c r="J52" s="72"/>
      <c r="K52"/>
      <c r="L52" s="550"/>
    </row>
    <row r="53" spans="1:123" ht="93.75" customHeight="1" x14ac:dyDescent="0.3">
      <c r="A53" s="100">
        <v>380</v>
      </c>
      <c r="B53" s="460" t="s">
        <v>59</v>
      </c>
      <c r="C53" s="460" t="s">
        <v>141</v>
      </c>
      <c r="D53" s="213" t="s">
        <v>706</v>
      </c>
      <c r="E53" s="373" t="e">
        <f>INDEX('PY1 Data(H)'!$A$1:$CZ$265,MATCH('Unit Data from Audit Worksheet'!$A53,'PY1 Data(H)'!$A$1:$A$258,0),MATCH('Unit Data from Audit Worksheet'!$D$2,'PY1 Data(H)'!$A$1:$CZ$1,0))</f>
        <v>#N/A</v>
      </c>
      <c r="F53" s="808">
        <v>0</v>
      </c>
      <c r="G53" s="403">
        <f t="shared" si="1"/>
        <v>0</v>
      </c>
      <c r="H53" s="404"/>
      <c r="I53" s="72"/>
      <c r="J53" s="72"/>
      <c r="K53"/>
      <c r="L53" s="550"/>
    </row>
    <row r="54" spans="1:123" ht="48.75" customHeight="1" x14ac:dyDescent="0.3">
      <c r="A54" s="100">
        <v>391</v>
      </c>
      <c r="B54" s="460" t="s">
        <v>68</v>
      </c>
      <c r="C54" s="460" t="s">
        <v>141</v>
      </c>
      <c r="D54" s="99" t="s">
        <v>139</v>
      </c>
      <c r="E54" s="373" t="e">
        <f>INDEX('PY1 Data(H)'!$A$1:$CZ$265,MATCH('Unit Data from Audit Worksheet'!$A54,'PY1 Data(H)'!$A$1:$A$258,0),MATCH('Unit Data from Audit Worksheet'!$D$2,'PY1 Data(H)'!$A$1:$CZ$1,0))</f>
        <v>#N/A</v>
      </c>
      <c r="F54" s="808">
        <v>0</v>
      </c>
      <c r="G54" s="403">
        <f t="shared" si="1"/>
        <v>0</v>
      </c>
      <c r="H54" s="404"/>
      <c r="I54" s="72"/>
      <c r="J54" s="72"/>
      <c r="K54"/>
      <c r="L54" s="550"/>
    </row>
    <row r="55" spans="1:123" ht="51.75" customHeight="1" x14ac:dyDescent="0.3">
      <c r="A55" s="100">
        <v>7</v>
      </c>
      <c r="B55" s="460" t="s">
        <v>68</v>
      </c>
      <c r="C55" s="460" t="s">
        <v>141</v>
      </c>
      <c r="D55" s="99" t="s">
        <v>140</v>
      </c>
      <c r="E55" s="373" t="e">
        <f>INDEX('PY1 Data(H)'!$A$1:$CZ$265,MATCH('Unit Data from Audit Worksheet'!$A55,'PY1 Data(H)'!$A$1:$A$258,0),MATCH('Unit Data from Audit Worksheet'!$D$2,'PY1 Data(H)'!$A$1:$CZ$1,0))</f>
        <v>#N/A</v>
      </c>
      <c r="F55" s="808">
        <v>0</v>
      </c>
      <c r="G55" s="403">
        <f t="shared" si="1"/>
        <v>0</v>
      </c>
      <c r="H55" s="404"/>
      <c r="I55" s="72"/>
      <c r="J55" s="72"/>
      <c r="K55"/>
      <c r="L55" s="550"/>
    </row>
    <row r="56" spans="1:123" ht="83.4" customHeight="1" x14ac:dyDescent="0.3">
      <c r="A56" s="100">
        <v>11</v>
      </c>
      <c r="B56" s="962" t="s">
        <v>1953</v>
      </c>
      <c r="C56" s="460" t="s">
        <v>141</v>
      </c>
      <c r="D56" s="385" t="s">
        <v>707</v>
      </c>
      <c r="E56" s="373" t="e">
        <f>INDEX('PY1 Data(H)'!$A$1:$CZ$265,MATCH('Unit Data from Audit Worksheet'!$A56,'PY1 Data(H)'!$A$1:$A$258,0),MATCH('Unit Data from Audit Worksheet'!$D$2,'PY1 Data(H)'!$A$1:$CZ$1,0))</f>
        <v>#N/A</v>
      </c>
      <c r="F56" s="808">
        <v>0</v>
      </c>
      <c r="G56" s="403">
        <f t="shared" si="1"/>
        <v>0</v>
      </c>
      <c r="H56" s="404"/>
      <c r="I56" s="72"/>
      <c r="J56" s="72"/>
      <c r="K56"/>
      <c r="L56" s="550"/>
    </row>
    <row r="57" spans="1:123" ht="78.75" customHeight="1" x14ac:dyDescent="0.3">
      <c r="A57" s="191">
        <v>645</v>
      </c>
      <c r="B57" s="463" t="s">
        <v>360</v>
      </c>
      <c r="C57" s="463" t="s">
        <v>141</v>
      </c>
      <c r="D57" s="645" t="s">
        <v>386</v>
      </c>
      <c r="E57" s="373" t="e">
        <f>INDEX('PY1 Data(H)'!$A$1:$CZ$265,MATCH('Unit Data from Audit Worksheet'!$A57,'PY1 Data(H)'!$A$1:$A$258,0),MATCH('Unit Data from Audit Worksheet'!$D$2,'PY1 Data(H)'!$A$1:$CZ$1,0))</f>
        <v>#N/A</v>
      </c>
      <c r="F57" s="808">
        <v>0</v>
      </c>
      <c r="G57" s="403">
        <f>IF(F57&lt;0,"Note: Number is normally positive.",)</f>
        <v>0</v>
      </c>
      <c r="H57" s="404"/>
      <c r="I57" s="405"/>
      <c r="J57" s="405"/>
      <c r="K57"/>
      <c r="L57" s="550"/>
    </row>
    <row r="58" spans="1:123" ht="78.75" customHeight="1" x14ac:dyDescent="0.3">
      <c r="A58" s="191">
        <v>646</v>
      </c>
      <c r="B58" s="463" t="s">
        <v>360</v>
      </c>
      <c r="C58" s="463" t="s">
        <v>141</v>
      </c>
      <c r="D58" s="190" t="s">
        <v>361</v>
      </c>
      <c r="E58" s="373" t="e">
        <f>INDEX('PY1 Data(H)'!$A$1:$CZ$265,MATCH('Unit Data from Audit Worksheet'!$A58,'PY1 Data(H)'!$A$1:$A$258,0),MATCH('Unit Data from Audit Worksheet'!$D$2,'PY1 Data(H)'!$A$1:$CZ$1,0))</f>
        <v>#N/A</v>
      </c>
      <c r="F58" s="808">
        <v>0</v>
      </c>
      <c r="G58" s="403">
        <f>IF(F58&lt;0,"Note: Number is normally positive.",)</f>
        <v>0</v>
      </c>
      <c r="H58" s="404"/>
      <c r="I58" s="405"/>
      <c r="J58" s="405"/>
      <c r="K58"/>
      <c r="L58" s="550"/>
    </row>
    <row r="59" spans="1:123" ht="138" customHeight="1" x14ac:dyDescent="0.3">
      <c r="A59" s="100">
        <v>9</v>
      </c>
      <c r="B59" s="962" t="s">
        <v>1956</v>
      </c>
      <c r="C59" s="460" t="s">
        <v>141</v>
      </c>
      <c r="D59" s="385" t="s">
        <v>708</v>
      </c>
      <c r="E59" s="373" t="e">
        <f>INDEX('PY1 Data(H)'!$A$1:$CZ$265,MATCH('Unit Data from Audit Worksheet'!$A59,'PY1 Data(H)'!$A$1:$A$258,0),MATCH('Unit Data from Audit Worksheet'!$D$2,'PY1 Data(H)'!$A$1:$CZ$1,0))</f>
        <v>#N/A</v>
      </c>
      <c r="F59" s="808">
        <v>0</v>
      </c>
      <c r="G59" s="403">
        <f>IF(F49-F51-F52-F53-F59=0,,"Error: Total assets less total liabilities do not equal total fund balance. Account numbers 379-4-5-380-9= 0  The amount of the formula is in the cell to the right")</f>
        <v>0</v>
      </c>
      <c r="H59" s="406">
        <f>F49-F51-F52-F53-F59</f>
        <v>0</v>
      </c>
      <c r="I59" s="72"/>
      <c r="J59" s="72"/>
      <c r="K59"/>
      <c r="L59" s="550"/>
    </row>
    <row r="60" spans="1:123" s="18" customFormat="1" ht="63.75" customHeight="1" x14ac:dyDescent="0.3">
      <c r="A60" s="100">
        <v>540</v>
      </c>
      <c r="B60" s="375" t="s">
        <v>58</v>
      </c>
      <c r="C60" s="375" t="s">
        <v>709</v>
      </c>
      <c r="D60" s="99" t="s">
        <v>387</v>
      </c>
      <c r="E60" s="373" t="e">
        <f>INDEX('PY1 Data(H)'!$A$1:$CZ$265,MATCH('Unit Data from Audit Worksheet'!$A60,'PY1 Data(H)'!$A$1:$A$258,0),MATCH('Unit Data from Audit Worksheet'!$D$2,'PY1 Data(H)'!$A$1:$CZ$1,0))</f>
        <v>#N/A</v>
      </c>
      <c r="F60" s="808">
        <v>0</v>
      </c>
      <c r="G60" s="403"/>
      <c r="H60" s="404"/>
      <c r="I60" s="405"/>
      <c r="J60" s="405"/>
      <c r="K60"/>
      <c r="L60" s="550"/>
      <c r="M60"/>
      <c r="O60" s="187"/>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5" t="s">
        <v>58</v>
      </c>
      <c r="C61" s="792" t="s">
        <v>144</v>
      </c>
      <c r="D61" s="788" t="s">
        <v>1560</v>
      </c>
      <c r="E61" s="373" t="e">
        <f>INDEX('PY1 Data(H)'!$A$1:$CZ$265,MATCH('Unit Data from Audit Worksheet'!$A61,'PY1 Data(H)'!$A$1:$A$258,0),MATCH('Unit Data from Audit Worksheet'!$D$2,'PY1 Data(H)'!$A$1:$CZ$1,0))</f>
        <v>#N/A</v>
      </c>
      <c r="F61" s="808">
        <v>0</v>
      </c>
      <c r="G61" s="403"/>
      <c r="H61" s="404"/>
      <c r="I61" s="405"/>
      <c r="J61" s="405"/>
      <c r="K61" s="180"/>
      <c r="L61" s="550"/>
      <c r="M61" s="180"/>
      <c r="O61" s="187"/>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92" t="s">
        <v>143</v>
      </c>
      <c r="C62" s="502"/>
      <c r="D62" s="475"/>
      <c r="E62" s="476"/>
      <c r="F62" s="476"/>
      <c r="G62" s="477"/>
      <c r="H62" s="17"/>
      <c r="I62" s="72"/>
      <c r="J62" s="72"/>
      <c r="K62"/>
      <c r="L62" s="550"/>
    </row>
    <row r="63" spans="1:123" ht="82.5" customHeight="1" x14ac:dyDescent="0.3">
      <c r="A63" s="100">
        <v>984</v>
      </c>
      <c r="B63" s="961" t="s">
        <v>1966</v>
      </c>
      <c r="C63" s="375" t="s">
        <v>709</v>
      </c>
      <c r="D63" s="385" t="s">
        <v>790</v>
      </c>
      <c r="E63" s="373" t="e">
        <f>INDEX('PY1 Data(H)'!$A$1:$CZ$265,MATCH('Unit Data from Audit Worksheet'!$A63,'PY1 Data(H)'!$A$1:$A$258,0),MATCH('Unit Data from Audit Worksheet'!$D$2,'PY1 Data(H)'!$A$1:$CZ$1,0))</f>
        <v>#N/A</v>
      </c>
      <c r="F63" s="808">
        <v>0</v>
      </c>
      <c r="G63" s="403"/>
      <c r="H63" s="17"/>
      <c r="I63" s="72"/>
      <c r="J63" s="72"/>
      <c r="K63"/>
      <c r="L63" s="550"/>
    </row>
    <row r="64" spans="1:123" ht="69" customHeight="1" x14ac:dyDescent="0.3">
      <c r="A64" s="100">
        <v>985</v>
      </c>
      <c r="B64" s="961" t="s">
        <v>1966</v>
      </c>
      <c r="C64" s="375" t="s">
        <v>709</v>
      </c>
      <c r="D64" s="385" t="s">
        <v>791</v>
      </c>
      <c r="E64" s="373" t="e">
        <f>INDEX('PY1 Data(H)'!$A$1:$CZ$265,MATCH('Unit Data from Audit Worksheet'!$A64,'PY1 Data(H)'!$A$1:$A$258,0),MATCH('Unit Data from Audit Worksheet'!$D$2,'PY1 Data(H)'!$A$1:$CZ$1,0))</f>
        <v>#N/A</v>
      </c>
      <c r="F64" s="808">
        <v>0</v>
      </c>
      <c r="G64" s="403"/>
      <c r="H64" s="17"/>
      <c r="I64" s="72"/>
      <c r="J64" s="72"/>
      <c r="K64"/>
      <c r="L64" s="550"/>
    </row>
    <row r="65" spans="1:123" ht="52.5" customHeight="1" x14ac:dyDescent="0.3">
      <c r="A65" s="100">
        <v>369</v>
      </c>
      <c r="B65" s="4" t="s">
        <v>55</v>
      </c>
      <c r="C65" s="4" t="s">
        <v>144</v>
      </c>
      <c r="D65" s="385" t="s">
        <v>710</v>
      </c>
      <c r="E65" s="373" t="e">
        <f>INDEX('PY1 Data(H)'!$A$1:$CZ$265,MATCH('Unit Data from Audit Worksheet'!$A65,'PY1 Data(H)'!$A$1:$A$258,0),MATCH('Unit Data from Audit Worksheet'!$D$2,'PY1 Data(H)'!$A$1:$CZ$1,0))</f>
        <v>#N/A</v>
      </c>
      <c r="F65" s="808">
        <v>0</v>
      </c>
      <c r="G65" s="403"/>
      <c r="H65" s="17"/>
      <c r="I65" s="72"/>
      <c r="J65" s="72"/>
      <c r="K65"/>
      <c r="L65" s="550"/>
    </row>
    <row r="66" spans="1:123" ht="57.75" customHeight="1" x14ac:dyDescent="0.3">
      <c r="A66" s="100">
        <v>16</v>
      </c>
      <c r="B66" s="4" t="s">
        <v>65</v>
      </c>
      <c r="C66" s="4" t="s">
        <v>144</v>
      </c>
      <c r="D66" s="99" t="s">
        <v>142</v>
      </c>
      <c r="E66" s="373" t="e">
        <f>INDEX('PY1 Data(H)'!$A$1:$CZ$265,MATCH('Unit Data from Audit Worksheet'!$A66,'PY1 Data(H)'!$A$1:$A$258,0),MATCH('Unit Data from Audit Worksheet'!$D$2,'PY1 Data(H)'!$A$1:$CZ$1,0))</f>
        <v>#N/A</v>
      </c>
      <c r="F66" s="808">
        <v>0</v>
      </c>
      <c r="G66" s="403"/>
      <c r="H66" s="17"/>
      <c r="I66" s="72"/>
      <c r="J66" s="72"/>
      <c r="K66"/>
      <c r="L66" s="550"/>
    </row>
    <row r="67" spans="1:123" ht="65.25" customHeight="1" x14ac:dyDescent="0.3">
      <c r="A67" s="100">
        <v>370</v>
      </c>
      <c r="B67" s="4" t="s">
        <v>55</v>
      </c>
      <c r="C67" s="4" t="s">
        <v>144</v>
      </c>
      <c r="D67" s="385" t="s">
        <v>711</v>
      </c>
      <c r="E67" s="373" t="e">
        <f>INDEX('PY1 Data(H)'!$A$1:$CZ$265,MATCH('Unit Data from Audit Worksheet'!$A67,'PY1 Data(H)'!$A$1:$A$258,0),MATCH('Unit Data from Audit Worksheet'!$D$2,'PY1 Data(H)'!$A$1:$CZ$1,0))</f>
        <v>#N/A</v>
      </c>
      <c r="F67" s="808">
        <v>0</v>
      </c>
      <c r="G67" s="403">
        <f>IF(F67&lt;0,"Error: Enter as positive.",)</f>
        <v>0</v>
      </c>
      <c r="H67" s="17"/>
      <c r="I67" s="72"/>
      <c r="J67" s="72"/>
      <c r="K67"/>
      <c r="L67" s="550"/>
    </row>
    <row r="68" spans="1:123" ht="69.75" customHeight="1" x14ac:dyDescent="0.3">
      <c r="A68" s="100">
        <v>532</v>
      </c>
      <c r="B68" s="961" t="s">
        <v>1952</v>
      </c>
      <c r="C68" s="4" t="s">
        <v>144</v>
      </c>
      <c r="D68" s="381" t="s">
        <v>712</v>
      </c>
      <c r="E68" s="373" t="e">
        <f>INDEX('PY1 Data(H)'!$A$1:$CZ$265,MATCH('Unit Data from Audit Worksheet'!$A68,'PY1 Data(H)'!$A$1:$A$258,0),MATCH('Unit Data from Audit Worksheet'!$D$2,'PY1 Data(H)'!$A$1:$CZ$1,0))</f>
        <v>#N/A</v>
      </c>
      <c r="F68" s="808">
        <v>0</v>
      </c>
      <c r="G68" s="403">
        <f>IF(F68&lt;0,"Error: Enter as positive.",)</f>
        <v>0</v>
      </c>
      <c r="H68" s="17"/>
      <c r="I68" s="72"/>
      <c r="J68" s="72"/>
      <c r="K68"/>
      <c r="L68" s="550"/>
    </row>
    <row r="69" spans="1:123" ht="69.75" customHeight="1" x14ac:dyDescent="0.3">
      <c r="A69" s="100">
        <v>1050</v>
      </c>
      <c r="B69" s="964" t="s">
        <v>1955</v>
      </c>
      <c r="C69" s="792" t="s">
        <v>144</v>
      </c>
      <c r="D69" s="793" t="s">
        <v>1511</v>
      </c>
      <c r="E69" s="373" t="e">
        <f>INDEX('PY1 Data(H)'!$A$1:$CZ$265,MATCH('Unit Data from Audit Worksheet'!$A69,'PY1 Data(H)'!$A$1:$A$258,0),MATCH('Unit Data from Audit Worksheet'!$D$2,'PY1 Data(H)'!$A$1:$CZ$1,0))</f>
        <v>#N/A</v>
      </c>
      <c r="F69" s="808">
        <v>0</v>
      </c>
      <c r="G69" s="403">
        <f>IF(F69&lt;0,"Error: Enter as positive.",)</f>
        <v>0</v>
      </c>
      <c r="H69" s="17"/>
      <c r="I69" s="72"/>
      <c r="J69" s="72"/>
      <c r="K69" s="180"/>
      <c r="L69" s="550"/>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713</v>
      </c>
      <c r="E70" s="373" t="e">
        <f>INDEX('PY1 Data(H)'!$A$1:$CZ$265,MATCH('Unit Data from Audit Worksheet'!$A70,'PY1 Data(H)'!$A$1:$A$258,0),MATCH('Unit Data from Audit Worksheet'!$D$2,'PY1 Data(H)'!$A$1:$CZ$1,0))</f>
        <v>#N/A</v>
      </c>
      <c r="F70" s="808">
        <v>0</v>
      </c>
      <c r="G70" s="403"/>
      <c r="H70" s="17"/>
      <c r="I70" s="72"/>
      <c r="J70" s="72"/>
      <c r="K70"/>
      <c r="L70" s="550"/>
    </row>
    <row r="71" spans="1:123" ht="66" customHeight="1" x14ac:dyDescent="0.3">
      <c r="A71" s="100">
        <v>20</v>
      </c>
      <c r="B71" s="961" t="s">
        <v>1952</v>
      </c>
      <c r="C71" s="4" t="s">
        <v>144</v>
      </c>
      <c r="D71" s="99" t="s">
        <v>714</v>
      </c>
      <c r="E71" s="373" t="e">
        <f>INDEX('PY1 Data(H)'!$A$1:$CZ$265,MATCH('Unit Data from Audit Worksheet'!$A71,'PY1 Data(H)'!$A$1:$A$258,0),MATCH('Unit Data from Audit Worksheet'!$D$2,'PY1 Data(H)'!$A$1:$CZ$1,0))</f>
        <v>#N/A</v>
      </c>
      <c r="F71" s="808">
        <v>0</v>
      </c>
      <c r="G71" s="403">
        <f>IF(F71&lt;0,"Error: Enter as positive.",)</f>
        <v>0</v>
      </c>
      <c r="H71" s="17"/>
      <c r="I71" s="72"/>
      <c r="J71" s="72"/>
      <c r="K71"/>
      <c r="L71" s="550"/>
    </row>
    <row r="72" spans="1:123" ht="62.4" customHeight="1" x14ac:dyDescent="0.3">
      <c r="A72" s="100">
        <v>533</v>
      </c>
      <c r="B72" s="961" t="s">
        <v>1952</v>
      </c>
      <c r="C72" s="4" t="s">
        <v>144</v>
      </c>
      <c r="D72" s="381" t="s">
        <v>715</v>
      </c>
      <c r="E72" s="373" t="e">
        <f>INDEX('PY1 Data(H)'!$A$1:$CZ$265,MATCH('Unit Data from Audit Worksheet'!$A72,'PY1 Data(H)'!$A$1:$A$258,0),MATCH('Unit Data from Audit Worksheet'!$D$2,'PY1 Data(H)'!$A$1:$CZ$1,0))</f>
        <v>#N/A</v>
      </c>
      <c r="F72" s="808">
        <v>0</v>
      </c>
      <c r="G72" s="409"/>
      <c r="H72" s="17"/>
      <c r="I72" s="72"/>
      <c r="J72" s="72"/>
      <c r="K72"/>
      <c r="L72" s="550"/>
    </row>
    <row r="73" spans="1:123" s="18" customFormat="1" ht="72.599999999999994" customHeight="1" x14ac:dyDescent="0.3">
      <c r="A73" s="100">
        <v>508</v>
      </c>
      <c r="B73" s="961" t="s">
        <v>1952</v>
      </c>
      <c r="C73" s="4" t="s">
        <v>144</v>
      </c>
      <c r="D73" s="99" t="s">
        <v>292</v>
      </c>
      <c r="E73" s="373" t="e">
        <f>INDEX('PY1 Data(H)'!$A$1:$CZ$265,MATCH('Unit Data from Audit Worksheet'!$A73,'PY1 Data(H)'!$A$1:$A$258,0),MATCH('Unit Data from Audit Worksheet'!$D$2,'PY1 Data(H)'!$A$1:$CZ$1,0))</f>
        <v>#N/A</v>
      </c>
      <c r="F73" s="808">
        <v>0</v>
      </c>
      <c r="G73" s="403"/>
      <c r="H73" s="404"/>
      <c r="I73" s="405"/>
      <c r="J73" s="405"/>
      <c r="K73"/>
      <c r="L73" s="550"/>
      <c r="M73"/>
      <c r="O73" s="187"/>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61" t="s">
        <v>1952</v>
      </c>
      <c r="C74" s="4" t="s">
        <v>144</v>
      </c>
      <c r="D74" s="99" t="s">
        <v>290</v>
      </c>
      <c r="E74" s="373" t="e">
        <f>INDEX('PY1 Data(H)'!$A$1:$CZ$265,MATCH('Unit Data from Audit Worksheet'!$A74,'PY1 Data(H)'!$A$1:$A$258,0),MATCH('Unit Data from Audit Worksheet'!$D$2,'PY1 Data(H)'!$A$1:$CZ$1,0))</f>
        <v>#N/A</v>
      </c>
      <c r="F74" s="808">
        <v>0</v>
      </c>
      <c r="G74" s="403">
        <f>IF(F74&lt;0,"Error: Enter as positive.",)</f>
        <v>0</v>
      </c>
      <c r="H74" s="404"/>
      <c r="I74" s="405"/>
      <c r="J74" s="405"/>
      <c r="K74"/>
      <c r="L74" s="550"/>
      <c r="M74"/>
      <c r="O74" s="187"/>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291</v>
      </c>
      <c r="E75" s="373" t="e">
        <f>INDEX('PY1 Data(H)'!$A$1:$CZ$265,MATCH('Unit Data from Audit Worksheet'!$A75,'PY1 Data(H)'!$A$1:$A$258,0),MATCH('Unit Data from Audit Worksheet'!$D$2,'PY1 Data(H)'!$A$1:$CZ$1,0))</f>
        <v>#N/A</v>
      </c>
      <c r="F75" s="808">
        <v>0</v>
      </c>
      <c r="G75" s="409"/>
      <c r="H75" s="17"/>
      <c r="I75" s="72"/>
      <c r="J75" s="72"/>
      <c r="K75"/>
      <c r="L75" s="550"/>
    </row>
    <row r="76" spans="1:123" ht="138" customHeight="1" x14ac:dyDescent="0.3">
      <c r="A76" s="100">
        <v>23</v>
      </c>
      <c r="B76" s="4" t="s">
        <v>59</v>
      </c>
      <c r="C76" s="4" t="s">
        <v>144</v>
      </c>
      <c r="D76" s="385" t="s">
        <v>716</v>
      </c>
      <c r="E76" s="373" t="e">
        <f>INDEX('PY1 Data(H)'!$A$1:$CZ$265,MATCH('Unit Data from Audit Worksheet'!$A76,'PY1 Data(H)'!$A$1:$A$258,0),MATCH('Unit Data from Audit Worksheet'!$D$2,'PY1 Data(H)'!$A$1:$CZ$1,0))</f>
        <v>#N/A</v>
      </c>
      <c r="F76" s="808"/>
      <c r="G76" s="403">
        <f>IF(H76=0,,"Error: Total revenues less total expenditures do not equal total change in fund balance.  Account numbers 16-532+17-20+533+22+508-509-23=0  The amount of the formula is located in the cell to the right")</f>
        <v>0</v>
      </c>
      <c r="H76" s="406">
        <f>+F66-F68+F70-F71+F72+F75+F73-F74-F76</f>
        <v>0</v>
      </c>
      <c r="I76" s="72"/>
      <c r="J76" s="72"/>
      <c r="K76"/>
      <c r="L76" s="550"/>
    </row>
    <row r="77" spans="1:123" ht="194.25" customHeight="1" x14ac:dyDescent="0.3">
      <c r="A77" s="100">
        <v>590</v>
      </c>
      <c r="B77" s="961" t="s">
        <v>2877</v>
      </c>
      <c r="C77" s="4"/>
      <c r="D77" s="789" t="s">
        <v>1649</v>
      </c>
      <c r="E77" s="525"/>
      <c r="F77" s="809"/>
      <c r="G77" s="661"/>
      <c r="H77" s="1030" t="str">
        <f>IF(F77&lt;&gt;""," ","Please do not leave cell F77 blank.")</f>
        <v>Please do not leave cell F77 blank.</v>
      </c>
      <c r="I77" s="72"/>
      <c r="J77" s="405"/>
      <c r="K77"/>
      <c r="L77" s="550"/>
    </row>
    <row r="78" spans="1:123" ht="138" customHeight="1" x14ac:dyDescent="0.3">
      <c r="A78" s="100">
        <v>507</v>
      </c>
      <c r="B78" s="375" t="s">
        <v>59</v>
      </c>
      <c r="C78" s="375" t="s">
        <v>144</v>
      </c>
      <c r="D78" s="385" t="s">
        <v>717</v>
      </c>
      <c r="E78" s="373" t="e">
        <f>INDEX('PY1 Data(H)'!$A$1:$CZ$265,MATCH('Unit Data from Audit Worksheet'!$A78,'PY1 Data(H)'!$A$1:$A$258,0),MATCH('Unit Data from Audit Worksheet'!$D$2,'PY1 Data(H)'!$A$1:$CZ$1,0))</f>
        <v>#N/A</v>
      </c>
      <c r="F78" s="808">
        <v>0</v>
      </c>
      <c r="G78" s="766" t="e">
        <f>IF(F59-F76-F78=E59,,"Error: Beginning Balance does not agree with our records.  (Acct# 9-23-507)= Prior Years Acct # 9 The amount of the formula is in the cell to the right")</f>
        <v>#N/A</v>
      </c>
      <c r="H78" s="767" t="e">
        <f>+F59-F76-F78-E59</f>
        <v>#N/A</v>
      </c>
      <c r="I78" s="1040" t="e">
        <f>IF(H78=0," ","If the out of balance is because prior years data is not populated in cell E59, disregard the error message. Do not include prior year's ending balance in cell F78.")</f>
        <v>#N/A</v>
      </c>
      <c r="J78" s="774"/>
      <c r="K78"/>
      <c r="L78" s="550"/>
    </row>
    <row r="79" spans="1:123" ht="82.5" customHeight="1" x14ac:dyDescent="0.3">
      <c r="A79" s="191">
        <v>647</v>
      </c>
      <c r="B79" s="963" t="s">
        <v>1954</v>
      </c>
      <c r="C79" s="462" t="s">
        <v>362</v>
      </c>
      <c r="D79" s="190" t="s">
        <v>1608</v>
      </c>
      <c r="E79" s="373" t="e">
        <f>INDEX('PY1 Data(H)'!$A$1:$CZ$265,MATCH('Unit Data from Audit Worksheet'!$A79,'PY1 Data(H)'!$A$1:$A$258,0),MATCH('Unit Data from Audit Worksheet'!$D$2,'PY1 Data(H)'!$A$1:$CZ$1,0))</f>
        <v>#N/A</v>
      </c>
      <c r="F79" s="808">
        <v>0</v>
      </c>
      <c r="G79" s="403">
        <f>IF(F79&lt;0,"Error: Enter as positive.",)</f>
        <v>0</v>
      </c>
      <c r="H79" s="410"/>
      <c r="I79" s="72"/>
      <c r="J79" s="72"/>
      <c r="K79"/>
      <c r="L79" s="550"/>
    </row>
    <row r="80" spans="1:123" ht="25.5" customHeight="1" x14ac:dyDescent="0.3">
      <c r="A80" s="100"/>
      <c r="B80" s="492" t="s">
        <v>11</v>
      </c>
      <c r="C80" s="502"/>
      <c r="D80" s="472"/>
      <c r="E80" s="473"/>
      <c r="F80" s="473"/>
      <c r="G80" s="474"/>
      <c r="H80" s="17"/>
      <c r="I80" s="72"/>
      <c r="J80" s="72"/>
      <c r="K80"/>
      <c r="L80" s="550"/>
    </row>
    <row r="81" spans="1:12" ht="78" customHeight="1" x14ac:dyDescent="0.3">
      <c r="A81" s="100">
        <v>171</v>
      </c>
      <c r="B81" s="4" t="s">
        <v>295</v>
      </c>
      <c r="C81" s="4" t="s">
        <v>294</v>
      </c>
      <c r="D81" s="374" t="s">
        <v>718</v>
      </c>
      <c r="E81" s="373" t="e">
        <f>INDEX('PY1 Data(H)'!$A$1:$CZ$265,MATCH('Unit Data from Audit Worksheet'!$A81,'PY1 Data(H)'!$A$1:$A$258,0),MATCH('Unit Data from Audit Worksheet'!$D$2,'PY1 Data(H)'!$A$1:$CZ$1,0))</f>
        <v>#N/A</v>
      </c>
      <c r="F81" s="818">
        <v>0</v>
      </c>
      <c r="G81" s="403">
        <f>IF(F81&lt;0,"Error: Enter as positive.",)</f>
        <v>0</v>
      </c>
      <c r="H81" s="17"/>
      <c r="I81" s="72"/>
      <c r="J81" s="72"/>
      <c r="K81"/>
      <c r="L81" s="550"/>
    </row>
    <row r="82" spans="1:12" ht="18" customHeight="1" x14ac:dyDescent="0.3">
      <c r="A82" s="100"/>
      <c r="B82" s="493" t="s">
        <v>719</v>
      </c>
      <c r="C82" s="502"/>
      <c r="D82" s="470"/>
      <c r="E82" s="489"/>
      <c r="F82" s="488"/>
      <c r="G82" s="489"/>
      <c r="H82" s="17"/>
      <c r="I82" s="72"/>
      <c r="J82" s="72"/>
      <c r="K82"/>
      <c r="L82" s="550"/>
    </row>
    <row r="83" spans="1:12" ht="14.4" customHeight="1" x14ac:dyDescent="0.3">
      <c r="A83" s="100"/>
      <c r="B83" s="493" t="s">
        <v>24</v>
      </c>
      <c r="C83" s="502"/>
      <c r="D83" s="484"/>
      <c r="E83" s="491"/>
      <c r="F83" s="490"/>
      <c r="G83" s="491"/>
      <c r="H83" s="17"/>
      <c r="I83" s="72"/>
      <c r="J83" s="72"/>
      <c r="K83"/>
      <c r="L83" s="550"/>
    </row>
    <row r="84" spans="1:12" ht="14.4" customHeight="1" x14ac:dyDescent="0.3">
      <c r="A84" s="100"/>
      <c r="B84" s="493" t="s">
        <v>22</v>
      </c>
      <c r="C84" s="502"/>
      <c r="D84" s="484"/>
      <c r="E84" s="491"/>
      <c r="F84" s="490"/>
      <c r="G84" s="491"/>
      <c r="H84" s="411"/>
      <c r="I84" s="72"/>
      <c r="J84" s="72"/>
      <c r="K84"/>
      <c r="L84" s="550"/>
    </row>
    <row r="85" spans="1:12" ht="88.95" customHeight="1" x14ac:dyDescent="0.3">
      <c r="A85" s="100">
        <v>596</v>
      </c>
      <c r="B85" s="375" t="s">
        <v>56</v>
      </c>
      <c r="C85" s="279"/>
      <c r="D85" s="751" t="s">
        <v>1621</v>
      </c>
      <c r="E85" s="373" t="e">
        <f>INDEX('PY1 Data(H)'!$A$1:$CZ$265,MATCH('Unit Data from Audit Worksheet'!$A85,'PY1 Data(H)'!$A$1:$A$258,0),MATCH('Unit Data from Audit Worksheet'!$D$2,'PY1 Data(H)'!$A$1:$CZ$1,0))</f>
        <v>#N/A</v>
      </c>
      <c r="F85" s="181"/>
      <c r="G85" s="936" t="s">
        <v>2867</v>
      </c>
      <c r="H85" s="411"/>
      <c r="I85" s="72"/>
      <c r="J85" s="72"/>
      <c r="K85"/>
      <c r="L85" s="550"/>
    </row>
    <row r="86" spans="1:12" ht="85.95" customHeight="1" x14ac:dyDescent="0.3">
      <c r="A86" s="100">
        <v>80</v>
      </c>
      <c r="B86" s="961" t="s">
        <v>1957</v>
      </c>
      <c r="C86" s="4" t="s">
        <v>720</v>
      </c>
      <c r="D86" s="21" t="s">
        <v>721</v>
      </c>
      <c r="E86" s="373" t="e">
        <f>INDEX('PY1 Data(H)'!$A$1:$CZ$265,MATCH('Unit Data from Audit Worksheet'!$A86,'PY1 Data(H)'!$A$1:$A$258,0),MATCH('Unit Data from Audit Worksheet'!$D$2,'PY1 Data(H)'!$A$1:$CZ$1,0))</f>
        <v>#N/A</v>
      </c>
      <c r="F86" s="818">
        <v>0</v>
      </c>
      <c r="G86" s="794" t="e">
        <f>INDEX('PY1 Data(H)'!$A$1:$CZ$282,MATCH('PY1 Data(H)'!$A261,'PY1 Data(H)'!$A$1:$A$282,0),MATCH('Unit Data from Audit Worksheet'!$D$2,'PY1 Data(H)'!$A$1:$CZ$1,0))</f>
        <v>#N/A</v>
      </c>
      <c r="H86" s="412"/>
      <c r="I86" s="72"/>
      <c r="J86" s="72"/>
      <c r="K86"/>
      <c r="L86" s="550"/>
    </row>
    <row r="87" spans="1:12" ht="69" customHeight="1" x14ac:dyDescent="0.3">
      <c r="A87" s="100">
        <v>81</v>
      </c>
      <c r="B87" s="4" t="s">
        <v>61</v>
      </c>
      <c r="C87" s="4" t="s">
        <v>720</v>
      </c>
      <c r="D87" s="21" t="s">
        <v>722</v>
      </c>
      <c r="E87" s="373" t="e">
        <f>INDEX('PY1 Data(H)'!$A$1:$CZ$265,MATCH('Unit Data from Audit Worksheet'!$A87,'PY1 Data(H)'!$A$1:$A$258,0),MATCH('Unit Data from Audit Worksheet'!$D$2,'PY1 Data(H)'!$A$1:$CZ$1,0))</f>
        <v>#N/A</v>
      </c>
      <c r="F87" s="808">
        <v>0</v>
      </c>
      <c r="G87" s="409"/>
      <c r="H87" s="17"/>
      <c r="I87" s="72"/>
      <c r="J87" s="72"/>
      <c r="K87"/>
      <c r="L87" s="550"/>
    </row>
    <row r="88" spans="1:12" ht="84" customHeight="1" x14ac:dyDescent="0.3">
      <c r="A88" s="100">
        <v>579</v>
      </c>
      <c r="B88" s="962" t="s">
        <v>1969</v>
      </c>
      <c r="C88" s="375" t="s">
        <v>720</v>
      </c>
      <c r="D88" s="461" t="s">
        <v>723</v>
      </c>
      <c r="E88" s="373" t="e">
        <f>INDEX('PY1 Data(H)'!$A$1:$CZ$265,MATCH('Unit Data from Audit Worksheet'!$A88,'PY1 Data(H)'!$A$1:$A$258,0),MATCH('Unit Data from Audit Worksheet'!$D$2,'PY1 Data(H)'!$A$1:$CZ$1,0))</f>
        <v>#N/A</v>
      </c>
      <c r="F88" s="808">
        <v>0</v>
      </c>
      <c r="G88" s="403"/>
      <c r="H88" s="17"/>
      <c r="I88" s="404"/>
      <c r="J88" s="404"/>
      <c r="K88"/>
      <c r="L88" s="550"/>
    </row>
    <row r="89" spans="1:12" ht="78.599999999999994" customHeight="1" x14ac:dyDescent="0.3">
      <c r="A89" s="100">
        <v>510</v>
      </c>
      <c r="B89" s="961" t="s">
        <v>1957</v>
      </c>
      <c r="C89" s="4" t="s">
        <v>720</v>
      </c>
      <c r="D89" s="26" t="s">
        <v>289</v>
      </c>
      <c r="E89" s="373" t="e">
        <f>INDEX('PY1 Data(H)'!$A$1:$CZ$265,MATCH('Unit Data from Audit Worksheet'!$A89,'PY1 Data(H)'!$A$1:$A$258,0),MATCH('Unit Data from Audit Worksheet'!$D$2,'PY1 Data(H)'!$A$1:$CZ$1,0))</f>
        <v>#N/A</v>
      </c>
      <c r="F89" s="808">
        <v>0</v>
      </c>
      <c r="G89" s="409"/>
      <c r="H89" s="17"/>
      <c r="I89" s="1033"/>
      <c r="J89" s="72"/>
      <c r="K89"/>
      <c r="L89" s="550"/>
    </row>
    <row r="90" spans="1:12" ht="68.25" customHeight="1" x14ac:dyDescent="0.3">
      <c r="A90" s="191">
        <v>654</v>
      </c>
      <c r="B90" s="965" t="s">
        <v>1968</v>
      </c>
      <c r="C90" s="462" t="s">
        <v>720</v>
      </c>
      <c r="D90" s="216" t="s">
        <v>724</v>
      </c>
      <c r="E90" s="373" t="e">
        <f>INDEX('PY1 Data(H)'!$A$1:$CZ$265,MATCH('Unit Data from Audit Worksheet'!$A90,'PY1 Data(H)'!$A$1:$A$258,0),MATCH('Unit Data from Audit Worksheet'!$D$2,'PY1 Data(H)'!$A$1:$CZ$1,0))</f>
        <v>#N/A</v>
      </c>
      <c r="F90" s="808">
        <v>0</v>
      </c>
      <c r="G90" s="403">
        <f>IF((F86+F87+F89)&gt;F90,"Error: Please review components of current assets above.  Account numbers (80+81+510)&gt;654",)</f>
        <v>0</v>
      </c>
      <c r="H90" s="17"/>
      <c r="I90" s="72"/>
      <c r="J90" s="72"/>
      <c r="K90"/>
      <c r="L90" s="550"/>
    </row>
    <row r="91" spans="1:12" ht="75.75" customHeight="1" x14ac:dyDescent="0.3">
      <c r="A91" s="191">
        <v>655</v>
      </c>
      <c r="B91" s="965" t="s">
        <v>1968</v>
      </c>
      <c r="C91" s="462" t="s">
        <v>720</v>
      </c>
      <c r="D91" s="193" t="s">
        <v>446</v>
      </c>
      <c r="E91" s="373" t="e">
        <f>INDEX('PY1 Data(H)'!$A$1:$CZ$265,MATCH('Unit Data from Audit Worksheet'!$A91,'PY1 Data(H)'!$A$1:$A$258,0),MATCH('Unit Data from Audit Worksheet'!$D$2,'PY1 Data(H)'!$A$1:$CZ$1,0))</f>
        <v>#N/A</v>
      </c>
      <c r="F91" s="808">
        <v>0</v>
      </c>
      <c r="G91" s="409"/>
      <c r="H91" s="17"/>
      <c r="I91" s="72"/>
      <c r="J91" s="72"/>
      <c r="K91"/>
      <c r="L91" s="550"/>
    </row>
    <row r="92" spans="1:12" ht="65.400000000000006" customHeight="1" x14ac:dyDescent="0.3">
      <c r="A92" s="100">
        <v>381</v>
      </c>
      <c r="B92" s="4" t="s">
        <v>36</v>
      </c>
      <c r="C92" s="4" t="s">
        <v>720</v>
      </c>
      <c r="D92" s="98" t="s">
        <v>122</v>
      </c>
      <c r="E92" s="373" t="e">
        <f>INDEX('PY1 Data(H)'!$A$1:$CZ$265,MATCH('Unit Data from Audit Worksheet'!$A92,'PY1 Data(H)'!$A$1:$A$258,0),MATCH('Unit Data from Audit Worksheet'!$D$2,'PY1 Data(H)'!$A$1:$CZ$1,0))</f>
        <v>#N/A</v>
      </c>
      <c r="F92" s="808">
        <v>0</v>
      </c>
      <c r="G92" s="403">
        <f>IF(F90&gt;F92,"Error: Please review components of current assets above. Account numbers 654&gt;381",)</f>
        <v>0</v>
      </c>
      <c r="H92" s="17"/>
      <c r="I92" s="72"/>
      <c r="J92" s="72"/>
      <c r="K92"/>
      <c r="L92" s="550"/>
    </row>
    <row r="93" spans="1:12" ht="63" customHeight="1" x14ac:dyDescent="0.3">
      <c r="A93" s="100">
        <v>578</v>
      </c>
      <c r="B93" s="961" t="s">
        <v>1969</v>
      </c>
      <c r="C93" s="375" t="s">
        <v>720</v>
      </c>
      <c r="D93" s="461" t="s">
        <v>725</v>
      </c>
      <c r="E93" s="373" t="e">
        <f>INDEX('PY1 Data(H)'!$A$1:$CZ$265,MATCH('Unit Data from Audit Worksheet'!$A93,'PY1 Data(H)'!$A$1:$A$258,0),MATCH('Unit Data from Audit Worksheet'!$D$2,'PY1 Data(H)'!$A$1:$CZ$1,0))</f>
        <v>#N/A</v>
      </c>
      <c r="F93" s="808">
        <v>0</v>
      </c>
      <c r="G93" s="403"/>
      <c r="H93" s="404"/>
      <c r="I93" s="405"/>
      <c r="J93" s="405"/>
      <c r="K93"/>
      <c r="L93" s="550"/>
    </row>
    <row r="94" spans="1:12" ht="113.4" customHeight="1" x14ac:dyDescent="0.3">
      <c r="A94" s="192">
        <v>633</v>
      </c>
      <c r="B94" s="965" t="s">
        <v>1960</v>
      </c>
      <c r="C94" s="462" t="s">
        <v>363</v>
      </c>
      <c r="D94" s="216" t="s">
        <v>792</v>
      </c>
      <c r="E94" s="373" t="e">
        <f>INDEX('PY1 Data(H)'!$A$1:$CZ$265,MATCH('Unit Data from Audit Worksheet'!$A94,'PY1 Data(H)'!$A$1:$A$258,0),MATCH('Unit Data from Audit Worksheet'!$D$2,'PY1 Data(H)'!$A$1:$CZ$1,0))</f>
        <v>#N/A</v>
      </c>
      <c r="F94" s="808">
        <v>0</v>
      </c>
      <c r="G94" s="737" t="str">
        <f>IF(F94&gt;=(F95+F96+F97+F98+F99+F100),"","Account 633 is less than the total sum of accounts 634 through 638 + 383")</f>
        <v/>
      </c>
      <c r="H94" s="414"/>
      <c r="I94" s="408"/>
      <c r="J94" s="772"/>
      <c r="K94"/>
      <c r="L94" s="550"/>
    </row>
    <row r="95" spans="1:12" ht="101.4" customHeight="1" x14ac:dyDescent="0.3">
      <c r="A95" s="191">
        <v>634</v>
      </c>
      <c r="B95" s="963" t="s">
        <v>1961</v>
      </c>
      <c r="C95" s="462" t="s">
        <v>363</v>
      </c>
      <c r="D95" s="216" t="s">
        <v>794</v>
      </c>
      <c r="E95" s="373" t="e">
        <f>INDEX('PY1 Data(H)'!$A$1:$CZ$265,MATCH('Unit Data from Audit Worksheet'!$A95,'PY1 Data(H)'!$A$1:$A$258,0),MATCH('Unit Data from Audit Worksheet'!$D$2,'PY1 Data(H)'!$A$1:$CZ$1,0))</f>
        <v>#N/A</v>
      </c>
      <c r="F95" s="808">
        <v>0</v>
      </c>
      <c r="G95" s="738">
        <f>IF(F95&gt;F94,"Please review account numbers 634&gt;633",)</f>
        <v>0</v>
      </c>
      <c r="H95" s="408"/>
      <c r="I95" s="408"/>
      <c r="J95" s="772"/>
      <c r="K95"/>
      <c r="L95" s="550"/>
    </row>
    <row r="96" spans="1:12" ht="107.4" customHeight="1" x14ac:dyDescent="0.3">
      <c r="A96" s="191">
        <v>635</v>
      </c>
      <c r="B96" s="963" t="s">
        <v>1961</v>
      </c>
      <c r="C96" s="462" t="s">
        <v>363</v>
      </c>
      <c r="D96" s="216" t="s">
        <v>793</v>
      </c>
      <c r="E96" s="373" t="e">
        <f>INDEX('PY1 Data(H)'!$A$1:$CZ$265,MATCH('Unit Data from Audit Worksheet'!$A96,'PY1 Data(H)'!$A$1:$A$258,0),MATCH('Unit Data from Audit Worksheet'!$D$2,'PY1 Data(H)'!$A$1:$CZ$1,0))</f>
        <v>#N/A</v>
      </c>
      <c r="F96" s="808">
        <v>0</v>
      </c>
      <c r="G96" s="738">
        <f>IF(F96&gt;F94,"Please review account numbers 635&gt;633",)</f>
        <v>0</v>
      </c>
      <c r="H96" s="408"/>
      <c r="I96" s="408"/>
      <c r="J96" s="772"/>
      <c r="K96"/>
      <c r="L96" s="550"/>
    </row>
    <row r="97" spans="1:12" ht="106.5" customHeight="1" x14ac:dyDescent="0.3">
      <c r="A97" s="191">
        <v>636</v>
      </c>
      <c r="B97" s="963" t="s">
        <v>1961</v>
      </c>
      <c r="C97" s="462" t="s">
        <v>363</v>
      </c>
      <c r="D97" s="216" t="s">
        <v>798</v>
      </c>
      <c r="E97" s="373" t="e">
        <f>INDEX('PY1 Data(H)'!$A$1:$CZ$265,MATCH('Unit Data from Audit Worksheet'!$A97,'PY1 Data(H)'!$A$1:$A$258,0),MATCH('Unit Data from Audit Worksheet'!$D$2,'PY1 Data(H)'!$A$1:$CZ$1,0))</f>
        <v>#N/A</v>
      </c>
      <c r="F97" s="808">
        <v>0</v>
      </c>
      <c r="G97" s="738">
        <f>IF(F97&gt;F94,"Please review account numbers 636&gt;633",)</f>
        <v>0</v>
      </c>
      <c r="H97" s="408"/>
      <c r="I97" s="408"/>
      <c r="J97" s="772"/>
      <c r="K97"/>
      <c r="L97" s="550"/>
    </row>
    <row r="98" spans="1:12" ht="80.25" customHeight="1" x14ac:dyDescent="0.3">
      <c r="A98" s="191">
        <v>637</v>
      </c>
      <c r="B98" s="963" t="s">
        <v>1961</v>
      </c>
      <c r="C98" s="462" t="s">
        <v>363</v>
      </c>
      <c r="D98" s="216" t="s">
        <v>797</v>
      </c>
      <c r="E98" s="373" t="e">
        <f>INDEX('PY1 Data(H)'!$A$1:$CZ$265,MATCH('Unit Data from Audit Worksheet'!$A98,'PY1 Data(H)'!$A$1:$A$258,0),MATCH('Unit Data from Audit Worksheet'!$D$2,'PY1 Data(H)'!$A$1:$CZ$1,0))</f>
        <v>#N/A</v>
      </c>
      <c r="F98" s="808">
        <v>0</v>
      </c>
      <c r="G98" s="738">
        <f>IF(F98&gt;F94,"Please review account numbers 637&gt;633",)</f>
        <v>0</v>
      </c>
      <c r="H98" s="408"/>
      <c r="I98" s="408"/>
      <c r="J98" s="772"/>
      <c r="K98"/>
      <c r="L98" s="550"/>
    </row>
    <row r="99" spans="1:12" ht="106.2" customHeight="1" x14ac:dyDescent="0.3">
      <c r="A99" s="191">
        <v>638</v>
      </c>
      <c r="B99" s="963" t="s">
        <v>1961</v>
      </c>
      <c r="C99" s="462" t="s">
        <v>363</v>
      </c>
      <c r="D99" s="216" t="s">
        <v>796</v>
      </c>
      <c r="E99" s="373" t="e">
        <f>INDEX('PY1 Data(H)'!$A$1:$CZ$265,MATCH('Unit Data from Audit Worksheet'!$A99,'PY1 Data(H)'!$A$1:$A$258,0),MATCH('Unit Data from Audit Worksheet'!$D$2,'PY1 Data(H)'!$A$1:$CZ$1,0))</f>
        <v>#N/A</v>
      </c>
      <c r="F99" s="808">
        <v>0</v>
      </c>
      <c r="G99" s="738">
        <f>IF(F99&gt;F94,"Please review account numbers 638&gt;633",)</f>
        <v>0</v>
      </c>
      <c r="H99" s="408"/>
      <c r="I99" s="408"/>
      <c r="J99" s="772"/>
      <c r="K99"/>
      <c r="L99" s="550"/>
    </row>
    <row r="100" spans="1:12" ht="93.75" customHeight="1" x14ac:dyDescent="0.3">
      <c r="A100" s="100">
        <v>383</v>
      </c>
      <c r="B100" s="4" t="s">
        <v>61</v>
      </c>
      <c r="C100" s="4" t="s">
        <v>720</v>
      </c>
      <c r="D100" s="26" t="s">
        <v>795</v>
      </c>
      <c r="E100" s="373" t="e">
        <f>INDEX('PY1 Data(H)'!$A$1:$CZ$265,MATCH('Unit Data from Audit Worksheet'!$A100,'PY1 Data(H)'!$A$1:$A$258,0),MATCH('Unit Data from Audit Worksheet'!$D$2,'PY1 Data(H)'!$A$1:$CZ$1,0))</f>
        <v>#N/A</v>
      </c>
      <c r="F100" s="808">
        <v>0</v>
      </c>
      <c r="G100" s="739">
        <f>IF(F100&gt;F94,"Error: Please review account numbers 383&gt;633",)</f>
        <v>0</v>
      </c>
      <c r="H100" s="413"/>
      <c r="I100" s="72"/>
      <c r="J100" s="72"/>
      <c r="K100"/>
      <c r="L100" s="550"/>
    </row>
    <row r="101" spans="1:12" ht="61.5" customHeight="1" x14ac:dyDescent="0.3">
      <c r="A101" s="100">
        <v>349</v>
      </c>
      <c r="B101" s="4" t="s">
        <v>61</v>
      </c>
      <c r="C101" s="4" t="s">
        <v>720</v>
      </c>
      <c r="D101" s="99" t="s">
        <v>145</v>
      </c>
      <c r="E101" s="373" t="e">
        <f>INDEX('PY1 Data(H)'!$A$1:$CZ$265,MATCH('Unit Data from Audit Worksheet'!$A101,'PY1 Data(H)'!$A$1:$A$258,0),MATCH('Unit Data from Audit Worksheet'!$D$2,'PY1 Data(H)'!$A$1:$CZ$1,0))</f>
        <v>#N/A</v>
      </c>
      <c r="F101" s="808">
        <v>0</v>
      </c>
      <c r="G101" s="403" t="str">
        <f>IF(F94&gt;F101,"Error: Please review accts 633&gt;349","")</f>
        <v/>
      </c>
      <c r="H101" s="17"/>
      <c r="I101" s="72"/>
      <c r="J101" s="72"/>
      <c r="K101"/>
      <c r="L101" s="550"/>
    </row>
    <row r="102" spans="1:12" ht="72" customHeight="1" x14ac:dyDescent="0.3">
      <c r="A102" s="100">
        <v>375</v>
      </c>
      <c r="B102" s="4" t="s">
        <v>61</v>
      </c>
      <c r="C102" s="4" t="s">
        <v>720</v>
      </c>
      <c r="D102" s="385" t="s">
        <v>726</v>
      </c>
      <c r="E102" s="373" t="e">
        <f>INDEX('PY1 Data(H)'!$A$1:$CZ$265,MATCH('Unit Data from Audit Worksheet'!$A102,'PY1 Data(H)'!$A$1:$A$258,0),MATCH('Unit Data from Audit Worksheet'!$D$2,'PY1 Data(H)'!$A$1:$CZ$1,0))</f>
        <v>#N/A</v>
      </c>
      <c r="F102" s="808">
        <v>0</v>
      </c>
      <c r="G102" s="409"/>
      <c r="H102" s="17"/>
      <c r="I102" s="72"/>
      <c r="J102" s="72"/>
      <c r="K102"/>
      <c r="L102" s="550"/>
    </row>
    <row r="103" spans="1:12" ht="138" customHeight="1" x14ac:dyDescent="0.3">
      <c r="A103" s="100">
        <v>83</v>
      </c>
      <c r="B103" s="4" t="s">
        <v>60</v>
      </c>
      <c r="C103" s="4" t="s">
        <v>720</v>
      </c>
      <c r="D103" s="99" t="s">
        <v>146</v>
      </c>
      <c r="E103" s="373" t="e">
        <f>INDEX('PY1 Data(H)'!$A$1:$CZ$265,MATCH('Unit Data from Audit Worksheet'!$A103,'PY1 Data(H)'!$A$1:$A$258,0),MATCH('Unit Data from Audit Worksheet'!$D$2,'PY1 Data(H)'!$A$1:$CZ$1,0))</f>
        <v>#N/A</v>
      </c>
      <c r="F103" s="808">
        <v>0</v>
      </c>
      <c r="G103" s="403">
        <f>IF(F92-F101-F103=0,,"Error: Total assets less total liabilities do not equal total net assets.  Account numbers 381-349-83=0  The amount of the formula is in the cell to the right")</f>
        <v>0</v>
      </c>
      <c r="H103" s="406">
        <f>F92-F101-F103</f>
        <v>0</v>
      </c>
      <c r="I103" s="72"/>
      <c r="J103" s="72"/>
      <c r="K103"/>
      <c r="L103" s="550"/>
    </row>
    <row r="104" spans="1:12" ht="40.5" customHeight="1" x14ac:dyDescent="0.3">
      <c r="A104" s="100"/>
      <c r="B104" s="492" t="s">
        <v>147</v>
      </c>
      <c r="C104" s="502"/>
      <c r="D104" s="470"/>
      <c r="E104" s="488"/>
      <c r="F104" s="488"/>
      <c r="G104" s="489"/>
      <c r="H104" s="411"/>
      <c r="I104" s="72"/>
      <c r="J104" s="72"/>
      <c r="K104"/>
      <c r="L104" s="550"/>
    </row>
    <row r="105" spans="1:12" ht="59.25" customHeight="1" x14ac:dyDescent="0.3">
      <c r="A105" s="100">
        <v>90</v>
      </c>
      <c r="B105" s="961" t="s">
        <v>1964</v>
      </c>
      <c r="C105" s="4" t="s">
        <v>727</v>
      </c>
      <c r="D105" s="21" t="s">
        <v>728</v>
      </c>
      <c r="E105" s="373" t="e">
        <f>INDEX('PY1 Data(H)'!$A$1:$CZ$265,MATCH('Unit Data from Audit Worksheet'!$A105,'PY1 Data(H)'!$A$1:$A$258,0),MATCH('Unit Data from Audit Worksheet'!$D$2,'PY1 Data(H)'!$A$1:$CZ$1,0))</f>
        <v>#N/A</v>
      </c>
      <c r="F105" s="808">
        <v>0</v>
      </c>
      <c r="G105" s="403">
        <f>IF(F105&lt;0,"Note: Number is normally positive.",)</f>
        <v>0</v>
      </c>
      <c r="H105" s="406"/>
      <c r="I105" s="72"/>
      <c r="J105" s="72"/>
      <c r="K105"/>
      <c r="L105" s="550"/>
    </row>
    <row r="106" spans="1:12" ht="75" customHeight="1" x14ac:dyDescent="0.3">
      <c r="A106" s="100">
        <v>91</v>
      </c>
      <c r="B106" s="4" t="s">
        <v>57</v>
      </c>
      <c r="C106" s="4" t="s">
        <v>727</v>
      </c>
      <c r="D106" s="21" t="s">
        <v>729</v>
      </c>
      <c r="E106" s="373" t="e">
        <f>INDEX('PY1 Data(H)'!$A$1:$CZ$265,MATCH('Unit Data from Audit Worksheet'!$A106,'PY1 Data(H)'!$A$1:$A$258,0),MATCH('Unit Data from Audit Worksheet'!$D$2,'PY1 Data(H)'!$A$1:$CZ$1,0))</f>
        <v>#N/A</v>
      </c>
      <c r="F106" s="808">
        <v>0</v>
      </c>
      <c r="G106" s="403">
        <f>IF(F106&lt;0,"Note: Number is normally positive.",)</f>
        <v>0</v>
      </c>
      <c r="H106" s="404"/>
      <c r="I106" s="72"/>
      <c r="J106" s="72"/>
      <c r="K106"/>
      <c r="L106" s="550"/>
    </row>
    <row r="107" spans="1:12" ht="66.75" customHeight="1" x14ac:dyDescent="0.3">
      <c r="A107" s="100">
        <v>581</v>
      </c>
      <c r="B107" s="961" t="s">
        <v>1959</v>
      </c>
      <c r="C107" s="375" t="s">
        <v>727</v>
      </c>
      <c r="D107" s="461" t="s">
        <v>730</v>
      </c>
      <c r="E107" s="373" t="e">
        <f>INDEX('PY1 Data(H)'!$A$1:$CZ$265,MATCH('Unit Data from Audit Worksheet'!$A107,'PY1 Data(H)'!$A$1:$A$258,0),MATCH('Unit Data from Audit Worksheet'!$D$2,'PY1 Data(H)'!$A$1:$CZ$1,0))</f>
        <v>#N/A</v>
      </c>
      <c r="F107" s="808">
        <v>0</v>
      </c>
      <c r="G107" s="403"/>
      <c r="H107" s="404"/>
      <c r="I107" s="72"/>
      <c r="J107" s="72"/>
      <c r="K107"/>
      <c r="L107" s="550"/>
    </row>
    <row r="108" spans="1:12" ht="67.5" customHeight="1" x14ac:dyDescent="0.3">
      <c r="A108" s="100">
        <v>511</v>
      </c>
      <c r="B108" s="961" t="s">
        <v>1959</v>
      </c>
      <c r="C108" s="4" t="s">
        <v>727</v>
      </c>
      <c r="D108" s="22" t="s">
        <v>148</v>
      </c>
      <c r="E108" s="373" t="e">
        <f>INDEX('PY1 Data(H)'!$A$1:$CZ$265,MATCH('Unit Data from Audit Worksheet'!$A108,'PY1 Data(H)'!$A$1:$A$258,0),MATCH('Unit Data from Audit Worksheet'!$D$2,'PY1 Data(H)'!$A$1:$CZ$1,0))</f>
        <v>#N/A</v>
      </c>
      <c r="F108" s="808">
        <v>0</v>
      </c>
      <c r="G108" s="403">
        <f>IF(F108&lt;0,"Note: Number is normally positive.",)</f>
        <v>0</v>
      </c>
      <c r="H108" s="404"/>
      <c r="I108" s="72"/>
      <c r="J108" s="72"/>
      <c r="K108"/>
      <c r="L108" s="550"/>
    </row>
    <row r="109" spans="1:12" ht="72" customHeight="1" x14ac:dyDescent="0.3">
      <c r="A109" s="191">
        <v>657</v>
      </c>
      <c r="B109" s="961" t="s">
        <v>1959</v>
      </c>
      <c r="C109" s="462" t="s">
        <v>727</v>
      </c>
      <c r="D109" s="216" t="s">
        <v>731</v>
      </c>
      <c r="E109" s="373" t="e">
        <f>INDEX('PY1 Data(H)'!$A$1:$CZ$265,MATCH('Unit Data from Audit Worksheet'!$A109,'PY1 Data(H)'!$A$1:$A$258,0),MATCH('Unit Data from Audit Worksheet'!$D$2,'PY1 Data(H)'!$A$1:$CZ$1,0))</f>
        <v>#N/A</v>
      </c>
      <c r="F109" s="808">
        <v>0</v>
      </c>
      <c r="G109" s="739">
        <f>IF((F105+F106+F108)&gt;F109,"Error: Please review components of current assets above.  Account numbers (90+91+511)&gt;657",)</f>
        <v>0</v>
      </c>
      <c r="H109" s="404"/>
      <c r="I109" s="72"/>
      <c r="J109" s="72"/>
      <c r="K109"/>
      <c r="L109" s="550"/>
    </row>
    <row r="110" spans="1:12" ht="70.5" customHeight="1" x14ac:dyDescent="0.3">
      <c r="A110" s="191">
        <v>658</v>
      </c>
      <c r="B110" s="961" t="s">
        <v>1959</v>
      </c>
      <c r="C110" s="462" t="s">
        <v>727</v>
      </c>
      <c r="D110" s="193" t="s">
        <v>447</v>
      </c>
      <c r="E110" s="373" t="e">
        <f>INDEX('PY1 Data(H)'!$A$1:$CZ$265,MATCH('Unit Data from Audit Worksheet'!$A110,'PY1 Data(H)'!$A$1:$A$258,0),MATCH('Unit Data from Audit Worksheet'!$D$2,'PY1 Data(H)'!$A$1:$CZ$1,0))</f>
        <v>#N/A</v>
      </c>
      <c r="F110" s="808">
        <v>0</v>
      </c>
      <c r="G110" s="403"/>
      <c r="H110" s="404"/>
      <c r="I110" s="72"/>
      <c r="J110" s="72"/>
      <c r="K110"/>
      <c r="L110" s="550"/>
    </row>
    <row r="111" spans="1:12" ht="69.599999999999994" customHeight="1" x14ac:dyDescent="0.3">
      <c r="A111" s="100">
        <v>382</v>
      </c>
      <c r="B111" s="4" t="s">
        <v>59</v>
      </c>
      <c r="C111" s="4" t="s">
        <v>727</v>
      </c>
      <c r="D111" s="98" t="s">
        <v>122</v>
      </c>
      <c r="E111" s="373" t="e">
        <f>INDEX('PY1 Data(H)'!$A$1:$CZ$265,MATCH('Unit Data from Audit Worksheet'!$A111,'PY1 Data(H)'!$A$1:$A$258,0),MATCH('Unit Data from Audit Worksheet'!$D$2,'PY1 Data(H)'!$A$1:$CZ$1,0))</f>
        <v>#N/A</v>
      </c>
      <c r="F111" s="808">
        <v>0</v>
      </c>
      <c r="G111" s="739">
        <f>IF(F109&gt;F111,"Error: Please review components of current assets above. Account numbers 657&gt;382",)</f>
        <v>0</v>
      </c>
      <c r="H111" s="404"/>
      <c r="I111" s="72"/>
      <c r="J111" s="72"/>
      <c r="K111"/>
      <c r="L111" s="550"/>
    </row>
    <row r="112" spans="1:12" ht="57.75" customHeight="1" x14ac:dyDescent="0.3">
      <c r="A112" s="100">
        <v>360</v>
      </c>
      <c r="B112" s="4" t="s">
        <v>55</v>
      </c>
      <c r="C112" s="4" t="s">
        <v>727</v>
      </c>
      <c r="D112" s="99" t="s">
        <v>149</v>
      </c>
      <c r="E112" s="373" t="e">
        <f>INDEX('PY1 Data(H)'!$A$1:$CZ$265,MATCH('Unit Data from Audit Worksheet'!$A112,'PY1 Data(H)'!$A$1:$A$258,0),MATCH('Unit Data from Audit Worksheet'!$D$2,'PY1 Data(H)'!$A$1:$CZ$1,0))</f>
        <v>#N/A</v>
      </c>
      <c r="F112" s="808">
        <v>0</v>
      </c>
      <c r="G112" s="737"/>
      <c r="H112" s="404"/>
      <c r="I112" s="72"/>
      <c r="J112" s="72"/>
      <c r="K112"/>
      <c r="L112" s="550"/>
    </row>
    <row r="113" spans="1:123" ht="62.25" customHeight="1" x14ac:dyDescent="0.3">
      <c r="A113" s="100">
        <v>580</v>
      </c>
      <c r="B113" s="961" t="s">
        <v>1959</v>
      </c>
      <c r="C113" s="375" t="s">
        <v>727</v>
      </c>
      <c r="D113" s="461" t="s">
        <v>732</v>
      </c>
      <c r="E113" s="373" t="e">
        <f>INDEX('PY1 Data(H)'!$A$1:$CZ$265,MATCH('Unit Data from Audit Worksheet'!$A113,'PY1 Data(H)'!$A$1:$A$258,0),MATCH('Unit Data from Audit Worksheet'!$D$2,'PY1 Data(H)'!$A$1:$CZ$1,0))</f>
        <v>#N/A</v>
      </c>
      <c r="F113" s="808">
        <v>0</v>
      </c>
      <c r="G113" s="737"/>
      <c r="H113" s="404"/>
      <c r="I113" s="72"/>
      <c r="J113" s="72"/>
      <c r="K113"/>
      <c r="L113" s="550"/>
    </row>
    <row r="114" spans="1:123" ht="114" customHeight="1" x14ac:dyDescent="0.3">
      <c r="A114" s="192">
        <v>639</v>
      </c>
      <c r="B114" s="965" t="s">
        <v>1960</v>
      </c>
      <c r="C114" s="462" t="s">
        <v>727</v>
      </c>
      <c r="D114" s="216" t="s">
        <v>799</v>
      </c>
      <c r="E114" s="373" t="e">
        <f>INDEX('PY1 Data(H)'!$A$1:$CZ$265,MATCH('Unit Data from Audit Worksheet'!$A114,'PY1 Data(H)'!$A$1:$A$258,0),MATCH('Unit Data from Audit Worksheet'!$D$2,'PY1 Data(H)'!$A$1:$CZ$1,0))</f>
        <v>#N/A</v>
      </c>
      <c r="F114" s="808">
        <v>0</v>
      </c>
      <c r="G114" s="737" t="str">
        <f>IF(F114&gt;=(F115+F116+F117+F118+F119+F120),"","Account 639 is less than the total sum of accounts 640 through 644 + 384")</f>
        <v/>
      </c>
      <c r="H114" s="414"/>
      <c r="I114" s="408"/>
      <c r="J114" s="772"/>
      <c r="K114"/>
      <c r="L114" s="550"/>
    </row>
    <row r="115" spans="1:123" ht="111.6" customHeight="1" x14ac:dyDescent="0.3">
      <c r="A115" s="191">
        <v>640</v>
      </c>
      <c r="B115" s="963" t="s">
        <v>1961</v>
      </c>
      <c r="C115" s="462" t="s">
        <v>727</v>
      </c>
      <c r="D115" s="216" t="s">
        <v>800</v>
      </c>
      <c r="E115" s="373" t="e">
        <f>INDEX('PY1 Data(H)'!$A$1:$CZ$265,MATCH('Unit Data from Audit Worksheet'!$A115,'PY1 Data(H)'!$A$1:$A$258,0),MATCH('Unit Data from Audit Worksheet'!$D$2,'PY1 Data(H)'!$A$1:$CZ$1,0))</f>
        <v>#N/A</v>
      </c>
      <c r="F115" s="808">
        <v>0</v>
      </c>
      <c r="G115" s="739">
        <f>IF(F115&gt;F114,"Error: Please review components of current liabilities above. Account numbers 640&gt;639",)</f>
        <v>0</v>
      </c>
      <c r="H115" s="408"/>
      <c r="I115" s="414"/>
      <c r="J115" s="773"/>
      <c r="K115"/>
      <c r="L115" s="550"/>
    </row>
    <row r="116" spans="1:123" ht="121.2" customHeight="1" x14ac:dyDescent="0.3">
      <c r="A116" s="191">
        <v>641</v>
      </c>
      <c r="B116" s="963" t="s">
        <v>1961</v>
      </c>
      <c r="C116" s="462" t="s">
        <v>727</v>
      </c>
      <c r="D116" s="216" t="s">
        <v>801</v>
      </c>
      <c r="E116" s="373" t="e">
        <f>INDEX('PY1 Data(H)'!$A$1:$CZ$265,MATCH('Unit Data from Audit Worksheet'!$A116,'PY1 Data(H)'!$A$1:$A$258,0),MATCH('Unit Data from Audit Worksheet'!$D$2,'PY1 Data(H)'!$A$1:$CZ$1,0))</f>
        <v>#N/A</v>
      </c>
      <c r="F116" s="808">
        <v>0</v>
      </c>
      <c r="G116" s="739">
        <f>IF(F116&gt;F114,"Error: Please review components of current liabilities above. Account numbers 641&gt;639",)</f>
        <v>0</v>
      </c>
      <c r="H116" s="408"/>
      <c r="I116" s="408"/>
      <c r="J116" s="772"/>
      <c r="K116"/>
      <c r="L116" s="550"/>
    </row>
    <row r="117" spans="1:123" ht="110.4" customHeight="1" x14ac:dyDescent="0.3">
      <c r="A117" s="191">
        <v>642</v>
      </c>
      <c r="B117" s="963" t="s">
        <v>1961</v>
      </c>
      <c r="C117" s="462" t="s">
        <v>727</v>
      </c>
      <c r="D117" s="216" t="s">
        <v>802</v>
      </c>
      <c r="E117" s="373" t="e">
        <f>INDEX('PY1 Data(H)'!$A$1:$CZ$265,MATCH('Unit Data from Audit Worksheet'!$A117,'PY1 Data(H)'!$A$1:$A$258,0),MATCH('Unit Data from Audit Worksheet'!$D$2,'PY1 Data(H)'!$A$1:$CZ$1,0))</f>
        <v>#N/A</v>
      </c>
      <c r="F117" s="808">
        <v>0</v>
      </c>
      <c r="G117" s="739">
        <f>IF(F117&gt;F114,"Error: Please review components of current liabilities above. Account numbers  642&gt;639",)</f>
        <v>0</v>
      </c>
      <c r="H117" s="408"/>
      <c r="I117" s="408"/>
      <c r="J117" s="772"/>
      <c r="K117"/>
      <c r="L117" s="550"/>
    </row>
    <row r="118" spans="1:123" ht="79.95" customHeight="1" x14ac:dyDescent="0.3">
      <c r="A118" s="191">
        <v>643</v>
      </c>
      <c r="B118" s="963" t="s">
        <v>1961</v>
      </c>
      <c r="C118" s="462" t="s">
        <v>727</v>
      </c>
      <c r="D118" s="216" t="s">
        <v>803</v>
      </c>
      <c r="E118" s="373" t="e">
        <f>INDEX('PY1 Data(H)'!$A$1:$CZ$265,MATCH('Unit Data from Audit Worksheet'!$A118,'PY1 Data(H)'!$A$1:$A$258,0),MATCH('Unit Data from Audit Worksheet'!$D$2,'PY1 Data(H)'!$A$1:$CZ$1,0))</f>
        <v>#N/A</v>
      </c>
      <c r="F118" s="808">
        <v>0</v>
      </c>
      <c r="G118" s="739">
        <f>IF(F118&gt;F114,"Error: Please review components of current liabilities above. Account numbers 643&gt;639",)</f>
        <v>0</v>
      </c>
      <c r="H118" s="408"/>
      <c r="I118" s="408"/>
      <c r="J118" s="772"/>
      <c r="K118"/>
      <c r="L118" s="550"/>
    </row>
    <row r="119" spans="1:123" ht="105" customHeight="1" x14ac:dyDescent="0.3">
      <c r="A119" s="191">
        <v>644</v>
      </c>
      <c r="B119" s="963" t="s">
        <v>1961</v>
      </c>
      <c r="C119" s="462" t="s">
        <v>727</v>
      </c>
      <c r="D119" s="216" t="s">
        <v>804</v>
      </c>
      <c r="E119" s="373" t="e">
        <f>INDEX('PY1 Data(H)'!$A$1:$CZ$265,MATCH('Unit Data from Audit Worksheet'!$A119,'PY1 Data(H)'!$A$1:$A$258,0),MATCH('Unit Data from Audit Worksheet'!$D$2,'PY1 Data(H)'!$A$1:$CZ$1,0))</f>
        <v>#N/A</v>
      </c>
      <c r="F119" s="808">
        <v>0</v>
      </c>
      <c r="G119" s="739">
        <f>IF(F119&gt;F114,"Error: Please review components of current liabilities above. Account number 644&gt;639",)</f>
        <v>0</v>
      </c>
      <c r="H119" s="408"/>
      <c r="I119" s="408"/>
      <c r="J119" s="772"/>
      <c r="K119"/>
      <c r="L119" s="550"/>
    </row>
    <row r="120" spans="1:123" ht="88.95" customHeight="1" x14ac:dyDescent="0.3">
      <c r="A120" s="100">
        <v>384</v>
      </c>
      <c r="B120" s="4" t="s">
        <v>62</v>
      </c>
      <c r="C120" s="4" t="s">
        <v>727</v>
      </c>
      <c r="D120" s="26" t="s">
        <v>805</v>
      </c>
      <c r="E120" s="373" t="e">
        <f>INDEX('PY1 Data(H)'!$A$1:$CZ$265,MATCH('Unit Data from Audit Worksheet'!$A120,'PY1 Data(H)'!$A$1:$A$258,0),MATCH('Unit Data from Audit Worksheet'!$D$2,'PY1 Data(H)'!$A$1:$CZ$1,0))</f>
        <v>#N/A</v>
      </c>
      <c r="F120" s="808">
        <v>0</v>
      </c>
      <c r="G120" s="739">
        <f>IF(F120&gt;F114,"Error: Please review components of current liabilities above. Account number 384&gt;639",)</f>
        <v>0</v>
      </c>
      <c r="H120" s="344"/>
      <c r="I120" s="72"/>
      <c r="J120" s="72"/>
      <c r="K120"/>
      <c r="L120" s="550"/>
    </row>
    <row r="121" spans="1:123" ht="92.4" customHeight="1" x14ac:dyDescent="0.3">
      <c r="A121" s="100">
        <v>361</v>
      </c>
      <c r="B121" s="4" t="s">
        <v>55</v>
      </c>
      <c r="C121" s="4" t="s">
        <v>727</v>
      </c>
      <c r="D121" s="385" t="s">
        <v>733</v>
      </c>
      <c r="E121" s="373" t="e">
        <f>INDEX('PY1 Data(H)'!$A$1:$CZ$265,MATCH('Unit Data from Audit Worksheet'!$A121,'PY1 Data(H)'!$A$1:$A$258,0),MATCH('Unit Data from Audit Worksheet'!$D$2,'PY1 Data(H)'!$A$1:$CZ$1,0))</f>
        <v>#N/A</v>
      </c>
      <c r="F121" s="808">
        <v>0</v>
      </c>
      <c r="G121" s="409"/>
      <c r="H121" s="404"/>
      <c r="I121" s="72"/>
      <c r="J121" s="72"/>
      <c r="K121"/>
      <c r="L121" s="550"/>
    </row>
    <row r="122" spans="1:123" ht="54" customHeight="1" x14ac:dyDescent="0.3">
      <c r="A122" s="100">
        <v>362</v>
      </c>
      <c r="B122" s="4" t="s">
        <v>55</v>
      </c>
      <c r="C122" s="4" t="s">
        <v>727</v>
      </c>
      <c r="D122" s="99" t="s">
        <v>150</v>
      </c>
      <c r="E122" s="373" t="e">
        <f>INDEX('PY1 Data(H)'!$A$1:$CZ$265,MATCH('Unit Data from Audit Worksheet'!$A122,'PY1 Data(H)'!$A$1:$A$258,0),MATCH('Unit Data from Audit Worksheet'!$D$2,'PY1 Data(H)'!$A$1:$CZ$1,0))</f>
        <v>#N/A</v>
      </c>
      <c r="F122" s="808">
        <v>0</v>
      </c>
      <c r="G122" s="403">
        <f>IF(H122=0,,"Error: Total assets less total liabilities do not equal total net position. Account numbers 382-360-362=0  The amount of the formula is in the cell to the right")</f>
        <v>0</v>
      </c>
      <c r="H122" s="406">
        <f>F111-F112-F122</f>
        <v>0</v>
      </c>
      <c r="I122" s="72"/>
      <c r="J122" s="72"/>
      <c r="K122"/>
      <c r="L122" s="550"/>
    </row>
    <row r="123" spans="1:123" ht="26.25" customHeight="1" x14ac:dyDescent="0.3">
      <c r="A123" s="100"/>
      <c r="B123" s="481" t="s">
        <v>174</v>
      </c>
      <c r="C123" s="482"/>
      <c r="D123" s="494"/>
      <c r="E123" s="480"/>
      <c r="F123" s="480"/>
      <c r="G123" s="480"/>
      <c r="H123" s="17"/>
      <c r="I123" s="72"/>
      <c r="J123" s="72"/>
      <c r="K123"/>
      <c r="L123" s="550"/>
    </row>
    <row r="124" spans="1:123" s="18" customFormat="1" ht="84.6" customHeight="1" x14ac:dyDescent="0.3">
      <c r="A124" s="100"/>
      <c r="B124" s="1091" t="s">
        <v>813</v>
      </c>
      <c r="C124" s="1091"/>
      <c r="D124" s="1091"/>
      <c r="E124" s="489"/>
      <c r="F124" s="489"/>
      <c r="G124" s="489"/>
      <c r="H124" s="17"/>
      <c r="I124" s="72"/>
      <c r="J124" s="72"/>
      <c r="K124"/>
      <c r="L124" s="550"/>
      <c r="M124"/>
      <c r="O124" s="187"/>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734</v>
      </c>
      <c r="D125" s="21" t="s">
        <v>735</v>
      </c>
      <c r="E125" s="373" t="e">
        <f>INDEX('PY1 Data(H)'!$A$1:$CZ$265,MATCH('Unit Data from Audit Worksheet'!$A125,'PY1 Data(H)'!$A$1:$A$258,0),MATCH('Unit Data from Audit Worksheet'!$D$2,'PY1 Data(H)'!$A$1:$CZ$1,0))</f>
        <v>#N/A</v>
      </c>
      <c r="F125" s="808">
        <v>0</v>
      </c>
      <c r="G125" s="409"/>
      <c r="H125" s="17"/>
      <c r="I125" s="72"/>
      <c r="J125" s="72"/>
      <c r="K125"/>
      <c r="L125" s="550"/>
    </row>
    <row r="126" spans="1:123" ht="81" customHeight="1" x14ac:dyDescent="0.3">
      <c r="A126" s="100">
        <v>84</v>
      </c>
      <c r="B126" s="961" t="s">
        <v>1957</v>
      </c>
      <c r="C126" s="4" t="s">
        <v>734</v>
      </c>
      <c r="D126" s="26" t="s">
        <v>151</v>
      </c>
      <c r="E126" s="373" t="e">
        <f>INDEX('PY1 Data(H)'!$A$1:$CZ$265,MATCH('Unit Data from Audit Worksheet'!$A126,'PY1 Data(H)'!$A$1:$A$258,0),MATCH('Unit Data from Audit Worksheet'!$D$2,'PY1 Data(H)'!$A$1:$CZ$1,0))</f>
        <v>#N/A</v>
      </c>
      <c r="F126" s="808">
        <v>0</v>
      </c>
      <c r="G126" s="403">
        <f>IF(F126&gt;=F125,,"Error: Charges for services exceed total operating revenues. Account numbers 88&gt;84")</f>
        <v>0</v>
      </c>
      <c r="H126" s="17"/>
      <c r="I126" s="72"/>
      <c r="J126" s="72"/>
      <c r="K126"/>
      <c r="L126" s="550"/>
    </row>
    <row r="127" spans="1:123" ht="78" customHeight="1" x14ac:dyDescent="0.3">
      <c r="A127" s="100">
        <v>49</v>
      </c>
      <c r="B127" s="961" t="s">
        <v>1957</v>
      </c>
      <c r="C127" s="4" t="s">
        <v>734</v>
      </c>
      <c r="D127" s="26" t="s">
        <v>152</v>
      </c>
      <c r="E127" s="373" t="e">
        <f>INDEX('PY1 Data(H)'!$A$1:$CZ$265,MATCH('Unit Data from Audit Worksheet'!$A127,'PY1 Data(H)'!$A$1:$A$258,0),MATCH('Unit Data from Audit Worksheet'!$D$2,'PY1 Data(H)'!$A$1:$CZ$1,0))</f>
        <v>#N/A</v>
      </c>
      <c r="F127" s="808">
        <v>0</v>
      </c>
      <c r="G127" s="403">
        <f>IF(F127&lt;0,"Error: Enter as positive.",)</f>
        <v>0</v>
      </c>
      <c r="H127" s="17"/>
      <c r="I127" s="72"/>
      <c r="J127" s="72"/>
      <c r="K127"/>
      <c r="L127" s="550"/>
    </row>
    <row r="128" spans="1:123" ht="87.6" customHeight="1" x14ac:dyDescent="0.3">
      <c r="A128" s="100">
        <v>85</v>
      </c>
      <c r="B128" s="961" t="s">
        <v>1957</v>
      </c>
      <c r="C128" s="4" t="s">
        <v>734</v>
      </c>
      <c r="D128" s="26" t="s">
        <v>153</v>
      </c>
      <c r="E128" s="373" t="e">
        <f>INDEX('PY1 Data(H)'!$A$1:$CZ$265,MATCH('Unit Data from Audit Worksheet'!$A128,'PY1 Data(H)'!$A$1:$A$258,0),MATCH('Unit Data from Audit Worksheet'!$D$2,'PY1 Data(H)'!$A$1:$CZ$1,0))</f>
        <v>#N/A</v>
      </c>
      <c r="F128" s="808">
        <v>0</v>
      </c>
      <c r="G128" s="403">
        <f>IF(F128&lt;0,"Error: Enter as positive.",)</f>
        <v>0</v>
      </c>
      <c r="H128" s="17"/>
      <c r="I128" s="72"/>
      <c r="J128" s="72"/>
      <c r="K128"/>
      <c r="L128" s="550"/>
    </row>
    <row r="129" spans="1:123" ht="75.599999999999994" customHeight="1" x14ac:dyDescent="0.3">
      <c r="A129" s="100">
        <v>89</v>
      </c>
      <c r="B129" s="961" t="s">
        <v>1957</v>
      </c>
      <c r="C129" s="4" t="s">
        <v>734</v>
      </c>
      <c r="D129" s="26" t="s">
        <v>154</v>
      </c>
      <c r="E129" s="373" t="e">
        <f>INDEX('PY1 Data(H)'!$A$1:$CZ$265,MATCH('Unit Data from Audit Worksheet'!$A129,'PY1 Data(H)'!$A$1:$A$258,0),MATCH('Unit Data from Audit Worksheet'!$D$2,'PY1 Data(H)'!$A$1:$CZ$1,0))</f>
        <v>#N/A</v>
      </c>
      <c r="F129" s="808">
        <v>0</v>
      </c>
      <c r="G129" s="403">
        <f>IF(F129&lt;0,"Error: Enter as positive.",)</f>
        <v>0</v>
      </c>
      <c r="H129" s="404"/>
      <c r="I129" s="72"/>
      <c r="J129" s="72"/>
      <c r="K129"/>
      <c r="L129" s="550"/>
    </row>
    <row r="130" spans="1:123" ht="79.2" customHeight="1" x14ac:dyDescent="0.3">
      <c r="A130" s="100">
        <v>350</v>
      </c>
      <c r="B130" s="4" t="s">
        <v>55</v>
      </c>
      <c r="C130" s="4" t="s">
        <v>734</v>
      </c>
      <c r="D130" s="21" t="s">
        <v>736</v>
      </c>
      <c r="E130" s="373" t="e">
        <f>INDEX('PY1 Data(H)'!$A$1:$CZ$265,MATCH('Unit Data from Audit Worksheet'!$A130,'PY1 Data(H)'!$A$1:$A$258,0),MATCH('Unit Data from Audit Worksheet'!$D$2,'PY1 Data(H)'!$A$1:$CZ$1,0))</f>
        <v>#N/A</v>
      </c>
      <c r="F130" s="808">
        <v>0</v>
      </c>
      <c r="G130" s="409"/>
      <c r="H130" s="404"/>
      <c r="I130" s="72"/>
      <c r="J130" s="72"/>
      <c r="K130"/>
      <c r="L130" s="550"/>
    </row>
    <row r="131" spans="1:123" ht="66" customHeight="1" x14ac:dyDescent="0.3">
      <c r="A131" s="100">
        <v>351</v>
      </c>
      <c r="B131" s="961" t="s">
        <v>1957</v>
      </c>
      <c r="C131" s="4" t="s">
        <v>734</v>
      </c>
      <c r="D131" s="21" t="s">
        <v>737</v>
      </c>
      <c r="E131" s="373" t="e">
        <f>INDEX('PY1 Data(H)'!$A$1:$CZ$265,MATCH('Unit Data from Audit Worksheet'!$A131,'PY1 Data(H)'!$A$1:$A$258,0),MATCH('Unit Data from Audit Worksheet'!$D$2,'PY1 Data(H)'!$A$1:$CZ$1,0))</f>
        <v>#N/A</v>
      </c>
      <c r="F131" s="808">
        <v>0</v>
      </c>
      <c r="G131" s="403">
        <f t="shared" ref="G131:G136" si="2">IF(F131&lt;0,"Error: Enter as positive.",)</f>
        <v>0</v>
      </c>
      <c r="H131" s="404"/>
      <c r="I131" s="72"/>
      <c r="J131" s="72"/>
      <c r="K131"/>
      <c r="L131" s="550"/>
    </row>
    <row r="132" spans="1:123" ht="93.75" customHeight="1" x14ac:dyDescent="0.3">
      <c r="A132" s="100">
        <v>191</v>
      </c>
      <c r="B132" s="4" t="s">
        <v>56</v>
      </c>
      <c r="C132" s="4" t="s">
        <v>734</v>
      </c>
      <c r="D132" s="21" t="s">
        <v>738</v>
      </c>
      <c r="E132" s="373" t="e">
        <f>INDEX('PY1 Data(H)'!$A$1:$CZ$265,MATCH('Unit Data from Audit Worksheet'!$A132,'PY1 Data(H)'!$A$1:$A$258,0),MATCH('Unit Data from Audit Worksheet'!$D$2,'PY1 Data(H)'!$A$1:$CZ$1,0))</f>
        <v>#N/A</v>
      </c>
      <c r="F132" s="808">
        <v>0</v>
      </c>
      <c r="G132" s="403">
        <f t="shared" si="2"/>
        <v>0</v>
      </c>
      <c r="H132" s="404"/>
      <c r="I132" s="72"/>
      <c r="J132" s="72"/>
      <c r="K132"/>
      <c r="L132" s="550"/>
    </row>
    <row r="133" spans="1:123" ht="81.599999999999994" customHeight="1" x14ac:dyDescent="0.3">
      <c r="A133" s="100">
        <v>1053</v>
      </c>
      <c r="B133" s="792" t="s">
        <v>587</v>
      </c>
      <c r="C133" s="792" t="s">
        <v>1514</v>
      </c>
      <c r="D133" s="793" t="s">
        <v>1552</v>
      </c>
      <c r="E133" s="373" t="e">
        <f>INDEX('PY1 Data(H)'!$A$1:$CZ$265,MATCH('Unit Data from Audit Worksheet'!$A133,'PY1 Data(H)'!$A$1:$A$258,0),MATCH('Unit Data from Audit Worksheet'!$D$2,'PY1 Data(H)'!$A$1:$CZ$1,0))</f>
        <v>#N/A</v>
      </c>
      <c r="F133" s="808">
        <v>0</v>
      </c>
      <c r="G133" s="403"/>
      <c r="H133" s="404"/>
      <c r="I133" s="72"/>
      <c r="J133" s="72"/>
      <c r="K133" s="180"/>
      <c r="L133" s="550"/>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734</v>
      </c>
      <c r="D134" s="26" t="s">
        <v>660</v>
      </c>
      <c r="E134" s="373" t="e">
        <f>INDEX('PY1 Data(H)'!$A$1:$CZ$265,MATCH('Unit Data from Audit Worksheet'!$A134,'PY1 Data(H)'!$A$1:$A$258,0),MATCH('Unit Data from Audit Worksheet'!$D$2,'PY1 Data(H)'!$A$1:$CZ$1,0))</f>
        <v>#N/A</v>
      </c>
      <c r="F134" s="808">
        <v>0</v>
      </c>
      <c r="G134" s="403">
        <f t="shared" si="2"/>
        <v>0</v>
      </c>
      <c r="H134" s="18"/>
      <c r="I134" s="17"/>
      <c r="J134" s="17"/>
      <c r="K134"/>
      <c r="L134" s="550"/>
    </row>
    <row r="135" spans="1:123" ht="79.95" customHeight="1" x14ac:dyDescent="0.3">
      <c r="A135" s="100">
        <v>986</v>
      </c>
      <c r="B135" s="961" t="s">
        <v>1958</v>
      </c>
      <c r="C135" s="375" t="s">
        <v>734</v>
      </c>
      <c r="D135" s="26" t="s">
        <v>594</v>
      </c>
      <c r="E135" s="373" t="e">
        <f>INDEX('PY1 Data(H)'!$A$1:$CZ$265,MATCH('Unit Data from Audit Worksheet'!$A135,'PY1 Data(H)'!$A$1:$A$258,0),MATCH('Unit Data from Audit Worksheet'!$D$2,'PY1 Data(H)'!$A$1:$CZ$1,0))</f>
        <v>#N/A</v>
      </c>
      <c r="F135" s="808">
        <v>0</v>
      </c>
      <c r="G135" s="403">
        <f t="shared" si="2"/>
        <v>0</v>
      </c>
      <c r="H135" s="404"/>
      <c r="I135" s="72"/>
      <c r="J135" s="72"/>
      <c r="K135"/>
      <c r="L135" s="550"/>
    </row>
    <row r="136" spans="1:123" ht="79.2" customHeight="1" x14ac:dyDescent="0.3">
      <c r="A136" s="100">
        <v>353</v>
      </c>
      <c r="B136" s="4" t="s">
        <v>67</v>
      </c>
      <c r="C136" s="4" t="s">
        <v>734</v>
      </c>
      <c r="D136" s="26" t="s">
        <v>135</v>
      </c>
      <c r="E136" s="373" t="e">
        <f>INDEX('PY1 Data(H)'!$A$1:$CZ$265,MATCH('Unit Data from Audit Worksheet'!$A136,'PY1 Data(H)'!$A$1:$A$258,0),MATCH('Unit Data from Audit Worksheet'!$D$2,'PY1 Data(H)'!$A$1:$CZ$1,0))</f>
        <v>#N/A</v>
      </c>
      <c r="F136" s="808">
        <v>0</v>
      </c>
      <c r="G136" s="403">
        <f t="shared" si="2"/>
        <v>0</v>
      </c>
      <c r="H136" s="404"/>
      <c r="I136" s="72"/>
      <c r="J136" s="72"/>
      <c r="K136"/>
      <c r="L136" s="550"/>
    </row>
    <row r="137" spans="1:123" ht="138" customHeight="1" x14ac:dyDescent="0.3">
      <c r="A137" s="100">
        <v>50</v>
      </c>
      <c r="B137" s="4" t="s">
        <v>63</v>
      </c>
      <c r="C137" s="4" t="s">
        <v>734</v>
      </c>
      <c r="D137" s="385" t="s">
        <v>739</v>
      </c>
      <c r="E137" s="373" t="e">
        <f>INDEX('PY1 Data(H)'!$A$1:$CZ$265,MATCH('Unit Data from Audit Worksheet'!$A137,'PY1 Data(H)'!$A$1:$A$258,0),MATCH('Unit Data from Audit Worksheet'!$D$2,'PY1 Data(H)'!$A$1:$CZ$1,0))</f>
        <v>#N/A</v>
      </c>
      <c r="F137" s="808">
        <v>0</v>
      </c>
      <c r="G137" s="403">
        <f>IF(H137=0,,"Error: Total revenues less total expenses do not equal total change in net position. Account number 84-85+350-351+191+352-353-50=0  The amount of the formula is in the cell to the right")</f>
        <v>0</v>
      </c>
      <c r="H137" s="406">
        <f>F126-F128+F130-F131+F132+F134-F136-F137</f>
        <v>0</v>
      </c>
      <c r="I137" s="72"/>
      <c r="J137" s="72"/>
      <c r="K137"/>
      <c r="L137" s="550"/>
    </row>
    <row r="138" spans="1:123" ht="138" customHeight="1" x14ac:dyDescent="0.3">
      <c r="A138" s="100">
        <v>377</v>
      </c>
      <c r="B138" s="4" t="s">
        <v>67</v>
      </c>
      <c r="C138" s="4" t="s">
        <v>734</v>
      </c>
      <c r="D138" s="385" t="s">
        <v>740</v>
      </c>
      <c r="E138" s="373" t="e">
        <f>INDEX('PY1 Data(H)'!$A$1:$CZ$265,MATCH('Unit Data from Audit Worksheet'!$A138,'PY1 Data(H)'!$A$1:$A$258,0),MATCH('Unit Data from Audit Worksheet'!$D$2,'PY1 Data(H)'!$A$1:$CZ$1,0))</f>
        <v>#N/A</v>
      </c>
      <c r="F138" s="808">
        <v>0</v>
      </c>
      <c r="G138" s="766" t="e">
        <f>IF(F103-F137-F138=E103,,"Error: Beginning Balance does not agree with our records.  Acct #s (83-50-377)=prior year 83 The amount of the formula is in the cell to the right")</f>
        <v>#N/A</v>
      </c>
      <c r="H138" s="767" t="e">
        <f>+F103-F137-F138-E103</f>
        <v>#N/A</v>
      </c>
      <c r="I138" s="1041" t="e">
        <f>IF(H138=0," ","If the out of balance is because prior years data is not populated in cell E103, disregard the error message. Do not include prior year's ending balance in cell F138.")</f>
        <v>#N/A</v>
      </c>
      <c r="J138" s="774"/>
      <c r="K138"/>
      <c r="L138" s="550"/>
    </row>
    <row r="139" spans="1:123" ht="78.599999999999994" customHeight="1" x14ac:dyDescent="0.3">
      <c r="A139" s="100">
        <v>537</v>
      </c>
      <c r="B139" s="375" t="s">
        <v>58</v>
      </c>
      <c r="C139" s="375" t="s">
        <v>734</v>
      </c>
      <c r="D139" s="372" t="s">
        <v>1532</v>
      </c>
      <c r="E139" s="807" t="e">
        <f>INDEX('PY1 Data(H)'!$A$1:$CZ$265,MATCH('Unit Data from Audit Worksheet'!$A139,'PY1 Data(H)'!$A$1:$A$258,0),MATCH('Unit Data from Audit Worksheet'!$D$2,'PY1 Data(H)'!$A$1:$CZ$1,0))</f>
        <v>#N/A</v>
      </c>
      <c r="F139" s="185"/>
      <c r="G139" s="403"/>
      <c r="H139" s="404"/>
      <c r="I139" s="405"/>
      <c r="J139" s="405"/>
      <c r="K139"/>
      <c r="L139" s="550"/>
    </row>
    <row r="140" spans="1:123" ht="96.75" customHeight="1" x14ac:dyDescent="0.3">
      <c r="A140" s="100">
        <v>538</v>
      </c>
      <c r="B140" s="375" t="s">
        <v>58</v>
      </c>
      <c r="C140" s="375" t="s">
        <v>734</v>
      </c>
      <c r="D140" s="372" t="s">
        <v>1533</v>
      </c>
      <c r="E140" s="807" t="e">
        <f>INDEX('PY1 Data(H)'!$A$1:$CZ$265,MATCH('Unit Data from Audit Worksheet'!$A140,'PY1 Data(H)'!$A$1:$A$258,0),MATCH('Unit Data from Audit Worksheet'!$D$2,'PY1 Data(H)'!$A$1:$CZ$1,0))</f>
        <v>#N/A</v>
      </c>
      <c r="F140" s="185"/>
      <c r="G140" s="403"/>
      <c r="H140" s="404"/>
      <c r="I140" s="405"/>
      <c r="J140" s="405"/>
      <c r="K140"/>
      <c r="L140" s="550"/>
    </row>
    <row r="141" spans="1:123" ht="26.25" customHeight="1" x14ac:dyDescent="0.3">
      <c r="A141" s="100"/>
      <c r="B141" s="715" t="s">
        <v>6</v>
      </c>
      <c r="C141" s="502"/>
      <c r="D141" s="470"/>
      <c r="E141" s="488"/>
      <c r="F141" s="488"/>
      <c r="G141" s="489"/>
      <c r="H141" s="17"/>
      <c r="I141" s="72"/>
      <c r="J141" s="72"/>
      <c r="K141"/>
      <c r="L141" s="550"/>
    </row>
    <row r="142" spans="1:123" ht="91.95" customHeight="1" x14ac:dyDescent="0.3">
      <c r="A142" s="100">
        <v>97</v>
      </c>
      <c r="B142" s="4" t="s">
        <v>67</v>
      </c>
      <c r="C142" s="4" t="s">
        <v>741</v>
      </c>
      <c r="D142" s="26" t="s">
        <v>155</v>
      </c>
      <c r="E142" s="373" t="e">
        <f>INDEX('PY1 Data(H)'!$A$1:$CZ$265,MATCH('Unit Data from Audit Worksheet'!$A142,'PY1 Data(H)'!$A$1:$A$258,0),MATCH('Unit Data from Audit Worksheet'!$D$2,'PY1 Data(H)'!$A$1:$CZ$1,0))</f>
        <v>#N/A</v>
      </c>
      <c r="F142" s="808">
        <v>0</v>
      </c>
      <c r="G142" s="409"/>
      <c r="H142" s="17"/>
      <c r="I142" s="72"/>
      <c r="J142" s="72"/>
      <c r="K142"/>
      <c r="L142" s="550"/>
    </row>
    <row r="143" spans="1:123" ht="72.599999999999994" customHeight="1" x14ac:dyDescent="0.3">
      <c r="A143" s="100">
        <v>93</v>
      </c>
      <c r="B143" s="961" t="s">
        <v>1962</v>
      </c>
      <c r="C143" s="4" t="s">
        <v>741</v>
      </c>
      <c r="D143" s="26" t="s">
        <v>151</v>
      </c>
      <c r="E143" s="373" t="e">
        <f>INDEX('PY1 Data(H)'!$A$1:$CZ$265,MATCH('Unit Data from Audit Worksheet'!$A143,'PY1 Data(H)'!$A$1:$A$258,0),MATCH('Unit Data from Audit Worksheet'!$D$2,'PY1 Data(H)'!$A$1:$CZ$1,0))</f>
        <v>#N/A</v>
      </c>
      <c r="F143" s="808">
        <v>0</v>
      </c>
      <c r="G143" s="403">
        <f>IF(F142&gt;F143,"Error: Charges for services exceed total operating revenues. Account number 97&gt;93",)</f>
        <v>0</v>
      </c>
      <c r="H143" s="404"/>
      <c r="I143" s="72"/>
      <c r="J143" s="72"/>
      <c r="K143"/>
      <c r="L143" s="550"/>
    </row>
    <row r="144" spans="1:123" ht="76.2" customHeight="1" x14ac:dyDescent="0.3">
      <c r="A144" s="100">
        <v>99</v>
      </c>
      <c r="B144" s="4" t="s">
        <v>57</v>
      </c>
      <c r="C144" s="4" t="s">
        <v>741</v>
      </c>
      <c r="D144" s="26" t="s">
        <v>156</v>
      </c>
      <c r="E144" s="373" t="e">
        <f>INDEX('PY1 Data(H)'!$A$1:$CZ$265,MATCH('Unit Data from Audit Worksheet'!$A144,'PY1 Data(H)'!$A$1:$A$258,0),MATCH('Unit Data from Audit Worksheet'!$D$2,'PY1 Data(H)'!$A$1:$CZ$1,0))</f>
        <v>#N/A</v>
      </c>
      <c r="F144" s="808">
        <v>0</v>
      </c>
      <c r="G144" s="403">
        <f t="shared" ref="G144:G153" si="3">IF(F144&lt;0,"Error: Enter as positive.",)</f>
        <v>0</v>
      </c>
      <c r="H144" s="404"/>
      <c r="I144" s="72"/>
      <c r="J144" s="72"/>
      <c r="K144"/>
      <c r="L144" s="550"/>
    </row>
    <row r="145" spans="1:123" ht="73.2" customHeight="1" x14ac:dyDescent="0.3">
      <c r="A145" s="100">
        <v>52</v>
      </c>
      <c r="B145" s="961" t="s">
        <v>1963</v>
      </c>
      <c r="C145" s="4" t="s">
        <v>741</v>
      </c>
      <c r="D145" s="26" t="s">
        <v>152</v>
      </c>
      <c r="E145" s="373" t="e">
        <f>INDEX('PY1 Data(H)'!$A$1:$CZ$265,MATCH('Unit Data from Audit Worksheet'!$A145,'PY1 Data(H)'!$A$1:$A$258,0),MATCH('Unit Data from Audit Worksheet'!$D$2,'PY1 Data(H)'!$A$1:$CZ$1,0))</f>
        <v>#N/A</v>
      </c>
      <c r="F145" s="808">
        <v>0</v>
      </c>
      <c r="G145" s="403">
        <f t="shared" si="3"/>
        <v>0</v>
      </c>
      <c r="H145" s="404"/>
      <c r="I145" s="72"/>
      <c r="J145" s="72"/>
      <c r="K145"/>
      <c r="L145" s="550"/>
    </row>
    <row r="146" spans="1:123" ht="81" customHeight="1" x14ac:dyDescent="0.3">
      <c r="A146" s="100">
        <v>94</v>
      </c>
      <c r="B146" s="961" t="s">
        <v>1962</v>
      </c>
      <c r="C146" s="4" t="s">
        <v>741</v>
      </c>
      <c r="D146" s="26" t="s">
        <v>153</v>
      </c>
      <c r="E146" s="373" t="e">
        <f>INDEX('PY1 Data(H)'!$A$1:$CZ$265,MATCH('Unit Data from Audit Worksheet'!$A146,'PY1 Data(H)'!$A$1:$A$258,0),MATCH('Unit Data from Audit Worksheet'!$D$2,'PY1 Data(H)'!$A$1:$CZ$1,0))</f>
        <v>#N/A</v>
      </c>
      <c r="F146" s="808">
        <v>0</v>
      </c>
      <c r="G146" s="403">
        <f t="shared" si="3"/>
        <v>0</v>
      </c>
      <c r="H146" s="404"/>
      <c r="I146" s="72"/>
      <c r="J146" s="72"/>
      <c r="K146"/>
      <c r="L146" s="550"/>
    </row>
    <row r="147" spans="1:123" ht="85.95" customHeight="1" x14ac:dyDescent="0.3">
      <c r="A147" s="100">
        <v>98</v>
      </c>
      <c r="B147" s="961" t="s">
        <v>1962</v>
      </c>
      <c r="C147" s="4" t="s">
        <v>741</v>
      </c>
      <c r="D147" s="26" t="s">
        <v>154</v>
      </c>
      <c r="E147" s="373" t="e">
        <f>INDEX('PY1 Data(H)'!$A$1:$CZ$265,MATCH('Unit Data from Audit Worksheet'!$A147,'PY1 Data(H)'!$A$1:$A$258,0),MATCH('Unit Data from Audit Worksheet'!$D$2,'PY1 Data(H)'!$A$1:$CZ$1,0))</f>
        <v>#N/A</v>
      </c>
      <c r="F147" s="808">
        <v>0</v>
      </c>
      <c r="G147" s="403">
        <f t="shared" si="3"/>
        <v>0</v>
      </c>
      <c r="H147" s="404"/>
      <c r="I147" s="72"/>
      <c r="J147" s="72"/>
      <c r="K147"/>
      <c r="L147" s="550"/>
    </row>
    <row r="148" spans="1:123" ht="84" customHeight="1" x14ac:dyDescent="0.3">
      <c r="A148" s="100">
        <v>363</v>
      </c>
      <c r="B148" s="4" t="s">
        <v>55</v>
      </c>
      <c r="C148" s="4" t="s">
        <v>741</v>
      </c>
      <c r="D148" s="21" t="s">
        <v>742</v>
      </c>
      <c r="E148" s="373" t="e">
        <f>INDEX('PY1 Data(H)'!$A$1:$CZ$265,MATCH('Unit Data from Audit Worksheet'!$A148,'PY1 Data(H)'!$A$1:$A$258,0),MATCH('Unit Data from Audit Worksheet'!$D$2,'PY1 Data(H)'!$A$1:$CZ$1,0))</f>
        <v>#N/A</v>
      </c>
      <c r="F148" s="808">
        <v>0</v>
      </c>
      <c r="G148" s="403">
        <f t="shared" si="3"/>
        <v>0</v>
      </c>
      <c r="H148" s="404"/>
      <c r="I148" s="72"/>
      <c r="J148" s="72"/>
      <c r="K148"/>
      <c r="L148" s="550"/>
    </row>
    <row r="149" spans="1:123" ht="76.95" customHeight="1" x14ac:dyDescent="0.3">
      <c r="A149" s="100">
        <v>364</v>
      </c>
      <c r="B149" s="961" t="s">
        <v>1965</v>
      </c>
      <c r="C149" s="4" t="s">
        <v>741</v>
      </c>
      <c r="D149" s="21" t="s">
        <v>743</v>
      </c>
      <c r="E149" s="373" t="e">
        <f>INDEX('PY1 Data(H)'!$A$1:$CZ$265,MATCH('Unit Data from Audit Worksheet'!$A149,'PY1 Data(H)'!$A$1:$A$258,0),MATCH('Unit Data from Audit Worksheet'!$D$2,'PY1 Data(H)'!$A$1:$CZ$1,0))</f>
        <v>#N/A</v>
      </c>
      <c r="F149" s="808">
        <v>0</v>
      </c>
      <c r="G149" s="403">
        <f t="shared" si="3"/>
        <v>0</v>
      </c>
      <c r="H149" s="404"/>
      <c r="I149" s="72"/>
      <c r="J149" s="72"/>
      <c r="K149"/>
      <c r="L149" s="550"/>
    </row>
    <row r="150" spans="1:123" ht="86.4" customHeight="1" x14ac:dyDescent="0.3">
      <c r="A150" s="100">
        <v>192</v>
      </c>
      <c r="B150" s="4" t="s">
        <v>57</v>
      </c>
      <c r="C150" s="4" t="s">
        <v>741</v>
      </c>
      <c r="D150" s="21" t="s">
        <v>744</v>
      </c>
      <c r="E150" s="373" t="e">
        <f>INDEX('PY1 Data(H)'!$A$1:$CZ$265,MATCH('Unit Data from Audit Worksheet'!$A150,'PY1 Data(H)'!$A$1:$A$258,0),MATCH('Unit Data from Audit Worksheet'!$D$2,'PY1 Data(H)'!$A$1:$CZ$1,0))</f>
        <v>#N/A</v>
      </c>
      <c r="F150" s="808">
        <v>0</v>
      </c>
      <c r="G150" s="403">
        <f t="shared" si="3"/>
        <v>0</v>
      </c>
      <c r="H150" s="404"/>
      <c r="I150" s="72"/>
      <c r="J150" s="72"/>
      <c r="K150"/>
      <c r="L150" s="550"/>
    </row>
    <row r="151" spans="1:123" ht="80.400000000000006" customHeight="1" x14ac:dyDescent="0.3">
      <c r="A151" s="100">
        <v>1054</v>
      </c>
      <c r="B151" s="375" t="s">
        <v>587</v>
      </c>
      <c r="C151" s="375" t="s">
        <v>1512</v>
      </c>
      <c r="D151" s="793" t="s">
        <v>1553</v>
      </c>
      <c r="E151" s="373" t="e">
        <f>INDEX('PY1 Data(H)'!$A$1:$CZ$265,MATCH('Unit Data from Audit Worksheet'!$A151,'PY1 Data(H)'!$A$1:$A$258,0),MATCH('Unit Data from Audit Worksheet'!$D$2,'PY1 Data(H)'!$A$1:$CZ$1,0))</f>
        <v>#N/A</v>
      </c>
      <c r="F151" s="808">
        <v>0</v>
      </c>
      <c r="G151" s="403"/>
      <c r="H151" s="404"/>
      <c r="I151" s="72"/>
      <c r="J151" s="72"/>
      <c r="K151" s="180"/>
      <c r="L151" s="550"/>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741</v>
      </c>
      <c r="D152" s="21" t="s">
        <v>745</v>
      </c>
      <c r="E152" s="373" t="e">
        <f>INDEX('PY1 Data(H)'!$A$1:$CZ$265,MATCH('Unit Data from Audit Worksheet'!$A152,'PY1 Data(H)'!$A$1:$A$258,0),MATCH('Unit Data from Audit Worksheet'!$D$2,'PY1 Data(H)'!$A$1:$CZ$1,0))</f>
        <v>#N/A</v>
      </c>
      <c r="F152" s="808">
        <v>0</v>
      </c>
      <c r="G152" s="403">
        <f t="shared" si="3"/>
        <v>0</v>
      </c>
      <c r="H152" s="404"/>
      <c r="I152" s="72"/>
      <c r="J152" s="72"/>
      <c r="K152"/>
      <c r="L152" s="550"/>
    </row>
    <row r="153" spans="1:123" ht="84.75" customHeight="1" x14ac:dyDescent="0.3">
      <c r="A153" s="100">
        <v>366</v>
      </c>
      <c r="B153" s="961" t="s">
        <v>1962</v>
      </c>
      <c r="C153" s="4" t="s">
        <v>741</v>
      </c>
      <c r="D153" s="21" t="s">
        <v>746</v>
      </c>
      <c r="E153" s="373" t="e">
        <f>INDEX('PY1 Data(H)'!$A$1:$CZ$265,MATCH('Unit Data from Audit Worksheet'!$A153,'PY1 Data(H)'!$A$1:$A$258,0),MATCH('Unit Data from Audit Worksheet'!$D$2,'PY1 Data(H)'!$A$1:$CZ$1,0))</f>
        <v>#N/A</v>
      </c>
      <c r="F153" s="808">
        <v>0</v>
      </c>
      <c r="G153" s="403">
        <f t="shared" si="3"/>
        <v>0</v>
      </c>
      <c r="H153" s="404"/>
      <c r="I153" s="72"/>
      <c r="J153" s="72"/>
      <c r="K153"/>
      <c r="L153" s="550"/>
    </row>
    <row r="154" spans="1:123" s="18" customFormat="1" ht="138" customHeight="1" x14ac:dyDescent="0.3">
      <c r="A154" s="100">
        <v>53</v>
      </c>
      <c r="B154" s="375" t="s">
        <v>65</v>
      </c>
      <c r="C154" s="375" t="s">
        <v>741</v>
      </c>
      <c r="D154" s="385" t="s">
        <v>747</v>
      </c>
      <c r="E154" s="373" t="e">
        <f>INDEX('PY1 Data(H)'!$A$1:$CZ$265,MATCH('Unit Data from Audit Worksheet'!$A154,'PY1 Data(H)'!$A$1:$A$258,0),MATCH('Unit Data from Audit Worksheet'!$D$2,'PY1 Data(H)'!$A$1:$CZ$1,0))</f>
        <v>#N/A</v>
      </c>
      <c r="F154" s="808">
        <v>0</v>
      </c>
      <c r="G154" s="403">
        <f>IF(H154=0,,"Error: Total revenues less total expenses do not equal total change in net position. Account number 93-94+363-364+192+365-366-53=0  The amount of the formula is in the cell to the right")</f>
        <v>0</v>
      </c>
      <c r="H154" s="406">
        <f>+F143-F146+F148-F149+F150+F152-F153-F154</f>
        <v>0</v>
      </c>
      <c r="I154" s="72"/>
      <c r="J154" s="72"/>
      <c r="K154"/>
      <c r="L154" s="550"/>
      <c r="M154"/>
      <c r="O154" s="187"/>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9" t="s">
        <v>55</v>
      </c>
      <c r="C155" s="375" t="s">
        <v>741</v>
      </c>
      <c r="D155" s="385" t="s">
        <v>748</v>
      </c>
      <c r="E155" s="373" t="e">
        <f>INDEX('PY1 Data(H)'!$A$1:$CZ$265,MATCH('Unit Data from Audit Worksheet'!$A155,'PY1 Data(H)'!$A$1:$A$258,0),MATCH('Unit Data from Audit Worksheet'!$D$2,'PY1 Data(H)'!$A$1:$CZ$1,0))</f>
        <v>#N/A</v>
      </c>
      <c r="F155" s="808">
        <v>0</v>
      </c>
      <c r="G155" s="764" t="e">
        <f>IF(F122-F154-F155=E122,,"Error: Beginning Balance does not agree with our records.  Acct #s (362-53-378)=prior year 362  The amount of the formula is in the cell to the right")</f>
        <v>#N/A</v>
      </c>
      <c r="H155" s="767" t="e">
        <f>+F122-F154-F155-E122</f>
        <v>#N/A</v>
      </c>
      <c r="I155" s="1042" t="e">
        <f>IF(H155=0," ","If the out of balance is because prior years data is not populated in cell E122, disregard the error message. Do not include prior year's ending balance in cell F155.")</f>
        <v>#N/A</v>
      </c>
      <c r="J155" s="774"/>
      <c r="K155"/>
      <c r="L155" s="550"/>
      <c r="M155"/>
      <c r="O155" s="187"/>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92" t="s">
        <v>427</v>
      </c>
      <c r="C156" s="715"/>
      <c r="D156" s="495"/>
      <c r="E156" s="496"/>
      <c r="F156" s="496"/>
      <c r="G156" s="477"/>
      <c r="H156" s="17"/>
      <c r="I156" s="72"/>
      <c r="J156" s="72"/>
      <c r="K156"/>
      <c r="L156" s="550"/>
    </row>
    <row r="157" spans="1:123" ht="13.5" customHeight="1" x14ac:dyDescent="0.3">
      <c r="A157" s="100"/>
      <c r="B157" s="748" t="s">
        <v>749</v>
      </c>
      <c r="C157" s="502"/>
      <c r="D157" s="470"/>
      <c r="E157" s="497"/>
      <c r="F157" s="497"/>
      <c r="G157" s="489"/>
      <c r="H157" s="17"/>
      <c r="I157" s="72"/>
      <c r="J157" s="72"/>
      <c r="K157"/>
      <c r="L157" s="550"/>
    </row>
    <row r="158" spans="1:123" ht="17.25" customHeight="1" x14ac:dyDescent="0.3">
      <c r="A158" s="100"/>
      <c r="B158" s="493" t="s">
        <v>750</v>
      </c>
      <c r="C158" s="502"/>
      <c r="D158" s="484"/>
      <c r="E158" s="498"/>
      <c r="F158" s="498"/>
      <c r="G158" s="491"/>
      <c r="H158" s="17"/>
      <c r="I158" s="72"/>
      <c r="J158" s="72"/>
      <c r="K158"/>
      <c r="L158" s="550"/>
    </row>
    <row r="159" spans="1:123" ht="13.5" customHeight="1" x14ac:dyDescent="0.3">
      <c r="A159" s="100"/>
      <c r="B159" s="493" t="s">
        <v>23</v>
      </c>
      <c r="C159" s="502"/>
      <c r="D159" s="484"/>
      <c r="E159" s="498"/>
      <c r="F159" s="498"/>
      <c r="G159" s="491"/>
      <c r="H159" s="17"/>
      <c r="I159" s="72"/>
      <c r="J159" s="72"/>
      <c r="K159"/>
      <c r="L159" s="550"/>
    </row>
    <row r="160" spans="1:123" ht="59.25" customHeight="1" x14ac:dyDescent="0.3">
      <c r="A160" s="100">
        <v>51</v>
      </c>
      <c r="B160" s="4" t="s">
        <v>285</v>
      </c>
      <c r="C160" s="465" t="s">
        <v>751</v>
      </c>
      <c r="D160" s="21" t="s">
        <v>752</v>
      </c>
      <c r="E160" s="373" t="e">
        <f>INDEX('PY1 Data(H)'!$A$1:$CZ$265,MATCH('Unit Data from Audit Worksheet'!$A160,'PY1 Data(H)'!$A$1:$A$258,0),MATCH('Unit Data from Audit Worksheet'!$D$2,'PY1 Data(H)'!$A$1:$CZ$1,0))</f>
        <v>#N/A</v>
      </c>
      <c r="F160" s="808">
        <v>0</v>
      </c>
      <c r="G160" s="409"/>
      <c r="H160" s="17"/>
      <c r="I160" s="72"/>
      <c r="J160" s="72"/>
      <c r="K160"/>
      <c r="L160" s="550"/>
    </row>
    <row r="161" spans="1:123" ht="45" customHeight="1" x14ac:dyDescent="0.3">
      <c r="A161" s="100">
        <v>332</v>
      </c>
      <c r="B161" s="4" t="s">
        <v>36</v>
      </c>
      <c r="C161" s="465" t="s">
        <v>751</v>
      </c>
      <c r="D161" s="21" t="s">
        <v>753</v>
      </c>
      <c r="E161" s="373" t="e">
        <f>INDEX('PY1 Data(H)'!$A$1:$CZ$265,MATCH('Unit Data from Audit Worksheet'!$A161,'PY1 Data(H)'!$A$1:$A$258,0),MATCH('Unit Data from Audit Worksheet'!$D$2,'PY1 Data(H)'!$A$1:$CZ$1,0))</f>
        <v>#N/A</v>
      </c>
      <c r="F161" s="808">
        <v>0</v>
      </c>
      <c r="G161" s="403">
        <f>IF(F161&lt;0,"Error: Enter as positive.",)</f>
        <v>0</v>
      </c>
      <c r="H161" s="17"/>
      <c r="I161" s="72"/>
      <c r="J161" s="72"/>
      <c r="K161"/>
      <c r="L161" s="550"/>
    </row>
    <row r="162" spans="1:123" ht="75" customHeight="1" x14ac:dyDescent="0.3">
      <c r="A162" s="100">
        <v>331</v>
      </c>
      <c r="B162" s="961" t="s">
        <v>1957</v>
      </c>
      <c r="C162" s="465" t="s">
        <v>751</v>
      </c>
      <c r="D162" s="21" t="s">
        <v>754</v>
      </c>
      <c r="E162" s="373" t="e">
        <f>INDEX('PY1 Data(H)'!$A$1:$CZ$265,MATCH('Unit Data from Audit Worksheet'!$A162,'PY1 Data(H)'!$A$1:$A$258,0),MATCH('Unit Data from Audit Worksheet'!$D$2,'PY1 Data(H)'!$A$1:$CZ$1,0))</f>
        <v>#N/A</v>
      </c>
      <c r="F162" s="808">
        <v>0</v>
      </c>
      <c r="G162" s="403">
        <f>IF(F162&lt;0,"Error: Enter as positive.",)</f>
        <v>0</v>
      </c>
      <c r="H162" s="17"/>
      <c r="I162" s="72"/>
      <c r="J162" s="72"/>
      <c r="K162"/>
      <c r="L162" s="550"/>
    </row>
    <row r="163" spans="1:123" ht="17.399999999999999" customHeight="1" x14ac:dyDescent="0.3">
      <c r="A163" s="100"/>
      <c r="B163" s="715" t="s">
        <v>6</v>
      </c>
      <c r="C163" s="502"/>
      <c r="D163" s="493"/>
      <c r="E163" s="497"/>
      <c r="F163" s="497"/>
      <c r="G163" s="499"/>
      <c r="H163" s="17"/>
      <c r="I163" s="72"/>
      <c r="J163" s="72"/>
      <c r="K163"/>
      <c r="L163" s="550"/>
    </row>
    <row r="164" spans="1:123" ht="48" customHeight="1" x14ac:dyDescent="0.3">
      <c r="A164" s="100">
        <v>55</v>
      </c>
      <c r="B164" s="4" t="s">
        <v>58</v>
      </c>
      <c r="C164" s="465" t="s">
        <v>755</v>
      </c>
      <c r="D164" s="21" t="s">
        <v>756</v>
      </c>
      <c r="E164" s="373" t="e">
        <f>INDEX('PY1 Data(H)'!$A$1:$CZ$265,MATCH('Unit Data from Audit Worksheet'!$A164,'PY1 Data(H)'!$A$1:$A$258,0),MATCH('Unit Data from Audit Worksheet'!$D$2,'PY1 Data(H)'!$A$1:$CZ$1,0))</f>
        <v>#N/A</v>
      </c>
      <c r="F164" s="808">
        <v>0</v>
      </c>
      <c r="G164" s="409"/>
      <c r="H164" s="17"/>
      <c r="I164" s="72"/>
      <c r="J164" s="72"/>
      <c r="K164"/>
      <c r="L164" s="550"/>
    </row>
    <row r="165" spans="1:123" ht="60" customHeight="1" x14ac:dyDescent="0.3">
      <c r="A165" s="100">
        <v>101</v>
      </c>
      <c r="B165" s="4" t="s">
        <v>64</v>
      </c>
      <c r="C165" s="465" t="s">
        <v>755</v>
      </c>
      <c r="D165" s="21" t="s">
        <v>757</v>
      </c>
      <c r="E165" s="373" t="e">
        <f>INDEX('PY1 Data(H)'!$A$1:$CZ$265,MATCH('Unit Data from Audit Worksheet'!$A165,'PY1 Data(H)'!$A$1:$A$258,0),MATCH('Unit Data from Audit Worksheet'!$D$2,'PY1 Data(H)'!$A$1:$CZ$1,0))</f>
        <v>#N/A</v>
      </c>
      <c r="F165" s="808">
        <v>0</v>
      </c>
      <c r="G165" s="403">
        <f>IF(F165&lt;0,"Error: Enter as positive.",)</f>
        <v>0</v>
      </c>
      <c r="H165" s="17"/>
      <c r="I165" s="72"/>
      <c r="J165" s="72"/>
      <c r="K165"/>
      <c r="L165" s="550"/>
    </row>
    <row r="166" spans="1:123" ht="71.25" customHeight="1" x14ac:dyDescent="0.3">
      <c r="A166" s="100">
        <v>100</v>
      </c>
      <c r="B166" s="961" t="s">
        <v>1962</v>
      </c>
      <c r="C166" s="465" t="s">
        <v>755</v>
      </c>
      <c r="D166" s="21" t="s">
        <v>754</v>
      </c>
      <c r="E166" s="373" t="e">
        <f>INDEX('PY1 Data(H)'!$A$1:$CZ$265,MATCH('Unit Data from Audit Worksheet'!$A166,'PY1 Data(H)'!$A$1:$A$258,0),MATCH('Unit Data from Audit Worksheet'!$D$2,'PY1 Data(H)'!$A$1:$CZ$1,0))</f>
        <v>#N/A</v>
      </c>
      <c r="F166" s="808">
        <v>0</v>
      </c>
      <c r="G166" s="403">
        <f>IF(F166&lt;0,"Error: Enter as positive.",)</f>
        <v>0</v>
      </c>
      <c r="H166" s="17"/>
      <c r="I166" s="72"/>
      <c r="J166" s="72"/>
      <c r="K166"/>
      <c r="L166" s="550"/>
    </row>
    <row r="167" spans="1:123" ht="31.2" customHeight="1" x14ac:dyDescent="0.3">
      <c r="A167" s="100"/>
      <c r="B167" s="492" t="s">
        <v>1647</v>
      </c>
      <c r="C167" s="715"/>
      <c r="D167" s="492"/>
      <c r="E167" s="492"/>
      <c r="F167" s="492"/>
      <c r="G167" s="492"/>
      <c r="H167" s="17"/>
      <c r="I167" s="72"/>
      <c r="J167" s="72"/>
      <c r="K167" s="180"/>
      <c r="L167" s="550"/>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87">
        <v>1060</v>
      </c>
      <c r="B168" s="375" t="s">
        <v>1523</v>
      </c>
      <c r="C168" s="411"/>
      <c r="D168" s="788" t="s">
        <v>1544</v>
      </c>
      <c r="E168" s="373" t="e">
        <f>INDEX('PY1 Data(H)'!$A$1:$CZ$265,MATCH('Unit Data from Audit Worksheet'!$A168,'PY1 Data(H)'!$A$1:$A$258,0),MATCH('Unit Data from Audit Worksheet'!$D$2,'PY1 Data(H)'!$A$1:$CZ$1,0))</f>
        <v>#N/A</v>
      </c>
      <c r="F168" s="808">
        <v>0</v>
      </c>
      <c r="G168" s="403"/>
      <c r="H168" s="17"/>
      <c r="I168" s="72"/>
      <c r="J168" s="72"/>
      <c r="K168" s="180"/>
      <c r="L168" s="550"/>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87">
        <v>1061</v>
      </c>
      <c r="B169" s="375" t="s">
        <v>1523</v>
      </c>
      <c r="C169" s="411"/>
      <c r="D169" s="788" t="s">
        <v>1545</v>
      </c>
      <c r="E169" s="373" t="e">
        <f>INDEX('PY1 Data(H)'!$A$1:$CZ$265,MATCH('Unit Data from Audit Worksheet'!$A169,'PY1 Data(H)'!$A$1:$A$258,0),MATCH('Unit Data from Audit Worksheet'!$D$2,'PY1 Data(H)'!$A$1:$CZ$1,0))</f>
        <v>#N/A</v>
      </c>
      <c r="F169" s="808">
        <v>0</v>
      </c>
      <c r="G169" s="403"/>
      <c r="H169" s="17"/>
      <c r="I169" s="72"/>
      <c r="J169" s="72"/>
      <c r="K169" s="180"/>
      <c r="L169" s="550"/>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87">
        <v>1062</v>
      </c>
      <c r="B170" s="375" t="s">
        <v>1523</v>
      </c>
      <c r="C170" s="411"/>
      <c r="D170" s="788" t="s">
        <v>1945</v>
      </c>
      <c r="E170" s="373" t="e">
        <f>INDEX('PY1 Data(H)'!$A$1:$CZ$265,MATCH('Unit Data from Audit Worksheet'!$A170,'PY1 Data(H)'!$A$1:$A$258,0),MATCH('Unit Data from Audit Worksheet'!$D$2,'PY1 Data(H)'!$A$1:$CZ$1,0))</f>
        <v>#N/A</v>
      </c>
      <c r="F170" s="185"/>
      <c r="G170" s="403"/>
      <c r="H170" s="17"/>
      <c r="I170" s="72"/>
      <c r="J170" s="72"/>
      <c r="K170" s="180"/>
      <c r="L170" s="550"/>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87">
        <v>1063</v>
      </c>
      <c r="B171" s="375" t="s">
        <v>1523</v>
      </c>
      <c r="C171" s="411"/>
      <c r="D171" s="788" t="s">
        <v>1946</v>
      </c>
      <c r="E171" s="373" t="e">
        <f>INDEX('PY1 Data(H)'!$A$1:$CZ$265,MATCH('Unit Data from Audit Worksheet'!$A171,'PY1 Data(H)'!$A$1:$A$258,0),MATCH('Unit Data from Audit Worksheet'!$D$2,'PY1 Data(H)'!$A$1:$CZ$1,0))</f>
        <v>#N/A</v>
      </c>
      <c r="F171" s="185"/>
      <c r="G171" s="403"/>
      <c r="H171" s="17"/>
      <c r="I171" s="72"/>
      <c r="J171" s="72"/>
      <c r="K171" s="180"/>
      <c r="L171" s="550"/>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15" t="s">
        <v>70</v>
      </c>
      <c r="C172" s="502"/>
      <c r="D172" s="470"/>
      <c r="E172" s="500"/>
      <c r="F172" s="500"/>
      <c r="G172" s="487"/>
      <c r="H172" s="17"/>
      <c r="I172" s="72"/>
      <c r="J172" s="72"/>
      <c r="K172"/>
      <c r="L172" s="550"/>
    </row>
    <row r="173" spans="1:123" ht="90.6" customHeight="1" x14ac:dyDescent="0.3">
      <c r="A173" s="100">
        <v>512</v>
      </c>
      <c r="B173" s="279"/>
      <c r="C173" s="465" t="s">
        <v>157</v>
      </c>
      <c r="D173" s="21" t="s">
        <v>758</v>
      </c>
      <c r="E173" s="373" t="e">
        <f>INDEX('PY1 Data(H)'!$A$1:$CZ$265,MATCH('Unit Data from Audit Worksheet'!$A173,'PY1 Data(H)'!$A$1:$A$258,0),MATCH('Unit Data from Audit Worksheet'!$D$2,'PY1 Data(H)'!$A$1:$CZ$1,0))</f>
        <v>#N/A</v>
      </c>
      <c r="F173" s="808">
        <v>0</v>
      </c>
      <c r="G173" s="403">
        <f>IF(F173&lt;0,"Error: Enter as positive.",)</f>
        <v>0</v>
      </c>
      <c r="H173" s="17"/>
      <c r="I173" s="72"/>
      <c r="J173" s="72"/>
      <c r="K173"/>
      <c r="L173" s="550"/>
    </row>
    <row r="174" spans="1:123" x14ac:dyDescent="0.3">
      <c r="A174" s="100"/>
      <c r="B174" s="492" t="s">
        <v>417</v>
      </c>
      <c r="C174" s="502"/>
      <c r="D174" s="495"/>
      <c r="E174" s="500"/>
      <c r="F174" s="500"/>
      <c r="G174" s="487"/>
      <c r="H174" s="404"/>
      <c r="I174" s="405"/>
      <c r="J174" s="405"/>
      <c r="K174"/>
      <c r="L174" s="550"/>
    </row>
    <row r="175" spans="1:123" ht="59.25" customHeight="1" x14ac:dyDescent="0.3">
      <c r="A175" s="191">
        <v>656</v>
      </c>
      <c r="B175" s="191"/>
      <c r="C175" s="191"/>
      <c r="D175" s="752" t="s">
        <v>1622</v>
      </c>
      <c r="E175" s="373" t="e">
        <f>INDEX('PY1 Data(H)'!$A$1:$CZ$265,MATCH('Unit Data from Audit Worksheet'!$A175,'PY1 Data(H)'!$A$1:$A$258,0),MATCH('Unit Data from Audit Worksheet'!$D$2,'PY1 Data(H)'!$A$1:$CZ$1,0))</f>
        <v>#N/A</v>
      </c>
      <c r="F175" s="808"/>
      <c r="G175" s="403"/>
      <c r="H175" s="17"/>
      <c r="I175" s="72"/>
      <c r="J175" s="72"/>
      <c r="K175"/>
      <c r="L175" s="550"/>
    </row>
    <row r="176" spans="1:123" x14ac:dyDescent="0.3">
      <c r="A176" s="100"/>
      <c r="B176" s="492" t="s">
        <v>288</v>
      </c>
      <c r="C176" s="502"/>
      <c r="D176" s="495"/>
      <c r="E176" s="500"/>
      <c r="F176" s="500"/>
      <c r="G176" s="487"/>
      <c r="H176" s="404"/>
      <c r="I176" s="405"/>
      <c r="J176" s="405"/>
      <c r="K176"/>
      <c r="L176" s="550"/>
    </row>
    <row r="177" spans="1:12" ht="106.95" customHeight="1" x14ac:dyDescent="0.3">
      <c r="A177" s="100">
        <v>535</v>
      </c>
      <c r="B177" s="375" t="s">
        <v>54</v>
      </c>
      <c r="C177" s="375" t="s">
        <v>158</v>
      </c>
      <c r="D177" s="21" t="s">
        <v>759</v>
      </c>
      <c r="E177" s="373" t="e">
        <f>INDEX('PY1 Data(H)'!$A$1:$CZ$265,MATCH('Unit Data from Audit Worksheet'!$A177,'PY1 Data(H)'!$A$1:$A$258,0),MATCH('Unit Data from Audit Worksheet'!$D$2,'PY1 Data(H)'!$A$1:$CZ$1,0))</f>
        <v>#N/A</v>
      </c>
      <c r="F177" s="808">
        <v>0</v>
      </c>
      <c r="G177" s="764" t="str">
        <f>IF(F177&lt;1,"Reminder: Please make sure you have entered all cash and investments from bond/Debt proceeds, if applicable.",)</f>
        <v>Reminder: Please make sure you have entered all cash and investments from bond/Debt proceeds, if applicable.</v>
      </c>
      <c r="H177" s="404"/>
      <c r="I177" s="405"/>
      <c r="J177" s="405"/>
      <c r="K177"/>
      <c r="L177" s="550"/>
    </row>
    <row r="178" spans="1:12" x14ac:dyDescent="0.3">
      <c r="A178" s="100"/>
      <c r="B178" s="492" t="s">
        <v>29</v>
      </c>
      <c r="C178" s="502"/>
      <c r="D178" s="471"/>
      <c r="E178" s="497"/>
      <c r="F178" s="497"/>
      <c r="G178" s="489"/>
      <c r="H178" s="17"/>
      <c r="I178" s="72"/>
      <c r="J178" s="72"/>
      <c r="K178"/>
      <c r="L178" s="550"/>
    </row>
    <row r="179" spans="1:12" x14ac:dyDescent="0.3">
      <c r="A179" s="100"/>
      <c r="B179" s="279"/>
      <c r="C179" s="279"/>
      <c r="D179" s="417" t="s">
        <v>2</v>
      </c>
      <c r="E179" s="373"/>
      <c r="F179" s="154"/>
      <c r="G179" s="409"/>
      <c r="H179" s="17"/>
      <c r="I179" s="72"/>
      <c r="J179" s="72"/>
      <c r="K179"/>
      <c r="L179" s="550"/>
    </row>
    <row r="180" spans="1:12" ht="36" customHeight="1" x14ac:dyDescent="0.3">
      <c r="A180" s="100"/>
      <c r="B180" s="279"/>
      <c r="C180" s="279"/>
      <c r="D180" s="374" t="s">
        <v>760</v>
      </c>
      <c r="E180" s="373"/>
      <c r="F180" s="154"/>
      <c r="G180" s="409"/>
      <c r="H180" s="17"/>
      <c r="I180" s="72"/>
      <c r="J180" s="72"/>
      <c r="K180"/>
      <c r="L180" s="550"/>
    </row>
    <row r="181" spans="1:12" ht="51" customHeight="1" x14ac:dyDescent="0.3">
      <c r="A181" s="100">
        <v>334</v>
      </c>
      <c r="B181" s="4" t="s">
        <v>55</v>
      </c>
      <c r="C181" s="4" t="s">
        <v>165</v>
      </c>
      <c r="D181" s="21" t="s">
        <v>761</v>
      </c>
      <c r="E181" s="373" t="e">
        <f>INDEX('PY1 Data(H)'!$A$1:$CZ$265,MATCH('Unit Data from Audit Worksheet'!$A181,'PY1 Data(H)'!$A$1:$A$258,0),MATCH('Unit Data from Audit Worksheet'!$D$2,'PY1 Data(H)'!$A$1:$CZ$1,0))</f>
        <v>#N/A</v>
      </c>
      <c r="F181" s="808">
        <v>0</v>
      </c>
      <c r="G181" s="409"/>
      <c r="H181" s="17"/>
      <c r="I181" s="72"/>
      <c r="J181" s="72"/>
      <c r="K181"/>
      <c r="L181" s="550"/>
    </row>
    <row r="182" spans="1:12" ht="45.6" customHeight="1" x14ac:dyDescent="0.3">
      <c r="A182" s="100">
        <v>373</v>
      </c>
      <c r="B182" s="4" t="s">
        <v>55</v>
      </c>
      <c r="C182" s="4" t="s">
        <v>165</v>
      </c>
      <c r="D182" s="26" t="s">
        <v>164</v>
      </c>
      <c r="E182" s="373" t="e">
        <f>INDEX('PY1 Data(H)'!$A$1:$CZ$265,MATCH('Unit Data from Audit Worksheet'!$A182,'PY1 Data(H)'!$A$1:$A$258,0),MATCH('Unit Data from Audit Worksheet'!$D$2,'PY1 Data(H)'!$A$1:$CZ$1,0))</f>
        <v>#N/A</v>
      </c>
      <c r="F182" s="808">
        <v>0</v>
      </c>
      <c r="G182" s="403">
        <f>IF(F182&lt;0,"Error: Enter as positive.",)</f>
        <v>0</v>
      </c>
      <c r="H182" s="17"/>
      <c r="I182" s="72"/>
      <c r="J182" s="72"/>
      <c r="K182"/>
      <c r="L182" s="550"/>
    </row>
    <row r="183" spans="1:12" ht="92.25" customHeight="1" x14ac:dyDescent="0.3">
      <c r="A183" s="100">
        <v>987</v>
      </c>
      <c r="B183" s="375" t="s">
        <v>587</v>
      </c>
      <c r="C183" s="375"/>
      <c r="D183" s="21" t="s">
        <v>648</v>
      </c>
      <c r="E183" s="373" t="e">
        <f>INDEX('PY1 Data(H)'!$A$1:$CZ$265,MATCH('Unit Data from Audit Worksheet'!$A183,'PY1 Data(H)'!$A$1:$A$258,0),MATCH('Unit Data from Audit Worksheet'!$D$2,'PY1 Data(H)'!$A$1:$CZ$1,0))</f>
        <v>#N/A</v>
      </c>
      <c r="F183" s="808">
        <v>0</v>
      </c>
      <c r="G183" s="418" t="str">
        <f>IF(F183="","If this question is not applicable please place a zero in the cell to the left","")</f>
        <v/>
      </c>
      <c r="H183" s="386"/>
      <c r="I183" s="72"/>
      <c r="J183" s="72"/>
      <c r="K183"/>
      <c r="L183" s="550"/>
    </row>
    <row r="184" spans="1:12" ht="66.75" customHeight="1" x14ac:dyDescent="0.3">
      <c r="A184" s="100">
        <v>988</v>
      </c>
      <c r="B184" s="375" t="s">
        <v>587</v>
      </c>
      <c r="C184" s="375"/>
      <c r="D184" s="21" t="s">
        <v>647</v>
      </c>
      <c r="E184" s="373" t="e">
        <f>INDEX('PY1 Data(H)'!$A$1:$CZ$265,MATCH('Unit Data from Audit Worksheet'!$A184,'PY1 Data(H)'!$A$1:$A$258,0),MATCH('Unit Data from Audit Worksheet'!$D$2,'PY1 Data(H)'!$A$1:$CZ$1,0))</f>
        <v>#N/A</v>
      </c>
      <c r="F184" s="186"/>
      <c r="G184" s="403"/>
      <c r="H184" s="17"/>
      <c r="I184" s="72"/>
      <c r="J184" s="72"/>
      <c r="K184"/>
      <c r="L184" s="550"/>
    </row>
    <row r="185" spans="1:12" ht="90" customHeight="1" x14ac:dyDescent="0.3">
      <c r="A185" s="100">
        <v>989</v>
      </c>
      <c r="B185" s="375" t="s">
        <v>587</v>
      </c>
      <c r="C185" s="375"/>
      <c r="D185" s="21" t="s">
        <v>806</v>
      </c>
      <c r="E185" s="373" t="e">
        <f>INDEX('PY1 Data(H)'!$A$1:$CZ$265,MATCH('Unit Data from Audit Worksheet'!$A185,'PY1 Data(H)'!$A$1:$A$258,0),MATCH('Unit Data from Audit Worksheet'!$D$2,'PY1 Data(H)'!$A$1:$CZ$1,0))</f>
        <v>#N/A</v>
      </c>
      <c r="F185" s="186"/>
      <c r="G185" s="403"/>
      <c r="H185" s="17"/>
      <c r="I185" s="72"/>
      <c r="J185" s="72"/>
      <c r="K185"/>
      <c r="L185" s="550"/>
    </row>
    <row r="186" spans="1:12" ht="72" x14ac:dyDescent="0.3">
      <c r="A186" s="100"/>
      <c r="B186" s="502"/>
      <c r="C186" s="502"/>
      <c r="D186" s="503" t="s">
        <v>1632</v>
      </c>
      <c r="E186" s="505"/>
      <c r="F186" s="505"/>
      <c r="G186" s="506"/>
      <c r="H186" s="17"/>
      <c r="I186" s="72"/>
      <c r="J186" s="72"/>
      <c r="K186"/>
      <c r="L186" s="550"/>
    </row>
    <row r="187" spans="1:12" ht="36.6" customHeight="1" x14ac:dyDescent="0.3">
      <c r="A187" s="100"/>
      <c r="B187" s="279"/>
      <c r="C187" s="279"/>
      <c r="D187" s="419" t="s">
        <v>2883</v>
      </c>
      <c r="E187" s="373"/>
      <c r="F187" s="245"/>
      <c r="G187" s="409"/>
      <c r="H187" s="17"/>
      <c r="I187" s="72"/>
      <c r="J187" s="72"/>
      <c r="K187"/>
      <c r="L187" s="550"/>
    </row>
    <row r="188" spans="1:12" ht="48.75" customHeight="1" x14ac:dyDescent="0.3">
      <c r="A188" s="100"/>
      <c r="B188" s="279"/>
      <c r="C188" s="279"/>
      <c r="D188" s="21" t="s">
        <v>762</v>
      </c>
      <c r="E188" s="373"/>
      <c r="F188" s="245"/>
      <c r="G188" s="409"/>
      <c r="H188" s="17"/>
      <c r="I188" s="72"/>
      <c r="J188" s="72"/>
      <c r="K188"/>
      <c r="L188" s="550"/>
    </row>
    <row r="189" spans="1:12" ht="51.75" customHeight="1" x14ac:dyDescent="0.3">
      <c r="A189" s="100">
        <v>327</v>
      </c>
      <c r="B189" s="375" t="s">
        <v>36</v>
      </c>
      <c r="C189" s="375" t="s">
        <v>166</v>
      </c>
      <c r="D189" s="420" t="s">
        <v>763</v>
      </c>
      <c r="E189" s="373" t="e">
        <f>INDEX('PY1 Data(H)'!$A$1:$CZ$265,MATCH('Unit Data from Audit Worksheet'!$A189,'PY1 Data(H)'!$A$1:$A$258,0),MATCH('Unit Data from Audit Worksheet'!$D$2,'PY1 Data(H)'!$A$1:$CZ$1,0))</f>
        <v>#N/A</v>
      </c>
      <c r="F189" s="808">
        <v>0</v>
      </c>
      <c r="G189" s="409"/>
      <c r="H189" s="17"/>
      <c r="I189" s="405"/>
      <c r="J189" s="405"/>
      <c r="K189"/>
      <c r="L189" s="550"/>
    </row>
    <row r="190" spans="1:12" ht="51.75" customHeight="1" x14ac:dyDescent="0.3">
      <c r="A190" s="100">
        <v>328</v>
      </c>
      <c r="B190" s="375" t="s">
        <v>36</v>
      </c>
      <c r="C190" s="375" t="s">
        <v>166</v>
      </c>
      <c r="D190" s="27" t="s">
        <v>7</v>
      </c>
      <c r="E190" s="373" t="e">
        <f>INDEX('PY1 Data(H)'!$A$1:$CZ$265,MATCH('Unit Data from Audit Worksheet'!$A190,'PY1 Data(H)'!$A$1:$A$258,0),MATCH('Unit Data from Audit Worksheet'!$D$2,'PY1 Data(H)'!$A$1:$CZ$1,0))</f>
        <v>#N/A</v>
      </c>
      <c r="F190" s="808">
        <v>0</v>
      </c>
      <c r="G190" s="409"/>
      <c r="H190" s="17"/>
      <c r="I190" s="405"/>
      <c r="J190" s="405"/>
      <c r="K190"/>
      <c r="L190" s="550"/>
    </row>
    <row r="191" spans="1:12" ht="42" customHeight="1" x14ac:dyDescent="0.3">
      <c r="A191" s="100"/>
      <c r="B191" s="279"/>
      <c r="C191" s="279"/>
      <c r="D191" s="28" t="s">
        <v>764</v>
      </c>
      <c r="E191" s="93" t="e">
        <f>E189+E190</f>
        <v>#N/A</v>
      </c>
      <c r="F191" s="93">
        <f>SUM(F189:F190)</f>
        <v>0</v>
      </c>
      <c r="G191" s="409"/>
      <c r="H191" s="17"/>
      <c r="I191" s="72"/>
      <c r="J191" s="72"/>
      <c r="K191"/>
      <c r="L191" s="550"/>
    </row>
    <row r="192" spans="1:12" ht="28.8" x14ac:dyDescent="0.3">
      <c r="A192" s="100"/>
      <c r="B192" s="279"/>
      <c r="C192" s="279"/>
      <c r="D192" s="21" t="s">
        <v>765</v>
      </c>
      <c r="E192" s="1"/>
      <c r="F192" s="245"/>
      <c r="G192" s="409"/>
      <c r="H192" s="17"/>
      <c r="I192" s="72"/>
      <c r="J192" s="72"/>
      <c r="K192"/>
      <c r="L192" s="550"/>
    </row>
    <row r="193" spans="1:20" ht="24" customHeight="1" x14ac:dyDescent="0.3">
      <c r="A193" s="100"/>
      <c r="B193" s="279"/>
      <c r="C193" s="279"/>
      <c r="D193" s="25" t="s">
        <v>9</v>
      </c>
      <c r="F193" s="421"/>
      <c r="G193" s="409"/>
      <c r="H193" s="17"/>
      <c r="I193" s="72"/>
      <c r="J193" s="72"/>
      <c r="K193"/>
      <c r="L193" s="550"/>
    </row>
    <row r="194" spans="1:20" ht="72" customHeight="1" x14ac:dyDescent="0.3">
      <c r="A194" s="100">
        <v>515</v>
      </c>
      <c r="B194" s="961" t="s">
        <v>1957</v>
      </c>
      <c r="C194" s="375" t="s">
        <v>167</v>
      </c>
      <c r="D194" s="29" t="s">
        <v>3</v>
      </c>
      <c r="E194" s="373" t="e">
        <f>INDEX('PY1 Data(H)'!$A$1:$CZ$265,MATCH('Unit Data from Audit Worksheet'!$A194,'PY1 Data(H)'!$A$1:$A$258,0),MATCH('Unit Data from Audit Worksheet'!$D$2,'PY1 Data(H)'!$A$1:$CZ$1,0))</f>
        <v>#N/A</v>
      </c>
      <c r="F194" s="808">
        <v>0</v>
      </c>
      <c r="G194" s="403"/>
      <c r="H194" s="17"/>
      <c r="I194" s="72"/>
      <c r="J194" s="72"/>
      <c r="K194"/>
      <c r="L194" s="550"/>
    </row>
    <row r="195" spans="1:20" ht="75.599999999999994" customHeight="1" x14ac:dyDescent="0.3">
      <c r="A195" s="100">
        <v>516</v>
      </c>
      <c r="B195" s="961" t="s">
        <v>1957</v>
      </c>
      <c r="C195" s="375" t="s">
        <v>167</v>
      </c>
      <c r="D195" s="29" t="s">
        <v>4</v>
      </c>
      <c r="E195" s="373" t="e">
        <f>INDEX('PY1 Data(H)'!$A$1:$CZ$265,MATCH('Unit Data from Audit Worksheet'!$A195,'PY1 Data(H)'!$A$1:$A$258,0),MATCH('Unit Data from Audit Worksheet'!$D$2,'PY1 Data(H)'!$A$1:$CZ$1,0))</f>
        <v>#N/A</v>
      </c>
      <c r="F195" s="808">
        <v>0</v>
      </c>
      <c r="G195" s="403"/>
      <c r="H195" s="17"/>
      <c r="I195" s="72"/>
      <c r="J195" s="72"/>
      <c r="K195"/>
      <c r="L195" s="550"/>
    </row>
    <row r="196" spans="1:20" ht="73.2" customHeight="1" x14ac:dyDescent="0.3">
      <c r="A196" s="100">
        <v>517</v>
      </c>
      <c r="B196" s="961" t="s">
        <v>1957</v>
      </c>
      <c r="C196" s="375" t="s">
        <v>167</v>
      </c>
      <c r="D196" s="29" t="s">
        <v>5</v>
      </c>
      <c r="E196" s="373" t="e">
        <f>INDEX('PY1 Data(H)'!$A$1:$CZ$265,MATCH('Unit Data from Audit Worksheet'!$A196,'PY1 Data(H)'!$A$1:$A$258,0),MATCH('Unit Data from Audit Worksheet'!$D$2,'PY1 Data(H)'!$A$1:$CZ$1,0))</f>
        <v>#N/A</v>
      </c>
      <c r="F196" s="808">
        <v>0</v>
      </c>
      <c r="G196" s="403"/>
      <c r="H196" s="17"/>
      <c r="I196" s="72"/>
      <c r="J196" s="72"/>
      <c r="K196"/>
      <c r="L196" s="550"/>
    </row>
    <row r="197" spans="1:20" ht="78" customHeight="1" x14ac:dyDescent="0.3">
      <c r="A197" s="100">
        <v>518</v>
      </c>
      <c r="B197" s="961" t="s">
        <v>1957</v>
      </c>
      <c r="C197" s="375" t="s">
        <v>167</v>
      </c>
      <c r="D197" s="29" t="s">
        <v>38</v>
      </c>
      <c r="E197" s="373" t="e">
        <f>INDEX('PY1 Data(H)'!$A$1:$CZ$265,MATCH('Unit Data from Audit Worksheet'!$A197,'PY1 Data(H)'!$A$1:$A$258,0),MATCH('Unit Data from Audit Worksheet'!$D$2,'PY1 Data(H)'!$A$1:$CZ$1,0))</f>
        <v>#N/A</v>
      </c>
      <c r="F197" s="808">
        <v>0</v>
      </c>
      <c r="G197" s="403"/>
      <c r="H197" s="17"/>
      <c r="I197" s="72"/>
      <c r="J197" s="72"/>
      <c r="K197"/>
      <c r="L197" s="550"/>
    </row>
    <row r="198" spans="1:20" ht="51" customHeight="1" x14ac:dyDescent="0.3">
      <c r="A198" s="718"/>
      <c r="B198" s="279"/>
      <c r="C198" s="279"/>
      <c r="D198" s="422" t="s">
        <v>766</v>
      </c>
      <c r="E198" s="93" t="e">
        <f>E194+E195+E196+E197</f>
        <v>#N/A</v>
      </c>
      <c r="F198" s="93">
        <f>SUM(F194:F197)</f>
        <v>0</v>
      </c>
      <c r="G198" s="409"/>
      <c r="H198" s="17"/>
      <c r="I198" s="72"/>
      <c r="J198" s="72"/>
      <c r="K198"/>
      <c r="L198" s="550"/>
    </row>
    <row r="199" spans="1:20" ht="30.75" customHeight="1" x14ac:dyDescent="0.3">
      <c r="A199" s="100"/>
      <c r="B199" s="279"/>
      <c r="C199" s="279"/>
      <c r="D199" s="25" t="s">
        <v>47</v>
      </c>
      <c r="E199" s="1"/>
      <c r="F199" s="245"/>
      <c r="G199" s="409"/>
      <c r="H199" s="17"/>
      <c r="I199" s="72"/>
      <c r="J199" s="72"/>
      <c r="K199"/>
      <c r="L199" s="550"/>
    </row>
    <row r="200" spans="1:20" ht="63" customHeight="1" x14ac:dyDescent="0.3">
      <c r="A200" s="100">
        <v>519</v>
      </c>
      <c r="B200" s="375" t="s">
        <v>36</v>
      </c>
      <c r="C200" s="375" t="s">
        <v>168</v>
      </c>
      <c r="D200" s="29" t="s">
        <v>14</v>
      </c>
      <c r="E200" s="373" t="e">
        <f>INDEX('PY1 Data(H)'!$A$1:$CZ$265,MATCH('Unit Data from Audit Worksheet'!$A200,'PY1 Data(H)'!$A$1:$A$258,0),MATCH('Unit Data from Audit Worksheet'!$D$2,'PY1 Data(H)'!$A$1:$CZ$1,0))</f>
        <v>#N/A</v>
      </c>
      <c r="F200" s="808">
        <v>0</v>
      </c>
      <c r="G200" s="403">
        <f>IF(F200&lt;0,"Error: Enter as positive.",)</f>
        <v>0</v>
      </c>
      <c r="H200" s="17"/>
      <c r="I200" s="72"/>
      <c r="J200" s="72"/>
      <c r="K200"/>
      <c r="L200" s="550"/>
    </row>
    <row r="201" spans="1:20" ht="69.75" customHeight="1" x14ac:dyDescent="0.3">
      <c r="A201" s="100">
        <v>520</v>
      </c>
      <c r="B201" s="375" t="s">
        <v>36</v>
      </c>
      <c r="C201" s="375" t="s">
        <v>168</v>
      </c>
      <c r="D201" s="29" t="s">
        <v>16</v>
      </c>
      <c r="E201" s="373" t="e">
        <f>INDEX('PY1 Data(H)'!$A$1:$CZ$265,MATCH('Unit Data from Audit Worksheet'!$A201,'PY1 Data(H)'!$A$1:$A$258,0),MATCH('Unit Data from Audit Worksheet'!$D$2,'PY1 Data(H)'!$A$1:$CZ$1,0))</f>
        <v>#N/A</v>
      </c>
      <c r="F201" s="808">
        <v>0</v>
      </c>
      <c r="G201" s="403">
        <f>IF(F201&lt;0,"Error: Enter as positive.",)</f>
        <v>0</v>
      </c>
      <c r="H201" s="17"/>
      <c r="I201" s="72"/>
      <c r="J201" s="72"/>
      <c r="K201"/>
      <c r="L201" s="550"/>
    </row>
    <row r="202" spans="1:20" ht="72" customHeight="1" x14ac:dyDescent="0.3">
      <c r="A202" s="100">
        <v>521</v>
      </c>
      <c r="B202" s="375" t="s">
        <v>36</v>
      </c>
      <c r="C202" s="375" t="s">
        <v>168</v>
      </c>
      <c r="D202" s="29" t="s">
        <v>18</v>
      </c>
      <c r="E202" s="373" t="e">
        <f>INDEX('PY1 Data(H)'!$A$1:$CZ$265,MATCH('Unit Data from Audit Worksheet'!$A202,'PY1 Data(H)'!$A$1:$A$258,0),MATCH('Unit Data from Audit Worksheet'!$D$2,'PY1 Data(H)'!$A$1:$CZ$1,0))</f>
        <v>#N/A</v>
      </c>
      <c r="F202" s="808">
        <v>0</v>
      </c>
      <c r="G202" s="403">
        <f>IF(F202&lt;0,"Error: Enter as positive.",)</f>
        <v>0</v>
      </c>
      <c r="H202" s="17"/>
      <c r="I202" s="72"/>
      <c r="J202" s="72"/>
      <c r="K202"/>
      <c r="L202" s="550"/>
    </row>
    <row r="203" spans="1:20" ht="74.25" customHeight="1" x14ac:dyDescent="0.3">
      <c r="A203" s="100">
        <v>522</v>
      </c>
      <c r="B203" s="375" t="s">
        <v>36</v>
      </c>
      <c r="C203" s="375" t="s">
        <v>168</v>
      </c>
      <c r="D203" s="29" t="s">
        <v>39</v>
      </c>
      <c r="E203" s="373" t="e">
        <f>INDEX('PY1 Data(H)'!$A$1:$CZ$265,MATCH('Unit Data from Audit Worksheet'!$A203,'PY1 Data(H)'!$A$1:$A$258,0),MATCH('Unit Data from Audit Worksheet'!$D$2,'PY1 Data(H)'!$A$1:$CZ$1,0))</f>
        <v>#N/A</v>
      </c>
      <c r="F203" s="808">
        <v>0</v>
      </c>
      <c r="G203" s="403">
        <f>IF(F203&lt;0,"Error: Enter as positive.",)</f>
        <v>0</v>
      </c>
      <c r="H203" s="17"/>
      <c r="I203" s="72"/>
      <c r="J203" s="72"/>
      <c r="K203"/>
      <c r="L203" s="550"/>
    </row>
    <row r="204" spans="1:20" ht="31.5" customHeight="1" x14ac:dyDescent="0.3">
      <c r="A204" s="716"/>
      <c r="B204" s="279"/>
      <c r="C204" s="279"/>
      <c r="D204" s="423" t="s">
        <v>33</v>
      </c>
      <c r="E204" s="93" t="e">
        <f>E200+E201+E202+E203</f>
        <v>#N/A</v>
      </c>
      <c r="F204" s="93">
        <f>SUM(F200:F203)</f>
        <v>0</v>
      </c>
      <c r="G204" s="123"/>
      <c r="H204" s="17"/>
      <c r="I204" s="72"/>
      <c r="J204" s="72"/>
      <c r="K204"/>
      <c r="L204" s="550"/>
    </row>
    <row r="205" spans="1:20" ht="26.25" customHeight="1" x14ac:dyDescent="0.3">
      <c r="A205" s="716"/>
      <c r="B205" s="279"/>
      <c r="C205" s="279"/>
      <c r="D205" s="25" t="s">
        <v>31</v>
      </c>
      <c r="E205" s="6"/>
      <c r="F205" s="424"/>
      <c r="G205" s="123"/>
      <c r="H205" s="17"/>
      <c r="I205" s="1033"/>
      <c r="J205"/>
      <c r="K205"/>
      <c r="L205"/>
      <c r="N205"/>
      <c r="O205"/>
      <c r="P205"/>
      <c r="Q205"/>
      <c r="R205"/>
      <c r="S205"/>
      <c r="T205"/>
    </row>
    <row r="206" spans="1:20" ht="89.25" customHeight="1" x14ac:dyDescent="0.3">
      <c r="A206" s="100">
        <v>523</v>
      </c>
      <c r="B206" s="961" t="s">
        <v>1957</v>
      </c>
      <c r="C206" s="375" t="s">
        <v>169</v>
      </c>
      <c r="D206" s="29" t="s">
        <v>15</v>
      </c>
      <c r="E206" s="373" t="e">
        <f>INDEX('PY1 Data(H)'!$A$1:$CZ$265,MATCH('Unit Data from Audit Worksheet'!$A206,'PY1 Data(H)'!$A$1:$A$258,0),MATCH('Unit Data from Audit Worksheet'!$D$2,'PY1 Data(H)'!$A$1:$CZ$1,0))</f>
        <v>#N/A</v>
      </c>
      <c r="F206" s="808">
        <v>0</v>
      </c>
      <c r="G206" s="403">
        <f>IF(F206&lt;0,"Error: Enter as positive.",)</f>
        <v>0</v>
      </c>
      <c r="H206" s="17"/>
      <c r="I206" s="1033"/>
      <c r="J206"/>
      <c r="K206"/>
      <c r="L206"/>
      <c r="N206"/>
      <c r="O206"/>
      <c r="P206"/>
      <c r="Q206"/>
      <c r="R206"/>
      <c r="S206"/>
      <c r="T206"/>
    </row>
    <row r="207" spans="1:20" ht="75" customHeight="1" x14ac:dyDescent="0.3">
      <c r="A207" s="100">
        <v>524</v>
      </c>
      <c r="B207" s="961" t="s">
        <v>1957</v>
      </c>
      <c r="C207" s="375" t="s">
        <v>169</v>
      </c>
      <c r="D207" s="29" t="s">
        <v>17</v>
      </c>
      <c r="E207" s="373" t="e">
        <f>INDEX('PY1 Data(H)'!$A$1:$CZ$265,MATCH('Unit Data from Audit Worksheet'!$A207,'PY1 Data(H)'!$A$1:$A$258,0),MATCH('Unit Data from Audit Worksheet'!$D$2,'PY1 Data(H)'!$A$1:$CZ$1,0))</f>
        <v>#N/A</v>
      </c>
      <c r="F207" s="808">
        <v>0</v>
      </c>
      <c r="G207" s="403">
        <f>IF(F207&lt;0,"Error: Enter as positive.",)</f>
        <v>0</v>
      </c>
      <c r="H207" s="17"/>
      <c r="I207" s="1033"/>
      <c r="J207"/>
      <c r="K207"/>
      <c r="L207"/>
      <c r="N207"/>
      <c r="O207"/>
      <c r="P207"/>
      <c r="Q207"/>
      <c r="R207"/>
      <c r="S207"/>
      <c r="T207"/>
    </row>
    <row r="208" spans="1:20" ht="75" customHeight="1" x14ac:dyDescent="0.3">
      <c r="A208" s="100">
        <v>525</v>
      </c>
      <c r="B208" s="961" t="s">
        <v>1957</v>
      </c>
      <c r="C208" s="375" t="s">
        <v>169</v>
      </c>
      <c r="D208" s="29" t="s">
        <v>19</v>
      </c>
      <c r="E208" s="373" t="e">
        <f>INDEX('PY1 Data(H)'!$A$1:$CZ$265,MATCH('Unit Data from Audit Worksheet'!$A208,'PY1 Data(H)'!$A$1:$A$258,0),MATCH('Unit Data from Audit Worksheet'!$D$2,'PY1 Data(H)'!$A$1:$CZ$1,0))</f>
        <v>#N/A</v>
      </c>
      <c r="F208" s="808">
        <v>0</v>
      </c>
      <c r="G208" s="403">
        <f>IF(F208&lt;0,"Error: Enter as positive.",)</f>
        <v>0</v>
      </c>
      <c r="H208" s="17"/>
      <c r="I208" s="1033"/>
      <c r="J208"/>
      <c r="K208"/>
      <c r="L208"/>
      <c r="N208"/>
      <c r="O208"/>
      <c r="P208"/>
      <c r="Q208"/>
      <c r="R208"/>
      <c r="S208"/>
      <c r="T208"/>
    </row>
    <row r="209" spans="1:1881" ht="76.5" customHeight="1" x14ac:dyDescent="0.3">
      <c r="A209" s="100">
        <v>526</v>
      </c>
      <c r="B209" s="961" t="s">
        <v>1957</v>
      </c>
      <c r="C209" s="375" t="s">
        <v>169</v>
      </c>
      <c r="D209" s="29" t="s">
        <v>40</v>
      </c>
      <c r="E209" s="373" t="e">
        <f>INDEX('PY1 Data(H)'!$A$1:$CZ$265,MATCH('Unit Data from Audit Worksheet'!$A209,'PY1 Data(H)'!$A$1:$A$258,0),MATCH('Unit Data from Audit Worksheet'!$D$2,'PY1 Data(H)'!$A$1:$CZ$1,0))</f>
        <v>#N/A</v>
      </c>
      <c r="F209" s="808">
        <v>0</v>
      </c>
      <c r="G209" s="403">
        <f>IF(F209&lt;0,"Error: Enter as positive.",)</f>
        <v>0</v>
      </c>
      <c r="H209" s="17"/>
      <c r="I209" s="1033"/>
      <c r="J209"/>
      <c r="K209"/>
      <c r="L209"/>
      <c r="N209"/>
      <c r="O209"/>
      <c r="P209"/>
      <c r="Q209"/>
      <c r="R209"/>
      <c r="S209"/>
      <c r="T209"/>
    </row>
    <row r="210" spans="1:1881" ht="24.75" customHeight="1" x14ac:dyDescent="0.3">
      <c r="A210" s="100"/>
      <c r="B210" s="466"/>
      <c r="C210" s="466"/>
      <c r="D210" s="423" t="s">
        <v>32</v>
      </c>
      <c r="E210" s="93" t="e">
        <f>E206+E207+E208+E209</f>
        <v>#N/A</v>
      </c>
      <c r="F210" s="93">
        <f>SUM(F206:F209)</f>
        <v>0</v>
      </c>
      <c r="G210" s="409"/>
      <c r="H210" s="17"/>
      <c r="I210" s="72"/>
      <c r="J210" s="72"/>
      <c r="K210"/>
      <c r="L210" s="550"/>
    </row>
    <row r="211" spans="1:1881" ht="61.5" customHeight="1" x14ac:dyDescent="0.3">
      <c r="A211" s="100"/>
      <c r="B211" s="466"/>
      <c r="C211" s="466"/>
      <c r="D211" s="425" t="s">
        <v>34</v>
      </c>
      <c r="E211" s="93" t="e">
        <f>E191+E198-E210</f>
        <v>#N/A</v>
      </c>
      <c r="F211" s="93">
        <f>F191+F198-F210</f>
        <v>0</v>
      </c>
      <c r="G211" s="409"/>
      <c r="H211" s="17"/>
      <c r="I211" s="72"/>
      <c r="J211" s="72"/>
      <c r="K211"/>
      <c r="L211" s="550"/>
    </row>
    <row r="212" spans="1:1881" ht="21.6" customHeight="1" x14ac:dyDescent="0.3">
      <c r="A212" s="100"/>
      <c r="B212" s="279"/>
      <c r="C212" s="279"/>
      <c r="D212" s="417"/>
      <c r="E212" s="1"/>
      <c r="F212" s="245"/>
      <c r="G212" s="409"/>
      <c r="H212" s="17"/>
      <c r="I212" s="72"/>
      <c r="J212" s="72"/>
      <c r="K212"/>
      <c r="L212" s="550"/>
    </row>
    <row r="213" spans="1:1881" ht="34.5" customHeight="1" x14ac:dyDescent="0.3">
      <c r="A213" s="100"/>
      <c r="B213" s="502"/>
      <c r="C213" s="502"/>
      <c r="D213" s="494" t="s">
        <v>8</v>
      </c>
      <c r="E213" s="504"/>
      <c r="F213" s="505"/>
      <c r="G213" s="506"/>
      <c r="H213" s="17"/>
      <c r="I213" s="72"/>
      <c r="J213" s="72"/>
      <c r="K213"/>
      <c r="L213" s="550"/>
    </row>
    <row r="214" spans="1:1881" ht="55.5" customHeight="1" x14ac:dyDescent="0.3">
      <c r="A214" s="100">
        <v>527</v>
      </c>
      <c r="B214" s="961" t="s">
        <v>1963</v>
      </c>
      <c r="C214" s="375" t="s">
        <v>170</v>
      </c>
      <c r="D214" s="26" t="s">
        <v>767</v>
      </c>
      <c r="E214" s="373" t="e">
        <f>INDEX('PY1 Data(H)'!$A$1:$CZ$265,MATCH('Unit Data from Audit Worksheet'!$A214,'PY1 Data(H)'!$A$1:$A$258,0),MATCH('Unit Data from Audit Worksheet'!$D$2,'PY1 Data(H)'!$A$1:$CZ$1,0))</f>
        <v>#N/A</v>
      </c>
      <c r="F214" s="808">
        <v>0</v>
      </c>
      <c r="G214" s="409"/>
      <c r="H214" s="17"/>
      <c r="I214" s="405"/>
      <c r="J214" s="405"/>
      <c r="K214"/>
      <c r="L214" s="550"/>
    </row>
    <row r="215" spans="1:1881" ht="55.5" customHeight="1" x14ac:dyDescent="0.3">
      <c r="A215" s="100">
        <v>356</v>
      </c>
      <c r="B215" s="961" t="s">
        <v>1962</v>
      </c>
      <c r="C215" s="375" t="s">
        <v>170</v>
      </c>
      <c r="D215" s="99" t="s">
        <v>20</v>
      </c>
      <c r="E215" s="373" t="e">
        <f>INDEX('PY1 Data(H)'!$A$1:$CZ$265,MATCH('Unit Data from Audit Worksheet'!$A215,'PY1 Data(H)'!$A$1:$A$258,0),MATCH('Unit Data from Audit Worksheet'!$D$2,'PY1 Data(H)'!$A$1:$CZ$1,0))</f>
        <v>#N/A</v>
      </c>
      <c r="F215" s="808">
        <v>0</v>
      </c>
      <c r="G215" s="409"/>
      <c r="H215" s="17"/>
      <c r="I215" s="405"/>
      <c r="J215" s="405"/>
      <c r="K215"/>
      <c r="L215" s="550"/>
    </row>
    <row r="216" spans="1:1881" ht="55.5" customHeight="1" x14ac:dyDescent="0.3">
      <c r="A216" s="100">
        <v>357</v>
      </c>
      <c r="B216" s="375" t="s">
        <v>55</v>
      </c>
      <c r="C216" s="375" t="s">
        <v>171</v>
      </c>
      <c r="D216" s="99" t="s">
        <v>21</v>
      </c>
      <c r="E216" s="373" t="e">
        <f>INDEX('PY1 Data(H)'!$A$1:$CZ$265,MATCH('Unit Data from Audit Worksheet'!$A216,'PY1 Data(H)'!$A$1:$A$258,0),MATCH('Unit Data from Audit Worksheet'!$D$2,'PY1 Data(H)'!$A$1:$CZ$1,0))</f>
        <v>#N/A</v>
      </c>
      <c r="F216" s="808">
        <v>0</v>
      </c>
      <c r="G216" s="403">
        <f>IF(F216&lt;0,"Error: Enter as positive.",)</f>
        <v>0</v>
      </c>
      <c r="H216" s="17"/>
      <c r="I216" s="405"/>
      <c r="J216" s="405"/>
      <c r="K216"/>
      <c r="L216" s="550"/>
    </row>
    <row r="217" spans="1:1881" s="18" customFormat="1" ht="35.25" customHeight="1" x14ac:dyDescent="0.3">
      <c r="A217" s="100"/>
      <c r="B217" s="492" t="s">
        <v>10</v>
      </c>
      <c r="C217" s="502"/>
      <c r="D217" s="470"/>
      <c r="E217" s="507"/>
      <c r="F217" s="507"/>
      <c r="G217" s="489"/>
      <c r="H217" s="17"/>
      <c r="I217" s="72"/>
      <c r="J217" s="72"/>
      <c r="K217"/>
      <c r="L217" s="550"/>
      <c r="M217"/>
      <c r="O217" s="18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768</v>
      </c>
      <c r="D218" s="21" t="s">
        <v>649</v>
      </c>
      <c r="E218" s="373" t="e">
        <f>INDEX('PY1 Data(H)'!$A$1:$CZ$265,MATCH('Unit Data from Audit Worksheet'!$A218,'PY1 Data(H)'!$A$1:$A$258,0),MATCH('Unit Data from Audit Worksheet'!$D$2,'PY1 Data(H)'!$A$1:$CZ$1,0))</f>
        <v>#N/A</v>
      </c>
      <c r="F218" s="808">
        <v>0</v>
      </c>
      <c r="G218" s="403">
        <f>IF(F218&lt;0,"Error: Enter as positive.",)</f>
        <v>0</v>
      </c>
      <c r="H218" s="17"/>
      <c r="I218" s="72"/>
      <c r="J218" s="72"/>
      <c r="K218"/>
      <c r="L218" s="550"/>
      <c r="M218"/>
      <c r="O218" s="187"/>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339</v>
      </c>
      <c r="D219" s="26" t="s">
        <v>769</v>
      </c>
      <c r="E219" s="373" t="e">
        <f>INDEX('PY1 Data(H)'!$A$1:$CZ$265,MATCH('Unit Data from Audit Worksheet'!$A219,'PY1 Data(H)'!$A$1:$A$258,0),MATCH('Unit Data from Audit Worksheet'!$D$2,'PY1 Data(H)'!$A$1:$CZ$1,0))</f>
        <v>#N/A</v>
      </c>
      <c r="F219" s="808">
        <v>0</v>
      </c>
      <c r="G219" s="403">
        <f>IF(F219&lt;0,"Error: Enter as positive.",)</f>
        <v>0</v>
      </c>
      <c r="H219" s="17"/>
      <c r="I219" s="72"/>
      <c r="J219" s="72"/>
      <c r="K219"/>
      <c r="L219" s="550"/>
      <c r="M219"/>
      <c r="N219" s="91"/>
      <c r="O219" s="187"/>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770</v>
      </c>
      <c r="D220" s="21" t="s">
        <v>454</v>
      </c>
      <c r="E220" s="373" t="e">
        <f>INDEX('PY1 Data(H)'!$A$1:$CZ$265,MATCH('Unit Data from Audit Worksheet'!$A220,'PY1 Data(H)'!$A$1:$A$258,0),MATCH('Unit Data from Audit Worksheet'!$D$2,'PY1 Data(H)'!$A$1:$CZ$1,0))</f>
        <v>#N/A</v>
      </c>
      <c r="F220" s="818">
        <v>0</v>
      </c>
      <c r="G220" s="403">
        <f>IF(F220&lt;0,"Error: Enter as positive.",)</f>
        <v>0</v>
      </c>
      <c r="H220" s="17"/>
      <c r="I220" s="426"/>
      <c r="J220" s="426"/>
      <c r="K220"/>
      <c r="L220" s="550"/>
    </row>
    <row r="221" spans="1:1881" ht="270.75" customHeight="1" x14ac:dyDescent="0.3">
      <c r="A221" s="100">
        <v>359</v>
      </c>
      <c r="B221" s="4" t="s">
        <v>55</v>
      </c>
      <c r="C221" s="4" t="s">
        <v>771</v>
      </c>
      <c r="D221" s="21" t="s">
        <v>454</v>
      </c>
      <c r="E221" s="373" t="e">
        <f>INDEX('PY1 Data(H)'!$A$1:$CZ$265,MATCH('Unit Data from Audit Worksheet'!$A221,'PY1 Data(H)'!$A$1:$A$258,0),MATCH('Unit Data from Audit Worksheet'!$D$2,'PY1 Data(H)'!$A$1:$CZ$1,0))</f>
        <v>#N/A</v>
      </c>
      <c r="F221" s="808">
        <v>0</v>
      </c>
      <c r="G221" s="403">
        <f>IF(F221&lt;0,"Error: Enter as positive.",)</f>
        <v>0</v>
      </c>
      <c r="H221" s="17"/>
      <c r="I221" s="426"/>
      <c r="J221" s="426"/>
      <c r="K221"/>
      <c r="L221" s="550"/>
    </row>
    <row r="222" spans="1:1881" s="428" customFormat="1" ht="33" customHeight="1" x14ac:dyDescent="0.3">
      <c r="A222" s="100"/>
      <c r="B222" s="749" t="s">
        <v>355</v>
      </c>
      <c r="C222" s="721"/>
      <c r="D222" s="89"/>
      <c r="E222" s="427"/>
      <c r="F222" s="415"/>
      <c r="G222" s="402"/>
      <c r="H222" s="17"/>
      <c r="I222" s="426"/>
      <c r="J222" s="426"/>
      <c r="K222"/>
      <c r="L222" s="550"/>
      <c r="M222"/>
      <c r="N222" s="18"/>
      <c r="O222" s="187"/>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8" customFormat="1" ht="110.25" customHeight="1" x14ac:dyDescent="0.3">
      <c r="A223" s="100">
        <v>622</v>
      </c>
      <c r="B223" s="429" t="s">
        <v>326</v>
      </c>
      <c r="C223" s="117" t="s">
        <v>354</v>
      </c>
      <c r="D223" s="116" t="s">
        <v>673</v>
      </c>
      <c r="E223" s="373" t="e">
        <f>INDEX('PY1 Data(H)'!$A$1:$CZ$265,MATCH('Unit Data from Audit Worksheet'!$A223,'PY1 Data(H)'!$A$1:$A$258,0),MATCH('Unit Data from Audit Worksheet'!$D$2,'PY1 Data(H)'!$A$1:$CZ$1,0))</f>
        <v>#N/A</v>
      </c>
      <c r="F223" s="818">
        <v>0</v>
      </c>
      <c r="G223" s="403"/>
      <c r="H223" s="17"/>
      <c r="I223" s="426"/>
      <c r="J223" s="426"/>
      <c r="K223"/>
      <c r="L223" s="550"/>
      <c r="M223"/>
      <c r="N223" s="18"/>
      <c r="O223" s="187"/>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8" customFormat="1" ht="191.4" customHeight="1" x14ac:dyDescent="0.3">
      <c r="A224" s="100">
        <v>577</v>
      </c>
      <c r="B224" s="429" t="s">
        <v>326</v>
      </c>
      <c r="C224" s="375" t="s">
        <v>298</v>
      </c>
      <c r="D224" s="228" t="s">
        <v>1534</v>
      </c>
      <c r="E224" s="531"/>
      <c r="F224" s="808"/>
      <c r="G224" s="533" t="str">
        <f>IF(F224="Yes","In this cell - Please include the name of the plan, a brief description of the benefit and the population group that received the benefits."," ")</f>
        <v xml:space="preserve"> </v>
      </c>
      <c r="H224" s="17"/>
      <c r="I224" s="426"/>
      <c r="J224" s="426"/>
      <c r="K224"/>
      <c r="L224" s="550"/>
      <c r="M224"/>
      <c r="N224" s="18"/>
      <c r="O224" s="187"/>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8" customFormat="1" ht="30.75" customHeight="1" x14ac:dyDescent="0.3">
      <c r="A225" s="100"/>
      <c r="B225" s="749" t="s">
        <v>286</v>
      </c>
      <c r="C225" s="721"/>
      <c r="D225" s="89"/>
      <c r="E225" s="427"/>
      <c r="F225" s="430"/>
      <c r="G225" s="402"/>
      <c r="H225" s="17"/>
      <c r="I225" s="72"/>
      <c r="J225" s="72"/>
      <c r="K225"/>
      <c r="L225" s="550"/>
      <c r="M225"/>
      <c r="N225" s="18"/>
      <c r="O225" s="187"/>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8" customFormat="1" ht="81.75" customHeight="1" x14ac:dyDescent="0.3">
      <c r="A226" s="100">
        <v>598</v>
      </c>
      <c r="B226" s="375" t="s">
        <v>58</v>
      </c>
      <c r="C226" s="375" t="s">
        <v>287</v>
      </c>
      <c r="D226" s="385" t="s">
        <v>340</v>
      </c>
      <c r="E226" s="373" t="e">
        <f>INDEX('PY1 Data(H)'!$A$1:$CZ$265,MATCH('Unit Data from Audit Worksheet'!$A226,'PY1 Data(H)'!$A$1:$A$258,0),MATCH('Unit Data from Audit Worksheet'!$D$2,'PY1 Data(H)'!$A$1:$CZ$1,0))</f>
        <v>#N/A</v>
      </c>
      <c r="F226" s="808">
        <v>0</v>
      </c>
      <c r="G226" s="403">
        <f>IF(F226&lt;0,"Error: Enter as positive.",)</f>
        <v>0</v>
      </c>
      <c r="H226" s="403"/>
      <c r="I226" s="426"/>
      <c r="J226" s="426"/>
      <c r="K226"/>
      <c r="L226" s="550"/>
      <c r="M226"/>
      <c r="N226" s="18"/>
      <c r="O226" s="187"/>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8" customFormat="1" ht="53.25" customHeight="1" x14ac:dyDescent="0.3">
      <c r="A227" s="100">
        <v>599</v>
      </c>
      <c r="B227" s="375" t="s">
        <v>58</v>
      </c>
      <c r="C227" s="375" t="s">
        <v>287</v>
      </c>
      <c r="D227" s="26" t="s">
        <v>341</v>
      </c>
      <c r="E227" s="373" t="e">
        <f>INDEX('PY1 Data(H)'!$A$1:$CZ$265,MATCH('Unit Data from Audit Worksheet'!$A227,'PY1 Data(H)'!$A$1:$A$258,0),MATCH('Unit Data from Audit Worksheet'!$D$2,'PY1 Data(H)'!$A$1:$CZ$1,0))</f>
        <v>#N/A</v>
      </c>
      <c r="F227" s="808">
        <v>0</v>
      </c>
      <c r="G227" s="432" t="str">
        <f>IF(ISBLANK(F227),"Please do not leave blank","")</f>
        <v/>
      </c>
      <c r="H227" s="403">
        <f>IF(F227&lt;0,"Error: Enter as positive.",)</f>
        <v>0</v>
      </c>
      <c r="I227" s="72"/>
      <c r="J227" s="72"/>
      <c r="K227"/>
      <c r="L227" s="550"/>
      <c r="M227"/>
      <c r="N227" s="18"/>
      <c r="O227" s="187"/>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8" customFormat="1" ht="78.75" customHeight="1" x14ac:dyDescent="0.3">
      <c r="A228" s="100">
        <v>602</v>
      </c>
      <c r="B228" s="375" t="s">
        <v>58</v>
      </c>
      <c r="C228" s="375" t="s">
        <v>287</v>
      </c>
      <c r="D228" s="99" t="s">
        <v>345</v>
      </c>
      <c r="E228" s="373" t="e">
        <f>INDEX('PY1 Data(H)'!$A$1:$CZ$265,MATCH('Unit Data from Audit Worksheet'!$A228,'PY1 Data(H)'!$A$1:$A$258,0),MATCH('Unit Data from Audit Worksheet'!$D$2,'PY1 Data(H)'!$A$1:$CZ$1,0))</f>
        <v>#N/A</v>
      </c>
      <c r="F228" s="808">
        <v>0</v>
      </c>
      <c r="G228" s="432" t="str">
        <f>IF(ISBLANK(F228),"Please do not leave blank","")</f>
        <v/>
      </c>
      <c r="H228" s="403">
        <f>IF(F228&lt;0,"Note: Number is normally positive.",)</f>
        <v>0</v>
      </c>
      <c r="I228" s="72"/>
      <c r="J228" s="72"/>
      <c r="K228"/>
      <c r="L228" s="550"/>
      <c r="M228"/>
      <c r="N228" s="18"/>
      <c r="O228" s="187"/>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8" customFormat="1" ht="90" customHeight="1" x14ac:dyDescent="0.3">
      <c r="A229" s="100">
        <v>619</v>
      </c>
      <c r="B229" s="375" t="s">
        <v>58</v>
      </c>
      <c r="C229" s="375" t="s">
        <v>349</v>
      </c>
      <c r="D229" s="87" t="s">
        <v>352</v>
      </c>
      <c r="E229" s="810" t="e">
        <f>INDEX('PY1 Data(H)'!$A$1:$CZ$265,MATCH('Unit Data from Audit Worksheet'!$A229,'PY1 Data(H)'!$A$1:$A$258,0),MATCH('Unit Data from Audit Worksheet'!$D$2,'PY1 Data(H)'!$A$1:$CZ$1,0))</f>
        <v>#N/A</v>
      </c>
      <c r="F229" s="811">
        <v>0</v>
      </c>
      <c r="G229" s="432" t="str">
        <f>IF(ISBLANK(F229),"Please do not leave blank ",IF(F229=H229,"","Please review percentage"))</f>
        <v/>
      </c>
      <c r="H229" s="1031">
        <f>ROUND(IFERROR((F228/F227)*100,0),1)</f>
        <v>0</v>
      </c>
      <c r="I229" s="72"/>
      <c r="J229" s="187"/>
      <c r="K229"/>
      <c r="L229" s="550"/>
      <c r="M229"/>
      <c r="N229" s="18"/>
      <c r="O229" s="187"/>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92" t="s">
        <v>25</v>
      </c>
      <c r="C230" s="502"/>
      <c r="D230" s="495"/>
      <c r="E230" s="495"/>
      <c r="F230" s="509"/>
      <c r="G230" s="477"/>
      <c r="H230" s="17"/>
      <c r="I230" s="72"/>
      <c r="J230" s="72"/>
      <c r="K230"/>
      <c r="L230" s="550"/>
    </row>
    <row r="231" spans="1:1881" ht="151.19999999999999" customHeight="1" x14ac:dyDescent="0.3">
      <c r="A231" s="117">
        <v>621</v>
      </c>
      <c r="B231" s="117" t="s">
        <v>326</v>
      </c>
      <c r="C231" s="117" t="s">
        <v>356</v>
      </c>
      <c r="D231" s="116" t="s">
        <v>674</v>
      </c>
      <c r="E231" s="373" t="e">
        <f>INDEX('PY1 Data(H)'!$A$1:$CZ$265,MATCH('Unit Data from Audit Worksheet'!$A231,'PY1 Data(H)'!$A$1:$A$258,0),MATCH('Unit Data from Audit Worksheet'!$D$2,'PY1 Data(H)'!$A$1:$CZ$1,0))</f>
        <v>#N/A</v>
      </c>
      <c r="F231" s="808">
        <v>0</v>
      </c>
      <c r="G231" s="432" t="s">
        <v>675</v>
      </c>
      <c r="I231" s="72"/>
      <c r="K231"/>
      <c r="L231" s="550"/>
    </row>
    <row r="232" spans="1:1881" ht="178.2" customHeight="1" x14ac:dyDescent="0.3">
      <c r="A232" s="100">
        <v>547</v>
      </c>
      <c r="B232" s="375"/>
      <c r="C232" s="375" t="s">
        <v>159</v>
      </c>
      <c r="D232" s="751" t="s">
        <v>1623</v>
      </c>
      <c r="E232" s="373" t="e">
        <f>INDEX('PY1 Data(H)'!$A$1:$CZ$265,MATCH('Unit Data from Audit Worksheet'!$A232,'PY1 Data(H)'!$A$1:$A$258,0),MATCH('Unit Data from Audit Worksheet'!$D$2,'PY1 Data(H)'!$A$1:$CZ$1,0))</f>
        <v>#N/A</v>
      </c>
      <c r="F232" s="185"/>
      <c r="G232" s="431" t="str">
        <f>IF(F232&lt;1,"Please answer this question","")</f>
        <v>Please answer this question</v>
      </c>
      <c r="H232" s="404"/>
      <c r="I232" s="405"/>
      <c r="J232" s="405"/>
      <c r="K232"/>
      <c r="L232" s="550"/>
    </row>
    <row r="233" spans="1:1881" s="18" customFormat="1" ht="120" customHeight="1" x14ac:dyDescent="0.3">
      <c r="A233" s="191">
        <v>659</v>
      </c>
      <c r="B233" s="462" t="s">
        <v>58</v>
      </c>
      <c r="C233" s="462" t="s">
        <v>346</v>
      </c>
      <c r="D233" s="194" t="s">
        <v>676</v>
      </c>
      <c r="E233" s="373" t="e">
        <f>INDEX('PY1 Data(H)'!$A$1:$CZ$265,MATCH('Unit Data from Audit Worksheet'!$A233,'PY1 Data(H)'!$A$1:$A$258,0),MATCH('Unit Data from Audit Worksheet'!$D$2,'PY1 Data(H)'!$A$1:$CZ$1,0))</f>
        <v>#N/A</v>
      </c>
      <c r="F233" s="808">
        <v>0</v>
      </c>
      <c r="G233" s="432" t="s">
        <v>677</v>
      </c>
      <c r="H233" s="403">
        <f>IF(F230&lt;0,"Error: Enter as positive.",)</f>
        <v>0</v>
      </c>
      <c r="I233" s="244"/>
      <c r="J233" s="244"/>
      <c r="K233"/>
      <c r="L233" s="550"/>
      <c r="M233"/>
      <c r="O233" s="187"/>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91">
        <v>660</v>
      </c>
      <c r="B234" s="462" t="s">
        <v>58</v>
      </c>
      <c r="C234" s="462" t="s">
        <v>346</v>
      </c>
      <c r="D234" s="194" t="s">
        <v>678</v>
      </c>
      <c r="E234" s="373" t="e">
        <f>INDEX('PY1 Data(H)'!$A$1:$CZ$265,MATCH('Unit Data from Audit Worksheet'!$A234,'PY1 Data(H)'!$A$1:$A$258,0),MATCH('Unit Data from Audit Worksheet'!$D$2,'PY1 Data(H)'!$A$1:$CZ$1,0))</f>
        <v>#N/A</v>
      </c>
      <c r="F234" s="808">
        <v>0</v>
      </c>
      <c r="G234" s="432" t="str">
        <f>IF(ISBLANK(F234),"Please do not leave blank","")</f>
        <v/>
      </c>
      <c r="H234" s="403">
        <f>IF(F231&lt;0,"Note: Number is normally positive.",)</f>
        <v>0</v>
      </c>
      <c r="I234" s="17"/>
      <c r="J234" s="17"/>
      <c r="K234"/>
      <c r="L234" s="550"/>
    </row>
    <row r="235" spans="1:1881" ht="94.5" customHeight="1" x14ac:dyDescent="0.3">
      <c r="A235" s="191">
        <v>661</v>
      </c>
      <c r="B235" s="462" t="s">
        <v>58</v>
      </c>
      <c r="C235" s="462" t="s">
        <v>348</v>
      </c>
      <c r="D235" s="345" t="s">
        <v>679</v>
      </c>
      <c r="E235" s="810" t="e">
        <f>INDEX('PY1 Data(H)'!$A$1:$CZ$265,MATCH('Unit Data from Audit Worksheet'!$A235,'PY1 Data(H)'!$A$1:$A$258,0),MATCH('Unit Data from Audit Worksheet'!$D$2,'PY1 Data(H)'!$A$1:$CZ$1,0))</f>
        <v>#N/A</v>
      </c>
      <c r="F235" s="811">
        <v>0</v>
      </c>
      <c r="G235" s="432" t="str">
        <f>IF(ISBLANK(F235),"Please do not leave blank ",IF(F235=H235,"","Please review percentage"))</f>
        <v/>
      </c>
      <c r="H235" s="812">
        <f>ROUND(IFERROR((F234/F233)*100,0),1)</f>
        <v>0</v>
      </c>
      <c r="I235" s="1034"/>
      <c r="J235" s="433"/>
      <c r="K235"/>
      <c r="L235" s="550"/>
    </row>
    <row r="236" spans="1:1881" ht="111.75" customHeight="1" x14ac:dyDescent="0.3">
      <c r="A236" s="100"/>
      <c r="B236" s="375"/>
      <c r="C236" s="375"/>
      <c r="D236" s="24" t="s">
        <v>26</v>
      </c>
      <c r="E236" s="373"/>
      <c r="F236" s="377"/>
      <c r="G236" s="432"/>
      <c r="H236" s="433"/>
      <c r="I236" s="1035"/>
      <c r="J236" s="434"/>
      <c r="K236"/>
      <c r="L236" s="550"/>
    </row>
    <row r="237" spans="1:1881" ht="32.25" customHeight="1" x14ac:dyDescent="0.3">
      <c r="A237" s="100"/>
      <c r="B237" s="492" t="s">
        <v>27</v>
      </c>
      <c r="C237" s="502"/>
      <c r="D237" s="495"/>
      <c r="E237" s="508"/>
      <c r="F237" s="508"/>
      <c r="G237" s="477"/>
      <c r="H237" s="17"/>
      <c r="I237" s="72"/>
      <c r="J237" s="72"/>
      <c r="K237"/>
      <c r="L237" s="550"/>
    </row>
    <row r="238" spans="1:1881" ht="63.75" customHeight="1" x14ac:dyDescent="0.3">
      <c r="A238" s="30">
        <v>371</v>
      </c>
      <c r="B238" s="4" t="s">
        <v>55</v>
      </c>
      <c r="C238" s="4" t="s">
        <v>160</v>
      </c>
      <c r="D238" s="21" t="s">
        <v>772</v>
      </c>
      <c r="E238" s="373" t="e">
        <f>INDEX('PY1 Data(H)'!$A$1:$CZ$265,MATCH('Unit Data from Audit Worksheet'!$A238,'PY1 Data(H)'!$A$1:$A$258,0),MATCH('Unit Data from Audit Worksheet'!$D$2,'PY1 Data(H)'!$A$1:$CZ$1,0))</f>
        <v>#N/A</v>
      </c>
      <c r="F238" s="808">
        <v>0</v>
      </c>
      <c r="G238" s="403">
        <f>IF(F238&lt;0,"Error: Enter as positive.",)</f>
        <v>0</v>
      </c>
      <c r="H238" s="17"/>
      <c r="I238" s="72"/>
      <c r="J238" s="72"/>
      <c r="K238"/>
      <c r="L238" s="550"/>
    </row>
    <row r="239" spans="1:1881" ht="63.75" customHeight="1" x14ac:dyDescent="0.3">
      <c r="A239" s="628">
        <v>1075</v>
      </c>
      <c r="B239" s="796" t="s">
        <v>58</v>
      </c>
      <c r="C239" s="464" t="s">
        <v>160</v>
      </c>
      <c r="D239" s="655" t="s">
        <v>1921</v>
      </c>
      <c r="E239" s="630" t="s">
        <v>1660</v>
      </c>
      <c r="F239" s="808">
        <v>0</v>
      </c>
      <c r="G239" s="403"/>
      <c r="H239" s="17"/>
      <c r="I239" s="72"/>
      <c r="J239" s="72"/>
      <c r="K239" s="180"/>
      <c r="L239" s="550"/>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628">
        <v>1076</v>
      </c>
      <c r="B240" s="796" t="s">
        <v>58</v>
      </c>
      <c r="C240" s="464" t="s">
        <v>160</v>
      </c>
      <c r="D240" s="655" t="s">
        <v>1922</v>
      </c>
      <c r="E240" s="630" t="s">
        <v>1660</v>
      </c>
      <c r="F240" s="808">
        <v>0</v>
      </c>
      <c r="G240" s="403"/>
      <c r="H240" s="17"/>
      <c r="I240" s="72"/>
      <c r="J240" s="72"/>
      <c r="K240" s="180"/>
      <c r="L240" s="550"/>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628">
        <v>1077</v>
      </c>
      <c r="B241" s="796" t="s">
        <v>58</v>
      </c>
      <c r="C241" s="722" t="s">
        <v>1925</v>
      </c>
      <c r="D241" s="655" t="s">
        <v>1659</v>
      </c>
      <c r="E241" s="630" t="s">
        <v>1660</v>
      </c>
      <c r="F241" s="808">
        <v>0</v>
      </c>
      <c r="G241" s="403"/>
      <c r="H241" s="17"/>
      <c r="I241" s="72"/>
      <c r="J241" s="72"/>
      <c r="K241" s="180"/>
      <c r="L241" s="550"/>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60" t="s">
        <v>57</v>
      </c>
      <c r="C242" s="4" t="s">
        <v>160</v>
      </c>
      <c r="D242" s="21" t="s">
        <v>773</v>
      </c>
      <c r="E242" s="807" t="e">
        <f>INDEX('PY1 Data(H)'!$A$1:$CZ$265,MATCH('Unit Data from Audit Worksheet'!$A242,'PY1 Data(H)'!$A$1:$A$258,0),MATCH('Unit Data from Audit Worksheet'!$D$2,'PY1 Data(H)'!$A$1:$CZ$1,0))</f>
        <v>#N/A</v>
      </c>
      <c r="F242" s="185">
        <v>0</v>
      </c>
      <c r="G242" s="403">
        <f>IF(F242&lt;0,"Error: Enter as positive.",)</f>
        <v>0</v>
      </c>
      <c r="H242" s="404"/>
      <c r="I242" s="405"/>
      <c r="J242" s="405"/>
      <c r="K242"/>
      <c r="L242" s="550"/>
    </row>
    <row r="243" spans="1:123" ht="80.25" customHeight="1" x14ac:dyDescent="0.3">
      <c r="A243" s="100">
        <v>514</v>
      </c>
      <c r="B243" s="460" t="s">
        <v>57</v>
      </c>
      <c r="C243" s="4" t="s">
        <v>160</v>
      </c>
      <c r="D243" s="21" t="s">
        <v>774</v>
      </c>
      <c r="E243" s="807" t="e">
        <f>INDEX('PY1 Data(H)'!$A$1:$CZ$265,MATCH('Unit Data from Audit Worksheet'!$A243,'PY1 Data(H)'!$A$1:$A$258,0),MATCH('Unit Data from Audit Worksheet'!$D$2,'PY1 Data(H)'!$A$1:$CZ$1,0))</f>
        <v>#N/A</v>
      </c>
      <c r="F243" s="185">
        <v>0</v>
      </c>
      <c r="G243" s="403">
        <f>IF(F243&lt;0,"Error: Enter as positive.",)</f>
        <v>0</v>
      </c>
      <c r="H243" s="17"/>
      <c r="I243" s="405"/>
      <c r="J243" s="405"/>
      <c r="K243"/>
      <c r="L243" s="550"/>
    </row>
    <row r="244" spans="1:123" ht="80.25" customHeight="1" x14ac:dyDescent="0.3">
      <c r="A244" s="100">
        <v>990</v>
      </c>
      <c r="B244" s="962" t="s">
        <v>1971</v>
      </c>
      <c r="C244" s="375" t="s">
        <v>160</v>
      </c>
      <c r="D244" s="21" t="s">
        <v>1508</v>
      </c>
      <c r="E244" s="807" t="e">
        <f>INDEX('PY1 Data(H)'!$A$1:$CZ$265,MATCH('Unit Data from Audit Worksheet'!$A244,'PY1 Data(H)'!$A$1:$A$258,0),MATCH('Unit Data from Audit Worksheet'!$D$2,'PY1 Data(H)'!$A$1:$CZ$1,0))</f>
        <v>#N/A</v>
      </c>
      <c r="F244" s="185">
        <v>0</v>
      </c>
      <c r="G244" s="403">
        <f>IF(F244&lt;0,"Error: Enter as positive.",)</f>
        <v>0</v>
      </c>
      <c r="H244" s="17"/>
      <c r="I244" s="405"/>
      <c r="J244" s="405"/>
      <c r="K244"/>
      <c r="L244" s="550"/>
    </row>
    <row r="245" spans="1:123" ht="96" customHeight="1" x14ac:dyDescent="0.3">
      <c r="A245" s="375">
        <v>1051</v>
      </c>
      <c r="B245" s="964" t="s">
        <v>1967</v>
      </c>
      <c r="C245" s="716" t="s">
        <v>1513</v>
      </c>
      <c r="D245" s="795" t="s">
        <v>1504</v>
      </c>
      <c r="E245" s="807" t="e">
        <f>INDEX('PY1 Data(H)'!$A$1:$CZ$265,MATCH('Unit Data from Audit Worksheet'!$A245,'PY1 Data(H)'!$A$1:$A$258,0),MATCH('Unit Data from Audit Worksheet'!$D$2,'PY1 Data(H)'!$A$1:$CZ$1,0))</f>
        <v>#N/A</v>
      </c>
      <c r="F245" s="185">
        <v>0</v>
      </c>
      <c r="G245" s="403">
        <f>IF(F245&lt;0,"Error: Enter as positive.",)</f>
        <v>0</v>
      </c>
      <c r="H245" s="17"/>
      <c r="I245" s="405"/>
      <c r="J245" s="405"/>
      <c r="K245" s="180"/>
      <c r="L245" s="550"/>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92" t="s">
        <v>28</v>
      </c>
      <c r="C246" s="502"/>
      <c r="D246" s="495"/>
      <c r="E246" s="477"/>
      <c r="F246" s="477"/>
      <c r="G246" s="477"/>
      <c r="H246" s="17"/>
      <c r="I246" s="72"/>
      <c r="J246" s="72"/>
      <c r="K246"/>
      <c r="L246" s="550"/>
    </row>
    <row r="247" spans="1:123" ht="68.25" customHeight="1" x14ac:dyDescent="0.3">
      <c r="A247" s="100">
        <v>6</v>
      </c>
      <c r="B247" s="961" t="s">
        <v>1952</v>
      </c>
      <c r="C247" s="4" t="s">
        <v>161</v>
      </c>
      <c r="D247" s="21" t="s">
        <v>775</v>
      </c>
      <c r="E247" s="373" t="e">
        <f>INDEX('PY1 Data(H)'!$A$1:$CZ$265,MATCH('Unit Data from Audit Worksheet'!$A247,'PY1 Data(H)'!$A$1:$A$258,0),MATCH('Unit Data from Audit Worksheet'!$D$2,'PY1 Data(H)'!$A$1:$CZ$1,0))</f>
        <v>#N/A</v>
      </c>
      <c r="F247" s="808">
        <v>0</v>
      </c>
      <c r="G247" s="403">
        <f>IF(F247&lt;0,"Error: Enter as positive.",)</f>
        <v>0</v>
      </c>
      <c r="H247" s="17"/>
      <c r="I247" s="72"/>
      <c r="J247" s="72"/>
      <c r="K247"/>
      <c r="L247" s="550"/>
    </row>
    <row r="248" spans="1:123" ht="33" customHeight="1" x14ac:dyDescent="0.3">
      <c r="A248" s="100"/>
      <c r="B248" s="492" t="s">
        <v>172</v>
      </c>
      <c r="C248" s="502"/>
      <c r="D248" s="495"/>
      <c r="E248" s="487"/>
      <c r="F248" s="487"/>
      <c r="G248" s="487"/>
      <c r="H248" s="404"/>
      <c r="I248" s="405"/>
      <c r="J248" s="405"/>
      <c r="K248"/>
      <c r="L248" s="550"/>
    </row>
    <row r="249" spans="1:123" ht="141" customHeight="1" x14ac:dyDescent="0.3">
      <c r="A249" s="100">
        <v>541</v>
      </c>
      <c r="B249" s="375" t="s">
        <v>58</v>
      </c>
      <c r="C249" s="375" t="s">
        <v>776</v>
      </c>
      <c r="D249" s="372" t="s">
        <v>777</v>
      </c>
      <c r="E249" s="373" t="e">
        <f>INDEX('PY1 Data(H)'!$A$1:$CZ$265,MATCH('Unit Data from Audit Worksheet'!$A249,'PY1 Data(H)'!$A$1:$A$258,0),MATCH('Unit Data from Audit Worksheet'!$D$2,'PY1 Data(H)'!$A$1:$CZ$1,0))</f>
        <v>#N/A</v>
      </c>
      <c r="F249" s="808">
        <v>0</v>
      </c>
      <c r="G249" s="403"/>
      <c r="H249" s="404"/>
      <c r="I249" s="405"/>
      <c r="J249" s="405"/>
      <c r="K249"/>
      <c r="L249" s="550"/>
    </row>
    <row r="250" spans="1:123" ht="28.5" customHeight="1" x14ac:dyDescent="0.3">
      <c r="A250" s="100"/>
      <c r="B250" s="492" t="s">
        <v>49</v>
      </c>
      <c r="C250" s="502"/>
      <c r="D250" s="495"/>
      <c r="E250" s="506"/>
      <c r="F250" s="506"/>
      <c r="G250" s="506"/>
      <c r="H250" s="404"/>
      <c r="I250" s="405"/>
      <c r="J250" s="405"/>
      <c r="K250"/>
      <c r="L250" s="550"/>
    </row>
    <row r="251" spans="1:123" ht="91.95" customHeight="1" x14ac:dyDescent="0.3">
      <c r="A251" s="100">
        <v>542</v>
      </c>
      <c r="B251" s="375" t="s">
        <v>58</v>
      </c>
      <c r="C251" s="467" t="s">
        <v>778</v>
      </c>
      <c r="D251" s="26" t="s">
        <v>162</v>
      </c>
      <c r="E251" s="373" t="e">
        <f>INDEX('PY1 Data(H)'!$A$1:$CZ$265,MATCH('Unit Data from Audit Worksheet'!$A251,'PY1 Data(H)'!$A$1:$A$258,0),MATCH('Unit Data from Audit Worksheet'!$D$2,'PY1 Data(H)'!$A$1:$CZ$1,0))</f>
        <v>#N/A</v>
      </c>
      <c r="F251" s="808">
        <v>0</v>
      </c>
      <c r="G251" s="403"/>
      <c r="H251" s="404"/>
      <c r="I251" s="435"/>
      <c r="J251" s="435"/>
      <c r="K251"/>
      <c r="L251" s="550"/>
    </row>
    <row r="252" spans="1:123" ht="21.6" customHeight="1" x14ac:dyDescent="0.3">
      <c r="A252" s="100"/>
      <c r="B252" s="492" t="s">
        <v>779</v>
      </c>
      <c r="C252" s="715"/>
      <c r="D252" s="470"/>
      <c r="E252" s="489"/>
      <c r="F252" s="489"/>
      <c r="G252" s="489"/>
      <c r="H252" s="17"/>
      <c r="I252" s="72"/>
      <c r="J252" s="72"/>
      <c r="K252"/>
      <c r="L252" s="550"/>
    </row>
    <row r="253" spans="1:123" ht="12.6" customHeight="1" x14ac:dyDescent="0.3">
      <c r="A253" s="100"/>
      <c r="B253" s="750" t="s">
        <v>12</v>
      </c>
      <c r="C253" s="723"/>
      <c r="D253" s="470"/>
      <c r="E253" s="510"/>
      <c r="F253" s="510"/>
      <c r="G253" s="489"/>
      <c r="H253" s="17"/>
      <c r="I253" s="72"/>
      <c r="J253" s="72"/>
      <c r="K253"/>
      <c r="L253" s="550"/>
    </row>
    <row r="254" spans="1:123" ht="77.25" customHeight="1" x14ac:dyDescent="0.3">
      <c r="A254" s="100">
        <v>528</v>
      </c>
      <c r="B254" s="375" t="s">
        <v>54</v>
      </c>
      <c r="C254" s="4" t="s">
        <v>163</v>
      </c>
      <c r="D254" s="324" t="s">
        <v>1934</v>
      </c>
      <c r="E254" s="373" t="e">
        <f>INDEX('PY1 Data(H)'!$A$1:$CZ$265,MATCH('Unit Data from Audit Worksheet'!$A254,'PY1 Data(H)'!$A$1:$A$258,0),MATCH('Unit Data from Audit Worksheet'!$D$2,'PY1 Data(H)'!$A$1:$CZ$1,0))</f>
        <v>#N/A</v>
      </c>
      <c r="F254" s="808">
        <v>0</v>
      </c>
      <c r="G254" s="403">
        <f>IF(F254="","Error: Unit must enter this information if they levy taxes.",)</f>
        <v>0</v>
      </c>
      <c r="H254" s="436"/>
      <c r="I254" s="72"/>
      <c r="J254" s="72"/>
      <c r="K254"/>
      <c r="L254" s="550"/>
    </row>
    <row r="255" spans="1:123" ht="69" customHeight="1" x14ac:dyDescent="0.3">
      <c r="A255" s="100">
        <v>529</v>
      </c>
      <c r="B255" s="375" t="s">
        <v>54</v>
      </c>
      <c r="C255" s="4" t="s">
        <v>163</v>
      </c>
      <c r="D255" s="324" t="s">
        <v>780</v>
      </c>
      <c r="E255" s="373" t="e">
        <f>INDEX('PY1 Data(H)'!$A$1:$CZ$265,MATCH('Unit Data from Audit Worksheet'!$A255,'PY1 Data(H)'!$A$1:$A$258,0),MATCH('Unit Data from Audit Worksheet'!$D$2,'PY1 Data(H)'!$A$1:$CZ$1,0))</f>
        <v>#N/A</v>
      </c>
      <c r="F255" s="808">
        <v>0</v>
      </c>
      <c r="G255" s="403">
        <f>IF(F255="","Error: Unit must enter this information if they levy taxes.",)</f>
        <v>0</v>
      </c>
      <c r="H255" s="17"/>
      <c r="I255" s="72"/>
      <c r="J255" s="72"/>
      <c r="K255"/>
      <c r="L255" s="550"/>
    </row>
    <row r="256" spans="1:123" ht="69" customHeight="1" x14ac:dyDescent="0.3">
      <c r="A256" s="100">
        <v>530</v>
      </c>
      <c r="B256" s="375" t="s">
        <v>54</v>
      </c>
      <c r="C256" s="4" t="s">
        <v>163</v>
      </c>
      <c r="D256" s="468" t="s">
        <v>781</v>
      </c>
      <c r="E256" s="373" t="e">
        <f>INDEX('PY1 Data(H)'!$A$1:$CZ$265,MATCH('Unit Data from Audit Worksheet'!$A256,'PY1 Data(H)'!$A$1:$A$258,0),MATCH('Unit Data from Audit Worksheet'!$D$2,'PY1 Data(H)'!$A$1:$CZ$1,0))</f>
        <v>#N/A</v>
      </c>
      <c r="F256" s="808">
        <v>0</v>
      </c>
      <c r="G256" s="403">
        <f>IF(F256="","Error: Unit must enter this information if they levy taxes.",)</f>
        <v>0</v>
      </c>
      <c r="H256" s="17"/>
      <c r="I256" s="72"/>
      <c r="J256" s="72"/>
      <c r="K256"/>
      <c r="L256" s="550"/>
    </row>
    <row r="257" spans="1:16" ht="55.5" customHeight="1" x14ac:dyDescent="0.3">
      <c r="A257" s="100">
        <v>531</v>
      </c>
      <c r="B257" s="375" t="s">
        <v>54</v>
      </c>
      <c r="C257" s="4" t="s">
        <v>163</v>
      </c>
      <c r="D257" s="468" t="s">
        <v>782</v>
      </c>
      <c r="E257" s="373" t="e">
        <f>INDEX('PY1 Data(H)'!$A$1:$CZ$265,MATCH('Unit Data from Audit Worksheet'!$A257,'PY1 Data(H)'!$A$1:$A$258,0),MATCH('Unit Data from Audit Worksheet'!$D$2,'PY1 Data(H)'!$A$1:$CZ$1,0))</f>
        <v>#N/A</v>
      </c>
      <c r="F257" s="808">
        <v>0</v>
      </c>
      <c r="G257" s="403">
        <f>IF(F257="","Error: Unit must enter this information if they levy taxes.",)</f>
        <v>0</v>
      </c>
      <c r="H257" s="17"/>
      <c r="I257" s="72"/>
      <c r="J257" s="72"/>
      <c r="K257"/>
      <c r="L257" s="550"/>
    </row>
    <row r="258" spans="1:16" ht="69" customHeight="1" x14ac:dyDescent="0.3">
      <c r="A258" s="100">
        <v>61</v>
      </c>
      <c r="B258" s="4" t="s">
        <v>58</v>
      </c>
      <c r="C258" s="4" t="s">
        <v>163</v>
      </c>
      <c r="D258" s="26" t="s">
        <v>783</v>
      </c>
      <c r="E258" s="816" t="e">
        <f>INDEX('PY1 Data(H)'!$A$1:$CZ$265,MATCH('Unit Data from Audit Worksheet'!$A258,'PY1 Data(H)'!$A$1:$A$258,0),MATCH('Unit Data from Audit Worksheet'!$D$2,'PY1 Data(H)'!$A$1:$CZ$1,0))</f>
        <v>#N/A</v>
      </c>
      <c r="F258" s="817">
        <v>0</v>
      </c>
      <c r="G258" s="403" t="e">
        <f>IF(F258=H258," ","Please check values in account 528, 529, 530 and  531.")</f>
        <v>#DIV/0!</v>
      </c>
      <c r="H258" s="437" t="e">
        <f>ROUND((F254+F255-F256-F257)/(F254+F255)*100,2)</f>
        <v>#DIV/0!</v>
      </c>
      <c r="I258" s="72"/>
      <c r="J258" s="72"/>
      <c r="K258"/>
      <c r="L258" s="550"/>
    </row>
    <row r="259" spans="1:16" ht="69" customHeight="1" x14ac:dyDescent="0.3">
      <c r="A259" s="100">
        <v>102</v>
      </c>
      <c r="B259" s="4" t="s">
        <v>58</v>
      </c>
      <c r="C259" s="4" t="s">
        <v>163</v>
      </c>
      <c r="D259" s="53" t="s">
        <v>784</v>
      </c>
      <c r="E259" s="816" t="e">
        <f>INDEX('PY1 Data(H)'!$A$1:$CZ$265,MATCH('Unit Data from Audit Worksheet'!$A259,'PY1 Data(H)'!$A$1:$A$258,0),MATCH('Unit Data from Audit Worksheet'!$D$2,'PY1 Data(H)'!$A$1:$CZ$1,0))</f>
        <v>#N/A</v>
      </c>
      <c r="F259" s="817">
        <v>0</v>
      </c>
      <c r="G259" s="403" t="e">
        <f>IF(F259=H259," ","Please check values in account 528 and 530.")</f>
        <v>#DIV/0!</v>
      </c>
      <c r="H259" s="437" t="e">
        <f>ROUND((F254-F256)/(F254)*100,2)</f>
        <v>#DIV/0!</v>
      </c>
      <c r="I259" s="72"/>
      <c r="J259" s="72"/>
      <c r="K259"/>
      <c r="L259" s="550"/>
    </row>
    <row r="260" spans="1:16" ht="63.75" customHeight="1" x14ac:dyDescent="0.3">
      <c r="A260" s="100">
        <v>103</v>
      </c>
      <c r="B260" s="4" t="s">
        <v>58</v>
      </c>
      <c r="C260" s="4" t="s">
        <v>163</v>
      </c>
      <c r="D260" s="26" t="s">
        <v>785</v>
      </c>
      <c r="E260" s="816" t="e">
        <f>INDEX('PY1 Data(H)'!$A$1:$CZ$265,MATCH('Unit Data from Audit Worksheet'!$A260,'PY1 Data(H)'!$A$1:$A$258,0),MATCH('Unit Data from Audit Worksheet'!$D$2,'PY1 Data(H)'!$A$1:$CZ$1,0))</f>
        <v>#N/A</v>
      </c>
      <c r="F260" s="817">
        <v>0</v>
      </c>
      <c r="G260" s="403" t="e">
        <f>IF(F260=H260," ","Please check values in account 529 and 531.")</f>
        <v>#DIV/0!</v>
      </c>
      <c r="H260" s="437" t="e">
        <f>ROUND((F255-F257)/F255*100,2)</f>
        <v>#DIV/0!</v>
      </c>
      <c r="I260" s="72"/>
      <c r="J260" s="72"/>
      <c r="K260"/>
      <c r="L260" s="550"/>
      <c r="N260" s="18" t="s">
        <v>563</v>
      </c>
    </row>
    <row r="261" spans="1:16" ht="72" customHeight="1" x14ac:dyDescent="0.3">
      <c r="A261" s="100">
        <v>544</v>
      </c>
      <c r="B261" s="375" t="s">
        <v>58</v>
      </c>
      <c r="C261" s="375" t="s">
        <v>163</v>
      </c>
      <c r="D261" s="21" t="s">
        <v>786</v>
      </c>
      <c r="E261" s="662" t="e">
        <f>INDEX('PY1 Data(H)'!$A$1:$CZ$265,MATCH('Unit Data from Audit Worksheet'!$A261,'PY1 Data(H)'!$A$1:$A$258,0),MATCH('Unit Data from Audit Worksheet'!$D$2,'PY1 Data(H)'!$A$1:$CZ$1,0))</f>
        <v>#N/A</v>
      </c>
      <c r="F261" s="813">
        <v>0</v>
      </c>
      <c r="G261" s="403"/>
      <c r="H261" s="17"/>
      <c r="I261" s="1036"/>
      <c r="J261" s="100"/>
      <c r="K261"/>
      <c r="L261" s="550"/>
      <c r="N261" s="18" t="s">
        <v>50</v>
      </c>
    </row>
    <row r="262" spans="1:16" ht="73.5" customHeight="1" x14ac:dyDescent="0.3">
      <c r="A262" s="100">
        <v>545</v>
      </c>
      <c r="B262" s="375" t="s">
        <v>58</v>
      </c>
      <c r="C262" s="375" t="s">
        <v>163</v>
      </c>
      <c r="D262" s="21" t="s">
        <v>787</v>
      </c>
      <c r="E262" s="532"/>
      <c r="F262" s="813">
        <v>0</v>
      </c>
      <c r="G262" s="403"/>
      <c r="H262" s="17"/>
      <c r="I262" s="1037"/>
      <c r="J262" s="127"/>
      <c r="K262"/>
      <c r="L262" s="550"/>
      <c r="N262" s="18" t="s">
        <v>51</v>
      </c>
    </row>
    <row r="263" spans="1:16" ht="66" customHeight="1" x14ac:dyDescent="0.3">
      <c r="A263" s="117">
        <v>624</v>
      </c>
      <c r="B263" s="117" t="s">
        <v>58</v>
      </c>
      <c r="C263" s="117"/>
      <c r="D263" s="116" t="s">
        <v>357</v>
      </c>
      <c r="E263" s="532"/>
      <c r="F263" s="714"/>
      <c r="G263" s="431" t="str">
        <f>IF(+F263&lt;1,"Please answer this question","")</f>
        <v>Please answer this question</v>
      </c>
      <c r="H263" s="17"/>
      <c r="I263" s="1036"/>
      <c r="J263" s="100"/>
      <c r="K263"/>
      <c r="L263" s="550"/>
      <c r="N263" s="18" t="s">
        <v>564</v>
      </c>
    </row>
    <row r="264" spans="1:16" ht="70.5" customHeight="1" x14ac:dyDescent="0.3">
      <c r="A264" s="117">
        <v>648</v>
      </c>
      <c r="B264" s="966" t="s">
        <v>1970</v>
      </c>
      <c r="C264" s="117" t="s">
        <v>163</v>
      </c>
      <c r="D264" s="116" t="s">
        <v>672</v>
      </c>
      <c r="E264" s="662" t="e">
        <f>INDEX('PY1 Data(H)'!$A$1:$CZ$265,MATCH('Unit Data from Audit Worksheet'!$A264,'PY1 Data(H)'!$A$1:$A$258,0),MATCH('Unit Data from Audit Worksheet'!$D$2,'PY1 Data(H)'!$A$1:$CZ$1,0))</f>
        <v>#N/A</v>
      </c>
      <c r="F264" s="813">
        <v>0</v>
      </c>
      <c r="G264" s="431"/>
      <c r="H264" s="17"/>
      <c r="I264" s="1036"/>
      <c r="J264" s="100"/>
      <c r="K264"/>
      <c r="L264" s="550"/>
    </row>
    <row r="265" spans="1:16" ht="180" customHeight="1" x14ac:dyDescent="0.3">
      <c r="A265" s="117">
        <v>991</v>
      </c>
      <c r="B265" s="966" t="s">
        <v>1967</v>
      </c>
      <c r="C265" s="117"/>
      <c r="D265" s="753" t="s">
        <v>1663</v>
      </c>
      <c r="E265" s="525"/>
      <c r="F265" s="714"/>
      <c r="G265" s="431"/>
      <c r="H265" s="1066" t="s">
        <v>1664</v>
      </c>
      <c r="I265" s="1033"/>
      <c r="J265" s="179"/>
      <c r="K265"/>
      <c r="L265" s="550"/>
      <c r="N265" s="18" t="s">
        <v>584</v>
      </c>
    </row>
    <row r="266" spans="1:16" ht="27.75" customHeight="1" x14ac:dyDescent="0.3">
      <c r="A266" s="100"/>
      <c r="B266" s="492" t="s">
        <v>350</v>
      </c>
      <c r="C266" s="492"/>
      <c r="D266" s="492"/>
      <c r="E266" s="511"/>
      <c r="F266" s="511"/>
      <c r="G266" s="512"/>
      <c r="H266" s="17"/>
      <c r="I266" s="1036"/>
      <c r="J266" s="100"/>
      <c r="K266"/>
      <c r="L266" s="550"/>
      <c r="N266" s="18" t="s">
        <v>585</v>
      </c>
    </row>
    <row r="267" spans="1:16" ht="84.6" customHeight="1" x14ac:dyDescent="0.3">
      <c r="A267" s="100">
        <v>620</v>
      </c>
      <c r="B267" s="375" t="s">
        <v>58</v>
      </c>
      <c r="C267" s="375"/>
      <c r="D267" s="751" t="s">
        <v>1624</v>
      </c>
      <c r="E267" s="525"/>
      <c r="F267" s="714"/>
      <c r="G267" s="431" t="str">
        <f>IF(F267&lt;1,"Please answer this question","")</f>
        <v>Please answer this question</v>
      </c>
      <c r="H267" s="17"/>
      <c r="I267" s="1036"/>
      <c r="J267" s="100"/>
      <c r="K267"/>
      <c r="L267" s="550"/>
      <c r="N267" s="18" t="s">
        <v>586</v>
      </c>
    </row>
    <row r="268" spans="1:16" ht="123.75" customHeight="1" x14ac:dyDescent="0.3">
      <c r="A268" s="717"/>
      <c r="B268" s="1095" t="s">
        <v>461</v>
      </c>
      <c r="C268" s="1095"/>
      <c r="D268" s="1095"/>
      <c r="E268" s="522"/>
      <c r="F268" s="522"/>
      <c r="G268" s="522"/>
      <c r="H268" s="17"/>
      <c r="I268" s="1036"/>
      <c r="J268" s="100"/>
      <c r="K268"/>
      <c r="N268" s="18" t="s">
        <v>464</v>
      </c>
    </row>
    <row r="269" spans="1:16" ht="63" customHeight="1" x14ac:dyDescent="0.3">
      <c r="A269" s="191">
        <v>947</v>
      </c>
      <c r="B269" s="462"/>
      <c r="C269" s="462"/>
      <c r="D269" s="345" t="s">
        <v>423</v>
      </c>
      <c r="E269" s="573"/>
      <c r="F269" s="814"/>
      <c r="G269" s="431" t="str">
        <f>IF(ISBLANK(F269),"Please do not leave blank","")</f>
        <v>Please do not leave blank</v>
      </c>
      <c r="H269" s="17"/>
      <c r="I269" s="72"/>
      <c r="J269" s="187"/>
      <c r="K269"/>
      <c r="L269" s="187"/>
      <c r="N269" s="187"/>
      <c r="P269" s="187"/>
    </row>
    <row r="270" spans="1:16" ht="65.25" customHeight="1" x14ac:dyDescent="0.3">
      <c r="A270" s="191">
        <v>948</v>
      </c>
      <c r="B270" s="462"/>
      <c r="C270" s="462"/>
      <c r="D270" s="345" t="s">
        <v>424</v>
      </c>
      <c r="E270" s="573"/>
      <c r="F270" s="814"/>
      <c r="G270" s="431" t="str">
        <f t="shared" ref="G270:G272" si="4">IF(ISBLANK(F270),"Please do not leave blank","")</f>
        <v>Please do not leave blank</v>
      </c>
      <c r="H270" s="17"/>
      <c r="I270" s="72"/>
      <c r="J270" s="187"/>
      <c r="K270"/>
      <c r="L270" s="187"/>
      <c r="N270" s="187"/>
      <c r="P270" s="187"/>
    </row>
    <row r="271" spans="1:16" ht="76.5" customHeight="1" x14ac:dyDescent="0.3">
      <c r="A271" s="191">
        <v>949</v>
      </c>
      <c r="B271" s="462"/>
      <c r="C271" s="462"/>
      <c r="D271" s="345" t="s">
        <v>425</v>
      </c>
      <c r="E271" s="573"/>
      <c r="F271" s="814"/>
      <c r="G271" s="431" t="str">
        <f t="shared" si="4"/>
        <v>Please do not leave blank</v>
      </c>
      <c r="H271" s="17"/>
      <c r="I271" s="72"/>
      <c r="J271" s="187"/>
      <c r="K271"/>
      <c r="L271" s="187"/>
      <c r="N271" s="187"/>
      <c r="P271" s="187"/>
    </row>
    <row r="272" spans="1:16" ht="60" customHeight="1" x14ac:dyDescent="0.3">
      <c r="A272" s="191">
        <v>950</v>
      </c>
      <c r="B272" s="462"/>
      <c r="C272" s="462"/>
      <c r="D272" s="345" t="s">
        <v>1642</v>
      </c>
      <c r="E272" s="573"/>
      <c r="F272" s="814"/>
      <c r="G272" s="431" t="str">
        <f t="shared" si="4"/>
        <v>Please do not leave blank</v>
      </c>
      <c r="H272" s="17"/>
      <c r="I272" s="72"/>
      <c r="J272" s="187"/>
      <c r="K272"/>
      <c r="L272" s="187"/>
      <c r="N272" s="187"/>
      <c r="P272" s="187"/>
    </row>
    <row r="273" spans="1:16" ht="80.400000000000006" customHeight="1" x14ac:dyDescent="0.3">
      <c r="A273" s="191">
        <v>952</v>
      </c>
      <c r="B273" s="462"/>
      <c r="C273" s="462"/>
      <c r="D273" s="416" t="s">
        <v>1620</v>
      </c>
      <c r="E273" s="573"/>
      <c r="F273" s="815"/>
      <c r="G273" s="431" t="s">
        <v>807</v>
      </c>
      <c r="H273" s="17"/>
      <c r="I273" s="1038"/>
      <c r="J273" s="438"/>
      <c r="K273"/>
      <c r="L273" s="187"/>
      <c r="N273" s="187"/>
      <c r="P273" s="187"/>
    </row>
    <row r="274" spans="1:16" ht="33" customHeight="1" thickBot="1" x14ac:dyDescent="0.35">
      <c r="A274" s="100"/>
      <c r="B274" s="513"/>
      <c r="C274" s="514"/>
      <c r="D274" s="515" t="s">
        <v>414</v>
      </c>
      <c r="E274" s="501"/>
      <c r="F274" s="516"/>
      <c r="G274" s="517"/>
      <c r="H274" s="518"/>
      <c r="I274" s="72"/>
      <c r="J274" s="187"/>
      <c r="K274"/>
      <c r="L274" s="187"/>
      <c r="N274" s="187"/>
      <c r="P274" s="187"/>
    </row>
    <row r="275" spans="1:16" ht="15" thickBot="1" x14ac:dyDescent="0.35">
      <c r="B275" s="1092" t="s">
        <v>462</v>
      </c>
      <c r="C275" s="1093"/>
      <c r="D275" s="1093"/>
      <c r="E275" s="1094"/>
      <c r="F275" s="72"/>
      <c r="G275" s="431"/>
      <c r="H275" s="17"/>
      <c r="I275" s="1036"/>
      <c r="J275" s="100"/>
      <c r="K275"/>
    </row>
    <row r="276" spans="1:16" ht="75.75" customHeight="1" x14ac:dyDescent="0.3">
      <c r="B276" s="1078" t="s">
        <v>463</v>
      </c>
      <c r="C276" s="1078"/>
      <c r="D276" s="1078"/>
      <c r="E276" s="1078"/>
      <c r="F276" s="72"/>
      <c r="G276" s="431"/>
      <c r="H276" s="17"/>
      <c r="I276" s="1036"/>
      <c r="J276" s="100"/>
      <c r="K276"/>
    </row>
    <row r="277" spans="1:16" ht="15" thickBot="1" x14ac:dyDescent="0.35">
      <c r="A277" s="719"/>
      <c r="B277" s="439"/>
      <c r="C277" s="439"/>
      <c r="D277" s="440"/>
      <c r="E277" s="373"/>
      <c r="F277" s="72"/>
      <c r="G277" s="431"/>
      <c r="H277" s="17"/>
      <c r="I277" s="1036"/>
      <c r="J277" s="100"/>
      <c r="K277"/>
    </row>
    <row r="278" spans="1:16" ht="15" thickBot="1" x14ac:dyDescent="0.35">
      <c r="B278" s="149" t="s">
        <v>403</v>
      </c>
      <c r="C278" s="150" t="s">
        <v>404</v>
      </c>
      <c r="D278" s="441"/>
      <c r="E278" s="442"/>
      <c r="F278" s="92"/>
      <c r="G278" s="431"/>
      <c r="H278" s="17"/>
      <c r="I278" s="1036"/>
      <c r="J278" s="100"/>
      <c r="K278"/>
    </row>
    <row r="279" spans="1:16" ht="44.25" customHeight="1" thickBot="1" x14ac:dyDescent="0.35">
      <c r="B279" s="153" t="s">
        <v>428</v>
      </c>
      <c r="C279" s="152"/>
      <c r="D279" s="151"/>
      <c r="E279" s="376"/>
      <c r="F279" s="443"/>
      <c r="G279" s="431"/>
      <c r="H279" s="17"/>
      <c r="I279" s="1036"/>
      <c r="J279" s="100"/>
      <c r="K279"/>
    </row>
    <row r="280" spans="1:16" ht="44.25" customHeight="1" thickBot="1" x14ac:dyDescent="0.35">
      <c r="B280" s="153"/>
      <c r="C280" s="159"/>
      <c r="D280" s="444" t="s">
        <v>452</v>
      </c>
      <c r="E280" s="445"/>
      <c r="F280" s="446"/>
      <c r="G280" s="446"/>
      <c r="H280" s="17"/>
      <c r="I280" s="1036"/>
      <c r="J280" s="100"/>
    </row>
    <row r="281" spans="1:16" ht="32.4" customHeight="1" thickBot="1" x14ac:dyDescent="0.35">
      <c r="A281" s="279">
        <v>960</v>
      </c>
      <c r="B281" s="1085" t="s">
        <v>429</v>
      </c>
      <c r="C281" s="1086"/>
      <c r="D281" s="1067"/>
      <c r="E281" s="651" t="str">
        <f>IF(ISBLANK($D281),"&lt;&lt;&lt;&lt;&lt;&lt;&lt;&lt;&lt;&lt;&lt;&lt;&lt;&lt;&lt;","")</f>
        <v>&lt;&lt;&lt;&lt;&lt;&lt;&lt;&lt;&lt;&lt;&lt;&lt;&lt;&lt;&lt;</v>
      </c>
      <c r="F281" s="652" t="str">
        <f>IF(ISBLANK($D281),"Required","")</f>
        <v>Required</v>
      </c>
      <c r="G281" s="523"/>
      <c r="H281" s="404"/>
      <c r="I281" s="1036"/>
      <c r="J281" s="100"/>
    </row>
    <row r="282" spans="1:16" ht="32.4" customHeight="1" thickBot="1" x14ac:dyDescent="0.35">
      <c r="A282" s="279">
        <v>962</v>
      </c>
      <c r="B282" s="1083" t="s">
        <v>405</v>
      </c>
      <c r="C282" s="1084"/>
      <c r="D282" s="1067"/>
      <c r="E282" s="651" t="str">
        <f>IF(ISBLANK($D282),"&lt;&lt;&lt;&lt;&lt;&lt;&lt;&lt;&lt;&lt;&lt;&lt;&lt;&lt;&lt;","")</f>
        <v>&lt;&lt;&lt;&lt;&lt;&lt;&lt;&lt;&lt;&lt;&lt;&lt;&lt;&lt;&lt;</v>
      </c>
      <c r="F282" s="652" t="str">
        <f>IF(ISBLANK($D282),"Required","")</f>
        <v>Required</v>
      </c>
      <c r="H282" s="17"/>
      <c r="I282" s="1036"/>
      <c r="J282" s="100"/>
    </row>
    <row r="283" spans="1:16" ht="32.4" customHeight="1" thickBot="1" x14ac:dyDescent="0.35">
      <c r="A283" s="279">
        <v>964</v>
      </c>
      <c r="B283" s="1083" t="s">
        <v>406</v>
      </c>
      <c r="C283" s="1084"/>
      <c r="D283" s="1068"/>
      <c r="E283" s="651" t="str">
        <f>IF(ISBLANK($D283),"&lt;&lt;&lt;&lt;&lt;&lt;&lt;&lt;&lt;&lt;&lt;&lt;&lt;&lt;&lt;","")</f>
        <v>&lt;&lt;&lt;&lt;&lt;&lt;&lt;&lt;&lt;&lt;&lt;&lt;&lt;&lt;&lt;</v>
      </c>
      <c r="F283" s="652" t="str">
        <f>IF(ISBLANK($D283),"Required","")</f>
        <v>Required</v>
      </c>
      <c r="H283" s="17"/>
      <c r="I283" s="1039"/>
      <c r="J283" s="236"/>
    </row>
    <row r="284" spans="1:16" ht="32.4" customHeight="1" thickBot="1" x14ac:dyDescent="0.35">
      <c r="A284" s="650">
        <v>966</v>
      </c>
      <c r="B284" s="1079" t="s">
        <v>1618</v>
      </c>
      <c r="C284" s="1080"/>
      <c r="D284" s="1069"/>
      <c r="E284" s="651" t="str">
        <f>IF(ISBLANK($D284),"&lt;&lt;&lt;&lt;&lt;&lt;&lt;&lt;&lt;&lt;&lt;&lt;&lt;&lt;&lt;","")</f>
        <v>&lt;&lt;&lt;&lt;&lt;&lt;&lt;&lt;&lt;&lt;&lt;&lt;&lt;&lt;&lt;</v>
      </c>
      <c r="F284" s="652" t="str">
        <f>IF(ISBLANK($D284),"Required","")</f>
        <v>Required</v>
      </c>
      <c r="G284"/>
      <c r="H284" s="17"/>
      <c r="I284" s="1036"/>
      <c r="J284" s="100"/>
    </row>
    <row r="285" spans="1:16" ht="32.4" customHeight="1" thickBot="1" x14ac:dyDescent="0.35">
      <c r="A285" s="650"/>
      <c r="B285" s="1079" t="s">
        <v>1619</v>
      </c>
      <c r="C285" s="1080"/>
      <c r="D285" s="1067"/>
      <c r="E285" s="653"/>
      <c r="F285" s="652"/>
      <c r="G285"/>
      <c r="H285" s="17"/>
      <c r="I285" s="1036"/>
      <c r="J285" s="100"/>
    </row>
    <row r="286" spans="1:16" ht="32.4" customHeight="1" thickBot="1" x14ac:dyDescent="0.35">
      <c r="A286" s="279">
        <v>968</v>
      </c>
      <c r="B286" s="1081" t="s">
        <v>408</v>
      </c>
      <c r="C286" s="1082"/>
      <c r="D286" s="1070"/>
      <c r="E286" s="654" t="str">
        <f>IF(ISBLANK($D286),"&lt;&lt;&lt;&lt;&lt;&lt;&lt;&lt;&lt;&lt;&lt;&lt;&lt;&lt;&lt;","")</f>
        <v>&lt;&lt;&lt;&lt;&lt;&lt;&lt;&lt;&lt;&lt;&lt;&lt;&lt;&lt;&lt;</v>
      </c>
      <c r="F286" s="652" t="str">
        <f>IF(ISBLANK($D286),"Required","")</f>
        <v>Required</v>
      </c>
      <c r="H286" s="17"/>
      <c r="I286" s="1036"/>
      <c r="J286" s="100"/>
    </row>
    <row r="287" spans="1:16" ht="17.399999999999999" customHeight="1" x14ac:dyDescent="0.3">
      <c r="A287" s="100"/>
      <c r="B287" s="519"/>
      <c r="C287" s="519"/>
      <c r="D287" s="524" t="s">
        <v>45</v>
      </c>
      <c r="E287" s="520"/>
      <c r="F287" s="520"/>
      <c r="G287" s="520"/>
      <c r="H287" s="521"/>
      <c r="I287" s="1036"/>
      <c r="J287" s="100"/>
    </row>
    <row r="288" spans="1:16" x14ac:dyDescent="0.3">
      <c r="A288" s="100"/>
      <c r="B288" s="375"/>
      <c r="C288" s="375"/>
      <c r="D288" s="157"/>
      <c r="E288" s="188"/>
      <c r="F288" s="447"/>
      <c r="G288" s="447"/>
      <c r="H288" s="17"/>
      <c r="I288" s="100"/>
      <c r="J288" s="100"/>
    </row>
    <row r="289" spans="1:10" x14ac:dyDescent="0.3">
      <c r="A289" s="100"/>
      <c r="B289" s="375"/>
      <c r="C289" s="375"/>
      <c r="D289" s="21"/>
      <c r="E289" s="373"/>
      <c r="F289" s="447"/>
      <c r="G289" s="447"/>
      <c r="H289" s="17"/>
      <c r="I289" s="100"/>
      <c r="J289" s="100"/>
    </row>
    <row r="290" spans="1:10" x14ac:dyDescent="0.3">
      <c r="A290" s="720">
        <f>SUBTOTAL(109,A9:A286)</f>
        <v>106600</v>
      </c>
      <c r="E290" s="550"/>
    </row>
    <row r="291" spans="1:10" x14ac:dyDescent="0.3">
      <c r="A291" s="100"/>
      <c r="B291" s="469"/>
      <c r="C291" s="469"/>
      <c r="D291" s="448"/>
      <c r="E291" s="252"/>
      <c r="F291" s="18"/>
      <c r="G291" s="449"/>
      <c r="H291" s="17"/>
      <c r="I291" s="100"/>
      <c r="J291" s="100"/>
    </row>
    <row r="292" spans="1:10" x14ac:dyDescent="0.3">
      <c r="B292" s="279"/>
      <c r="C292" s="279"/>
      <c r="D292" s="448" t="s">
        <v>1721</v>
      </c>
      <c r="E292" s="252" t="e">
        <f>SUM(E9:E267)</f>
        <v>#N/A</v>
      </c>
      <c r="F292" s="187"/>
      <c r="G292" s="449"/>
      <c r="H292" s="17"/>
      <c r="I292" s="100"/>
      <c r="J292" s="100"/>
    </row>
    <row r="293" spans="1:10" x14ac:dyDescent="0.3">
      <c r="B293" s="279"/>
      <c r="C293" s="279"/>
      <c r="D293" s="450"/>
      <c r="E293" s="252" t="e">
        <f>E191</f>
        <v>#N/A</v>
      </c>
      <c r="F293" s="187"/>
      <c r="G293" s="449"/>
      <c r="H293" s="17"/>
      <c r="I293" s="100"/>
      <c r="J293" s="100"/>
    </row>
    <row r="294" spans="1:10" x14ac:dyDescent="0.3">
      <c r="B294" s="279"/>
      <c r="C294" s="279"/>
      <c r="D294" s="450"/>
      <c r="E294" s="252" t="e">
        <f>E198</f>
        <v>#N/A</v>
      </c>
      <c r="F294" s="187"/>
      <c r="G294" s="449"/>
      <c r="H294" s="17"/>
      <c r="I294" s="100"/>
      <c r="J294" s="100"/>
    </row>
    <row r="295" spans="1:10" x14ac:dyDescent="0.3">
      <c r="B295" s="279"/>
      <c r="C295" s="279"/>
      <c r="D295" s="450"/>
      <c r="E295" s="252" t="e">
        <f>E204</f>
        <v>#N/A</v>
      </c>
      <c r="F295" s="187"/>
      <c r="G295" s="449"/>
      <c r="H295" s="17"/>
      <c r="I295" s="100"/>
      <c r="J295" s="100"/>
    </row>
    <row r="296" spans="1:10" x14ac:dyDescent="0.3">
      <c r="B296" s="279"/>
      <c r="C296" s="279"/>
      <c r="D296" s="450"/>
      <c r="E296" s="252" t="e">
        <f>E210</f>
        <v>#N/A</v>
      </c>
      <c r="F296" s="187"/>
      <c r="G296" s="449"/>
      <c r="H296" s="17"/>
      <c r="I296" s="100"/>
      <c r="J296" s="100"/>
    </row>
    <row r="297" spans="1:10" x14ac:dyDescent="0.3">
      <c r="D297" s="316"/>
      <c r="E297" s="252" t="e">
        <f>E211</f>
        <v>#N/A</v>
      </c>
      <c r="F297" s="187"/>
      <c r="H297" s="17"/>
      <c r="I297" s="100"/>
      <c r="J297" s="100"/>
    </row>
    <row r="298" spans="1:10" x14ac:dyDescent="0.3">
      <c r="D298" s="316"/>
      <c r="E298" s="253"/>
      <c r="F298" s="187"/>
      <c r="H298" s="17"/>
      <c r="I298" s="100"/>
      <c r="J298" s="100"/>
    </row>
    <row r="299" spans="1:10" x14ac:dyDescent="0.3">
      <c r="D299" s="316"/>
      <c r="E299" s="252" t="e">
        <f>E292-E293-E294-E295-E296-E297</f>
        <v>#N/A</v>
      </c>
      <c r="F299" s="187"/>
      <c r="H299" s="17"/>
      <c r="I299" s="100"/>
      <c r="J299" s="100"/>
    </row>
    <row r="300" spans="1:10" x14ac:dyDescent="0.3">
      <c r="D300" s="316"/>
      <c r="E300" s="188"/>
      <c r="F300" s="187"/>
      <c r="I300" s="100"/>
      <c r="J300" s="100"/>
    </row>
    <row r="301" spans="1:10" x14ac:dyDescent="0.3">
      <c r="E301" s="251"/>
      <c r="F301" s="187"/>
      <c r="G301" s="452"/>
      <c r="I301" s="100"/>
      <c r="J301" s="100"/>
    </row>
    <row r="302" spans="1:10" x14ac:dyDescent="0.3">
      <c r="E302" s="188"/>
      <c r="F302" s="187"/>
      <c r="I302" s="100"/>
      <c r="J302" s="100"/>
    </row>
    <row r="303" spans="1:10" x14ac:dyDescent="0.3">
      <c r="E303" s="188"/>
      <c r="F303" s="187"/>
      <c r="I303" s="100"/>
      <c r="J303" s="100"/>
    </row>
    <row r="304" spans="1:10" x14ac:dyDescent="0.3">
      <c r="E304" s="188"/>
      <c r="F304" s="187"/>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7"/>
      <c r="J312" s="187"/>
    </row>
    <row r="313" spans="9:12" x14ac:dyDescent="0.3">
      <c r="I313" s="187"/>
      <c r="J313" s="187"/>
      <c r="L313" s="188"/>
    </row>
    <row r="314" spans="9:12" x14ac:dyDescent="0.3">
      <c r="I314" s="187"/>
      <c r="J314" s="187"/>
      <c r="L314" s="188"/>
    </row>
    <row r="315" spans="9:12" x14ac:dyDescent="0.3">
      <c r="I315" s="187"/>
      <c r="J315" s="187"/>
      <c r="L315" s="188"/>
    </row>
    <row r="316" spans="9:12" x14ac:dyDescent="0.3">
      <c r="I316" s="187"/>
      <c r="J316" s="187"/>
      <c r="L316" s="188"/>
    </row>
    <row r="317" spans="9:12" x14ac:dyDescent="0.3">
      <c r="I317" s="187"/>
      <c r="J317" s="187"/>
      <c r="L317" s="188"/>
    </row>
    <row r="318" spans="9:12" x14ac:dyDescent="0.3">
      <c r="I318" s="187"/>
      <c r="J318" s="187"/>
      <c r="L318" s="188"/>
    </row>
    <row r="319" spans="9:12" x14ac:dyDescent="0.3">
      <c r="I319" s="100"/>
      <c r="J319" s="100"/>
      <c r="L319" s="188"/>
    </row>
    <row r="320" spans="9:12" x14ac:dyDescent="0.3">
      <c r="I320" s="100"/>
      <c r="J320" s="100"/>
      <c r="K320" s="188"/>
      <c r="L320" s="188"/>
    </row>
    <row r="321" spans="9:12" x14ac:dyDescent="0.3">
      <c r="I321" s="100"/>
      <c r="J321" s="100"/>
      <c r="K321" s="188"/>
      <c r="L321" s="188"/>
    </row>
    <row r="322" spans="9:12" x14ac:dyDescent="0.3">
      <c r="I322" s="100"/>
      <c r="J322" s="100"/>
      <c r="K322" s="188"/>
      <c r="L322" s="188"/>
    </row>
    <row r="323" spans="9:12" x14ac:dyDescent="0.3">
      <c r="I323" s="100"/>
      <c r="J323" s="100"/>
      <c r="K323" s="188"/>
      <c r="L323" s="188"/>
    </row>
    <row r="324" spans="9:12" x14ac:dyDescent="0.3">
      <c r="I324" s="100"/>
      <c r="J324" s="100"/>
      <c r="K324" s="188"/>
      <c r="L324" s="188"/>
    </row>
    <row r="325" spans="9:12" x14ac:dyDescent="0.3">
      <c r="I325" s="100"/>
      <c r="J325" s="100"/>
      <c r="K325" s="188"/>
      <c r="L325" s="188"/>
    </row>
    <row r="326" spans="9:12" x14ac:dyDescent="0.3">
      <c r="I326" s="100"/>
      <c r="J326" s="100"/>
      <c r="K326" s="188"/>
      <c r="L326" s="188"/>
    </row>
    <row r="327" spans="9:12" x14ac:dyDescent="0.3">
      <c r="I327" s="100"/>
      <c r="J327" s="100"/>
      <c r="K327" s="188"/>
      <c r="L327" s="188"/>
    </row>
    <row r="328" spans="9:12" x14ac:dyDescent="0.3">
      <c r="I328" s="187"/>
      <c r="J328" s="187"/>
      <c r="K328" s="188"/>
      <c r="L328" s="188"/>
    </row>
    <row r="329" spans="9:12" x14ac:dyDescent="0.3">
      <c r="I329" s="187"/>
      <c r="J329" s="187"/>
      <c r="K329" s="188"/>
      <c r="L329" s="188"/>
    </row>
    <row r="330" spans="9:12" x14ac:dyDescent="0.3">
      <c r="I330" s="187"/>
      <c r="J330" s="187"/>
      <c r="K330" s="188"/>
      <c r="L330" s="188"/>
    </row>
    <row r="331" spans="9:12" x14ac:dyDescent="0.3">
      <c r="I331" s="187"/>
      <c r="J331" s="187"/>
      <c r="K331" s="188"/>
      <c r="L331" s="188"/>
    </row>
    <row r="332" spans="9:12" x14ac:dyDescent="0.3">
      <c r="I332" s="187"/>
      <c r="J332" s="187"/>
      <c r="K332" s="188"/>
      <c r="L332" s="188"/>
    </row>
    <row r="333" spans="9:12" x14ac:dyDescent="0.3">
      <c r="I333" s="187"/>
      <c r="J333" s="187"/>
      <c r="K333" s="188"/>
      <c r="L333" s="188"/>
    </row>
    <row r="334" spans="9:12" x14ac:dyDescent="0.3">
      <c r="I334" s="187"/>
      <c r="J334" s="187"/>
      <c r="K334" s="188"/>
      <c r="L334" s="188"/>
    </row>
    <row r="335" spans="9:12" x14ac:dyDescent="0.3">
      <c r="I335" s="187"/>
      <c r="J335" s="187"/>
      <c r="K335" s="188"/>
      <c r="L335" s="188"/>
    </row>
    <row r="336" spans="9:12" x14ac:dyDescent="0.3">
      <c r="I336" s="187"/>
      <c r="J336" s="187"/>
      <c r="K336" s="188"/>
      <c r="L336" s="188"/>
    </row>
    <row r="337" spans="8:12" x14ac:dyDescent="0.3">
      <c r="I337" s="187"/>
      <c r="J337" s="187"/>
      <c r="K337" s="188"/>
      <c r="L337" s="188"/>
    </row>
    <row r="338" spans="8:12" x14ac:dyDescent="0.3">
      <c r="I338" s="187"/>
      <c r="J338" s="187"/>
      <c r="K338" s="188"/>
      <c r="L338" s="188"/>
    </row>
    <row r="339" spans="8:12" x14ac:dyDescent="0.3">
      <c r="I339" s="187"/>
      <c r="J339" s="187"/>
      <c r="K339" s="188"/>
      <c r="L339" s="188"/>
    </row>
    <row r="340" spans="8:12" x14ac:dyDescent="0.3">
      <c r="I340" s="187"/>
      <c r="J340" s="187"/>
      <c r="K340" s="188"/>
      <c r="L340" s="188"/>
    </row>
    <row r="341" spans="8:12" x14ac:dyDescent="0.3">
      <c r="I341" s="187"/>
      <c r="J341" s="187"/>
      <c r="K341" s="188"/>
      <c r="L341" s="188"/>
    </row>
    <row r="342" spans="8:12" x14ac:dyDescent="0.3">
      <c r="I342" s="187"/>
      <c r="J342" s="187"/>
      <c r="K342" s="188"/>
      <c r="L342" s="188"/>
    </row>
    <row r="343" spans="8:12" x14ac:dyDescent="0.3">
      <c r="I343" s="187"/>
      <c r="J343" s="187"/>
      <c r="K343" s="188"/>
      <c r="L343" s="188"/>
    </row>
    <row r="344" spans="8:12" x14ac:dyDescent="0.3">
      <c r="I344" s="187"/>
      <c r="J344" s="187"/>
      <c r="K344" s="188"/>
      <c r="L344" s="188"/>
    </row>
    <row r="345" spans="8:12" x14ac:dyDescent="0.3">
      <c r="I345" s="187"/>
      <c r="J345" s="187"/>
      <c r="K345" s="188"/>
      <c r="L345" s="188"/>
    </row>
    <row r="346" spans="8:12" x14ac:dyDescent="0.3">
      <c r="H346" s="311" t="s">
        <v>1920</v>
      </c>
      <c r="I346" s="187"/>
      <c r="J346" s="187"/>
      <c r="K346" s="188"/>
      <c r="L346" s="188"/>
    </row>
    <row r="347" spans="8:12" x14ac:dyDescent="0.3">
      <c r="I347" s="187"/>
      <c r="J347" s="187"/>
      <c r="K347" s="188"/>
      <c r="L347" s="188"/>
    </row>
    <row r="348" spans="8:12" x14ac:dyDescent="0.3">
      <c r="I348" s="187"/>
      <c r="J348" s="187"/>
      <c r="K348" s="188"/>
      <c r="L348" s="188"/>
    </row>
    <row r="349" spans="8:12" x14ac:dyDescent="0.3">
      <c r="I349" s="187"/>
      <c r="J349" s="187"/>
      <c r="K349" s="188"/>
      <c r="L349" s="188"/>
    </row>
    <row r="350" spans="8:12" x14ac:dyDescent="0.3">
      <c r="I350" s="187"/>
      <c r="J350" s="187"/>
      <c r="K350" s="188"/>
      <c r="L350" s="188"/>
    </row>
    <row r="351" spans="8:12" x14ac:dyDescent="0.3">
      <c r="I351" s="187"/>
      <c r="J351" s="187"/>
      <c r="K351" s="188"/>
      <c r="L351" s="188"/>
    </row>
    <row r="352" spans="8:12" x14ac:dyDescent="0.3">
      <c r="I352" s="187"/>
      <c r="J352" s="187"/>
      <c r="K352" s="188"/>
      <c r="L352" s="188"/>
    </row>
    <row r="353" spans="9:12" x14ac:dyDescent="0.3">
      <c r="I353" s="187"/>
      <c r="J353" s="187"/>
      <c r="K353" s="188"/>
      <c r="L353" s="188"/>
    </row>
    <row r="354" spans="9:12" x14ac:dyDescent="0.3">
      <c r="I354" s="187"/>
      <c r="J354" s="187"/>
      <c r="K354" s="188"/>
      <c r="L354" s="188"/>
    </row>
    <row r="355" spans="9:12" x14ac:dyDescent="0.3">
      <c r="I355" s="187"/>
      <c r="J355" s="187"/>
      <c r="K355" s="188"/>
      <c r="L355" s="188"/>
    </row>
    <row r="356" spans="9:12" x14ac:dyDescent="0.3">
      <c r="I356" s="187"/>
      <c r="J356" s="187"/>
      <c r="K356" s="188"/>
      <c r="L356" s="188"/>
    </row>
    <row r="357" spans="9:12" x14ac:dyDescent="0.3">
      <c r="I357" s="187"/>
      <c r="J357" s="187"/>
      <c r="K357" s="188"/>
      <c r="L357" s="188"/>
    </row>
    <row r="358" spans="9:12" x14ac:dyDescent="0.3">
      <c r="I358" s="187"/>
      <c r="J358" s="187"/>
      <c r="K358" s="188"/>
      <c r="L358" s="188"/>
    </row>
    <row r="359" spans="9:12" x14ac:dyDescent="0.3">
      <c r="I359" s="187"/>
      <c r="J359" s="187"/>
      <c r="K359" s="188"/>
      <c r="L359" s="188"/>
    </row>
    <row r="360" spans="9:12" x14ac:dyDescent="0.3">
      <c r="I360" s="187"/>
      <c r="J360" s="187"/>
      <c r="K360" s="188"/>
      <c r="L360" s="188"/>
    </row>
    <row r="361" spans="9:12" x14ac:dyDescent="0.3">
      <c r="I361" s="187"/>
      <c r="J361" s="187"/>
      <c r="K361" s="188"/>
      <c r="L361" s="188"/>
    </row>
    <row r="362" spans="9:12" x14ac:dyDescent="0.3">
      <c r="I362" s="187"/>
      <c r="J362" s="187"/>
      <c r="K362" s="188"/>
      <c r="L362" s="188"/>
    </row>
    <row r="363" spans="9:12" x14ac:dyDescent="0.3">
      <c r="I363" s="187"/>
      <c r="J363" s="187"/>
      <c r="K363" s="188"/>
      <c r="L363" s="188"/>
    </row>
    <row r="364" spans="9:12" x14ac:dyDescent="0.3">
      <c r="I364" s="187"/>
      <c r="J364" s="187"/>
      <c r="K364" s="188"/>
      <c r="L364" s="188"/>
    </row>
    <row r="365" spans="9:12" x14ac:dyDescent="0.3">
      <c r="I365" s="187"/>
      <c r="J365" s="187"/>
      <c r="K365" s="188"/>
      <c r="L365" s="188"/>
    </row>
    <row r="366" spans="9:12" x14ac:dyDescent="0.3">
      <c r="I366" s="187"/>
      <c r="J366" s="187"/>
      <c r="K366" s="188"/>
      <c r="L366" s="188"/>
    </row>
    <row r="367" spans="9:12" x14ac:dyDescent="0.3">
      <c r="I367" s="187"/>
      <c r="J367" s="187"/>
      <c r="K367" s="188"/>
      <c r="L367" s="188"/>
    </row>
    <row r="368" spans="9:12" x14ac:dyDescent="0.3">
      <c r="I368" s="187"/>
      <c r="J368" s="187"/>
      <c r="K368" s="188"/>
      <c r="L368" s="188"/>
    </row>
    <row r="369" spans="9:12" x14ac:dyDescent="0.3">
      <c r="I369" s="187"/>
      <c r="J369" s="187"/>
      <c r="K369" s="188"/>
      <c r="L369" s="188"/>
    </row>
    <row r="370" spans="9:12" x14ac:dyDescent="0.3">
      <c r="I370" s="187"/>
      <c r="J370" s="187"/>
      <c r="K370" s="188"/>
      <c r="L370" s="188"/>
    </row>
    <row r="371" spans="9:12" x14ac:dyDescent="0.3">
      <c r="I371" s="187"/>
      <c r="J371" s="187"/>
      <c r="K371" s="188"/>
      <c r="L371" s="188"/>
    </row>
    <row r="372" spans="9:12" x14ac:dyDescent="0.3">
      <c r="I372" s="187"/>
      <c r="J372" s="187"/>
      <c r="K372" s="188"/>
      <c r="L372" s="188"/>
    </row>
    <row r="373" spans="9:12" x14ac:dyDescent="0.3">
      <c r="I373" s="187"/>
      <c r="J373" s="187"/>
      <c r="K373" s="188"/>
      <c r="L373" s="188"/>
    </row>
    <row r="374" spans="9:12" x14ac:dyDescent="0.3">
      <c r="I374" s="187"/>
      <c r="J374" s="187"/>
      <c r="K374" s="188"/>
      <c r="L374" s="188"/>
    </row>
    <row r="375" spans="9:12" x14ac:dyDescent="0.3">
      <c r="I375" s="187"/>
      <c r="J375" s="187"/>
      <c r="K375" s="188"/>
      <c r="L375" s="188"/>
    </row>
    <row r="376" spans="9:12" x14ac:dyDescent="0.3">
      <c r="I376" s="187"/>
      <c r="J376" s="187"/>
      <c r="K376" s="188"/>
      <c r="L376" s="188"/>
    </row>
    <row r="377" spans="9:12" x14ac:dyDescent="0.3">
      <c r="I377" s="187"/>
      <c r="J377" s="187"/>
      <c r="K377" s="188"/>
      <c r="L377" s="188"/>
    </row>
    <row r="378" spans="9:12" x14ac:dyDescent="0.3">
      <c r="I378" s="187"/>
      <c r="J378" s="187"/>
      <c r="K378" s="188"/>
      <c r="L378" s="188"/>
    </row>
    <row r="379" spans="9:12" x14ac:dyDescent="0.3">
      <c r="I379" s="187"/>
      <c r="J379" s="187"/>
      <c r="K379" s="188"/>
      <c r="L379" s="188"/>
    </row>
    <row r="380" spans="9:12" x14ac:dyDescent="0.3">
      <c r="I380" s="187"/>
      <c r="J380" s="187"/>
      <c r="K380" s="188"/>
      <c r="L380" s="188"/>
    </row>
    <row r="381" spans="9:12" x14ac:dyDescent="0.3">
      <c r="I381" s="187"/>
      <c r="J381" s="187"/>
      <c r="K381" s="188"/>
      <c r="L381" s="188"/>
    </row>
    <row r="382" spans="9:12" x14ac:dyDescent="0.3">
      <c r="I382" s="187"/>
      <c r="J382" s="187"/>
      <c r="K382" s="188"/>
    </row>
    <row r="383" spans="9:12" x14ac:dyDescent="0.3">
      <c r="I383" s="187"/>
      <c r="J383" s="187"/>
      <c r="K383" s="188"/>
    </row>
    <row r="384" spans="9:12" x14ac:dyDescent="0.3">
      <c r="I384" s="187"/>
      <c r="J384" s="187"/>
      <c r="K384" s="188"/>
    </row>
    <row r="385" spans="9:11" x14ac:dyDescent="0.3">
      <c r="I385" s="187"/>
      <c r="J385" s="187"/>
      <c r="K385" s="188"/>
    </row>
    <row r="386" spans="9:11" x14ac:dyDescent="0.3">
      <c r="I386" s="187"/>
      <c r="J386" s="187"/>
      <c r="K386" s="188"/>
    </row>
    <row r="387" spans="9:11" x14ac:dyDescent="0.3">
      <c r="I387" s="187"/>
      <c r="J387" s="187"/>
      <c r="K387" s="188"/>
    </row>
    <row r="388" spans="9:11" x14ac:dyDescent="0.3">
      <c r="I388" s="187"/>
      <c r="J388" s="187"/>
      <c r="K388" s="188"/>
    </row>
    <row r="389" spans="9:11" x14ac:dyDescent="0.3">
      <c r="I389" s="187"/>
      <c r="J389" s="187"/>
    </row>
    <row r="390" spans="9:11" x14ac:dyDescent="0.3">
      <c r="I390" s="187"/>
      <c r="J390" s="187"/>
    </row>
    <row r="391" spans="9:11" x14ac:dyDescent="0.3">
      <c r="I391" s="187"/>
      <c r="J391" s="187"/>
    </row>
    <row r="392" spans="9:11" x14ac:dyDescent="0.3">
      <c r="I392" s="187"/>
      <c r="J392" s="187"/>
    </row>
    <row r="393" spans="9:11" x14ac:dyDescent="0.3">
      <c r="I393" s="187"/>
      <c r="J393" s="187"/>
    </row>
    <row r="394" spans="9:11" x14ac:dyDescent="0.3">
      <c r="I394" s="187"/>
      <c r="J394" s="187"/>
    </row>
    <row r="395" spans="9:11" x14ac:dyDescent="0.3">
      <c r="I395" s="187"/>
      <c r="J395" s="187"/>
    </row>
    <row r="396" spans="9:11" x14ac:dyDescent="0.3">
      <c r="I396" s="187"/>
      <c r="J396" s="187"/>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r1RRAgz7jDDjgv7h6ppD/B8+atYsFXaLvcu0pMpINzlK2w0+6H+XxcIkI72LAM6KOzcN5+e3UMl5OOL6CwJHGg==" saltValue="JmCGv5SnwX9Djc9o9U69eg==" spinCount="100000" sheet="1" formatCells="0"/>
  <dataConsolidate link="1"/>
  <mergeCells count="14">
    <mergeCell ref="E2:G2"/>
    <mergeCell ref="B2:C2"/>
    <mergeCell ref="B124:D124"/>
    <mergeCell ref="B275:E275"/>
    <mergeCell ref="B268:D268"/>
    <mergeCell ref="B6:G6"/>
    <mergeCell ref="B7:G7"/>
    <mergeCell ref="B276:E276"/>
    <mergeCell ref="B284:C284"/>
    <mergeCell ref="B286:C286"/>
    <mergeCell ref="B283:C283"/>
    <mergeCell ref="B281:C281"/>
    <mergeCell ref="B282:C282"/>
    <mergeCell ref="B285:C285"/>
  </mergeCells>
  <phoneticPr fontId="54" type="noConversion"/>
  <conditionalFormatting sqref="H155">
    <cfRule type="cellIs" dxfId="117" priority="107" stopIfTrue="1" operator="notEqual">
      <formula>0</formula>
    </cfRule>
  </conditionalFormatting>
  <conditionalFormatting sqref="G254:G257 G261:G262">
    <cfRule type="cellIs" dxfId="116" priority="106" stopIfTrue="1" operator="notEqual">
      <formula>0</formula>
    </cfRule>
  </conditionalFormatting>
  <conditionalFormatting sqref="H25">
    <cfRule type="cellIs" dxfId="115" priority="105" stopIfTrue="1" operator="notEqual">
      <formula>0</formula>
    </cfRule>
  </conditionalFormatting>
  <conditionalFormatting sqref="H39:H40">
    <cfRule type="cellIs" dxfId="114" priority="104" stopIfTrue="1" operator="notEqual">
      <formula>0</formula>
    </cfRule>
  </conditionalFormatting>
  <conditionalFormatting sqref="H59">
    <cfRule type="cellIs" dxfId="113" priority="103" stopIfTrue="1" operator="notEqual">
      <formula>0</formula>
    </cfRule>
  </conditionalFormatting>
  <conditionalFormatting sqref="H103">
    <cfRule type="cellIs" dxfId="112" priority="101" stopIfTrue="1" operator="notEqual">
      <formula>0</formula>
    </cfRule>
  </conditionalFormatting>
  <conditionalFormatting sqref="H122">
    <cfRule type="cellIs" dxfId="111" priority="100" stopIfTrue="1" operator="notEqual">
      <formula>0</formula>
    </cfRule>
  </conditionalFormatting>
  <conditionalFormatting sqref="H137">
    <cfRule type="cellIs" dxfId="110" priority="99" stopIfTrue="1" operator="notEqual">
      <formula>0</formula>
    </cfRule>
  </conditionalFormatting>
  <conditionalFormatting sqref="H138">
    <cfRule type="cellIs" dxfId="109" priority="98" stopIfTrue="1" operator="notEqual">
      <formula>0</formula>
    </cfRule>
  </conditionalFormatting>
  <conditionalFormatting sqref="G236">
    <cfRule type="cellIs" priority="70" stopIfTrue="1" operator="equal">
      <formula>";;;"</formula>
    </cfRule>
  </conditionalFormatting>
  <conditionalFormatting sqref="G236">
    <cfRule type="cellIs" dxfId="108" priority="69" stopIfTrue="1" operator="equal">
      <formula>0</formula>
    </cfRule>
  </conditionalFormatting>
  <conditionalFormatting sqref="G235">
    <cfRule type="cellIs" priority="67" stopIfTrue="1" operator="equal">
      <formula>";;;"</formula>
    </cfRule>
  </conditionalFormatting>
  <conditionalFormatting sqref="G235">
    <cfRule type="cellIs" dxfId="107" priority="66" stopIfTrue="1" operator="equal">
      <formula>0</formula>
    </cfRule>
  </conditionalFormatting>
  <conditionalFormatting sqref="G235">
    <cfRule type="cellIs" dxfId="106" priority="65" stopIfTrue="1" operator="equal">
      <formula>0</formula>
    </cfRule>
  </conditionalFormatting>
  <conditionalFormatting sqref="G234">
    <cfRule type="cellIs" priority="55" stopIfTrue="1" operator="equal">
      <formula>";;;"</formula>
    </cfRule>
  </conditionalFormatting>
  <conditionalFormatting sqref="G234">
    <cfRule type="cellIs" dxfId="105" priority="54" stopIfTrue="1" operator="equal">
      <formula>0</formula>
    </cfRule>
  </conditionalFormatting>
  <conditionalFormatting sqref="G234">
    <cfRule type="cellIs" dxfId="104" priority="53" stopIfTrue="1" operator="equal">
      <formula>0</formula>
    </cfRule>
  </conditionalFormatting>
  <conditionalFormatting sqref="G229">
    <cfRule type="cellIs" priority="22" stopIfTrue="1" operator="equal">
      <formula>";;;"</formula>
    </cfRule>
  </conditionalFormatting>
  <conditionalFormatting sqref="G229">
    <cfRule type="cellIs" dxfId="103" priority="21" stopIfTrue="1" operator="equal">
      <formula>0</formula>
    </cfRule>
  </conditionalFormatting>
  <conditionalFormatting sqref="G229">
    <cfRule type="cellIs" dxfId="102" priority="20" stopIfTrue="1" operator="equal">
      <formula>0</formula>
    </cfRule>
  </conditionalFormatting>
  <conditionalFormatting sqref="G227">
    <cfRule type="cellIs" priority="19" stopIfTrue="1" operator="equal">
      <formula>";;;"</formula>
    </cfRule>
  </conditionalFormatting>
  <conditionalFormatting sqref="G227">
    <cfRule type="cellIs" dxfId="101" priority="18" stopIfTrue="1" operator="equal">
      <formula>0</formula>
    </cfRule>
  </conditionalFormatting>
  <conditionalFormatting sqref="G227">
    <cfRule type="cellIs" dxfId="100" priority="17" stopIfTrue="1" operator="equal">
      <formula>0</formula>
    </cfRule>
  </conditionalFormatting>
  <conditionalFormatting sqref="G228">
    <cfRule type="cellIs" priority="16" stopIfTrue="1" operator="equal">
      <formula>";;;"</formula>
    </cfRule>
  </conditionalFormatting>
  <conditionalFormatting sqref="G228">
    <cfRule type="cellIs" dxfId="99" priority="15" stopIfTrue="1" operator="equal">
      <formula>0</formula>
    </cfRule>
  </conditionalFormatting>
  <conditionalFormatting sqref="G228">
    <cfRule type="cellIs" dxfId="98" priority="14" stopIfTrue="1" operator="equal">
      <formula>0</formula>
    </cfRule>
  </conditionalFormatting>
  <conditionalFormatting sqref="G231">
    <cfRule type="cellIs" priority="13" stopIfTrue="1" operator="equal">
      <formula>";;;"</formula>
    </cfRule>
  </conditionalFormatting>
  <conditionalFormatting sqref="G231">
    <cfRule type="cellIs" dxfId="97" priority="12" stopIfTrue="1" operator="equal">
      <formula>0</formula>
    </cfRule>
  </conditionalFormatting>
  <conditionalFormatting sqref="G231">
    <cfRule type="cellIs" dxfId="96" priority="11" stopIfTrue="1" operator="equal">
      <formula>0</formula>
    </cfRule>
  </conditionalFormatting>
  <conditionalFormatting sqref="G233">
    <cfRule type="cellIs" priority="5" stopIfTrue="1" operator="equal">
      <formula>";;;"</formula>
    </cfRule>
  </conditionalFormatting>
  <conditionalFormatting sqref="G233">
    <cfRule type="cellIs" dxfId="95" priority="4" stopIfTrue="1" operator="equal">
      <formula>0</formula>
    </cfRule>
  </conditionalFormatting>
  <conditionalFormatting sqref="G233">
    <cfRule type="cellIs" dxfId="94" priority="3"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5B981555-F580-4B51-A2FE-D7261CA6B057}">
      <formula1>45107</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Names(H)'!$A$1:$A$95</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5"/>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7" customWidth="1"/>
    <col min="5" max="5" width="24.33203125" customWidth="1"/>
    <col min="6" max="6" width="48.88671875" customWidth="1"/>
    <col min="7" max="7" width="32.109375" customWidth="1"/>
    <col min="8" max="9" width="8.88671875" style="633"/>
    <col min="10" max="10" width="1.6640625" style="633" customWidth="1"/>
    <col min="11" max="12" width="8.88671875" style="633" hidden="1" customWidth="1"/>
    <col min="13" max="13" width="13" style="633" customWidth="1"/>
  </cols>
  <sheetData>
    <row r="1" spans="1:13" s="562" customFormat="1" ht="12" customHeight="1" thickBot="1" x14ac:dyDescent="0.35">
      <c r="A1" s="561"/>
      <c r="D1" s="624"/>
      <c r="E1"/>
      <c r="F1"/>
      <c r="G1"/>
      <c r="H1" s="632"/>
      <c r="I1" s="632"/>
      <c r="J1" s="632"/>
      <c r="K1" s="632"/>
      <c r="L1" s="632"/>
      <c r="M1" s="632"/>
    </row>
    <row r="2" spans="1:13" ht="34.950000000000003" customHeight="1" thickBot="1" x14ac:dyDescent="0.35">
      <c r="A2" s="1101" t="s">
        <v>1537</v>
      </c>
      <c r="B2" s="1102"/>
      <c r="C2" s="1102"/>
      <c r="D2" s="1103"/>
    </row>
    <row r="3" spans="1:13" s="562" customFormat="1" ht="8.4" customHeight="1" thickBot="1" x14ac:dyDescent="0.35">
      <c r="A3" s="623"/>
      <c r="D3" s="624"/>
      <c r="E3"/>
      <c r="F3"/>
      <c r="G3"/>
      <c r="H3" s="632"/>
      <c r="I3" s="632"/>
      <c r="J3" s="632"/>
      <c r="K3" s="632"/>
      <c r="L3" s="632"/>
      <c r="M3" s="632"/>
    </row>
    <row r="4" spans="1:13" ht="16.95" customHeight="1" thickBot="1" x14ac:dyDescent="0.35">
      <c r="A4" s="1104" t="s">
        <v>1538</v>
      </c>
      <c r="B4" s="1105"/>
      <c r="C4" s="1105"/>
      <c r="D4" s="1106"/>
    </row>
    <row r="5" spans="1:13" ht="9" customHeight="1" thickBot="1" x14ac:dyDescent="0.35">
      <c r="A5"/>
      <c r="D5"/>
      <c r="H5"/>
      <c r="I5"/>
      <c r="J5"/>
      <c r="K5"/>
      <c r="L5"/>
      <c r="M5"/>
    </row>
    <row r="6" spans="1:13" ht="18.600000000000001" customHeight="1" thickBot="1" x14ac:dyDescent="0.35">
      <c r="A6" s="1107" t="s">
        <v>877</v>
      </c>
      <c r="B6" s="1108"/>
      <c r="C6" s="1108"/>
      <c r="D6" s="1109"/>
    </row>
    <row r="7" spans="1:13" s="180" customFormat="1" ht="7.95" customHeight="1" thickBot="1" x14ac:dyDescent="0.35"/>
    <row r="8" spans="1:13" s="180" customFormat="1" ht="36.6" customHeight="1" thickBot="1" x14ac:dyDescent="0.4">
      <c r="A8" s="1110" t="s">
        <v>1940</v>
      </c>
      <c r="B8" s="1111"/>
      <c r="C8" s="1111"/>
      <c r="D8" s="1112"/>
    </row>
    <row r="9" spans="1:13" s="562" customFormat="1" ht="13.95" customHeight="1" thickBot="1" x14ac:dyDescent="0.35">
      <c r="A9" s="625"/>
      <c r="B9" s="626"/>
      <c r="C9" s="626"/>
      <c r="D9" s="631"/>
      <c r="E9" s="1099" t="s">
        <v>1951</v>
      </c>
      <c r="F9"/>
      <c r="G9"/>
      <c r="H9" s="632"/>
      <c r="I9" s="632"/>
      <c r="J9" s="632"/>
      <c r="K9" s="632"/>
      <c r="L9" s="632"/>
      <c r="M9" s="632"/>
    </row>
    <row r="10" spans="1:13" ht="47.25" customHeight="1" x14ac:dyDescent="0.3">
      <c r="A10" s="768" t="s">
        <v>815</v>
      </c>
      <c r="B10" s="769"/>
      <c r="C10" s="769"/>
      <c r="D10" s="770"/>
      <c r="E10" s="1100"/>
    </row>
    <row r="11" spans="1:13" s="538" customFormat="1" ht="40.200000000000003" customHeight="1" x14ac:dyDescent="0.3">
      <c r="A11" s="658">
        <v>906</v>
      </c>
      <c r="B11" s="659" t="s">
        <v>466</v>
      </c>
      <c r="C11" s="754"/>
      <c r="D11" s="939" t="str">
        <f t="shared" ref="D11:D32" si="0">IF(C11="","This Question must be answered before uploading, the report will not be processed if left blank","")</f>
        <v>This Question must be answered before uploading, the report will not be processed if left blank</v>
      </c>
      <c r="E11" s="1054"/>
      <c r="F11"/>
      <c r="G11"/>
      <c r="H11" s="634"/>
      <c r="I11" s="634"/>
      <c r="J11" s="634"/>
      <c r="K11" s="634"/>
      <c r="L11" s="634"/>
      <c r="M11" s="634"/>
    </row>
    <row r="12" spans="1:13" ht="40.200000000000003" customHeight="1" x14ac:dyDescent="0.3">
      <c r="A12" s="658">
        <v>907</v>
      </c>
      <c r="B12" s="659" t="s">
        <v>1520</v>
      </c>
      <c r="C12" s="754"/>
      <c r="D12" s="939" t="str">
        <f t="shared" si="0"/>
        <v>This Question must be answered before uploading, the report will not be processed if left blank</v>
      </c>
      <c r="E12" s="1055"/>
      <c r="H12" s="634"/>
      <c r="I12" s="634"/>
      <c r="J12" s="634"/>
      <c r="K12" s="634"/>
      <c r="L12" s="634"/>
    </row>
    <row r="13" spans="1:13" s="180" customFormat="1" ht="51.6" customHeight="1" x14ac:dyDescent="0.3">
      <c r="A13" s="791">
        <v>1055</v>
      </c>
      <c r="B13" s="659" t="s">
        <v>1935</v>
      </c>
      <c r="C13" s="754"/>
      <c r="D13" s="724"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56"/>
      <c r="F13"/>
      <c r="G13"/>
      <c r="H13" s="634"/>
      <c r="I13" s="634"/>
      <c r="J13" s="634"/>
      <c r="K13" s="634"/>
      <c r="L13" s="634"/>
      <c r="M13" s="633"/>
    </row>
    <row r="14" spans="1:13" s="180" customFormat="1" ht="48.6" customHeight="1" x14ac:dyDescent="0.3">
      <c r="A14" s="791">
        <v>1056</v>
      </c>
      <c r="B14" s="659" t="s">
        <v>1517</v>
      </c>
      <c r="C14" s="754"/>
      <c r="D14" s="939"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56"/>
      <c r="F14"/>
      <c r="G14"/>
      <c r="H14" s="634"/>
      <c r="I14" s="634"/>
      <c r="J14" s="634"/>
      <c r="K14" s="634"/>
      <c r="L14" s="634"/>
      <c r="M14" s="633"/>
    </row>
    <row r="15" spans="1:13" s="180" customFormat="1" ht="55.2" customHeight="1" x14ac:dyDescent="0.3">
      <c r="A15" s="658">
        <v>1057</v>
      </c>
      <c r="B15" s="659" t="s">
        <v>1947</v>
      </c>
      <c r="C15" s="754"/>
      <c r="D15" s="939"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55"/>
      <c r="F15"/>
      <c r="G15"/>
      <c r="H15" s="634"/>
      <c r="I15" s="634"/>
      <c r="J15" s="634"/>
      <c r="K15" s="634"/>
      <c r="L15" s="634"/>
      <c r="M15" s="633"/>
    </row>
    <row r="16" spans="1:13" ht="49.2" customHeight="1" x14ac:dyDescent="0.3">
      <c r="A16" s="791">
        <v>1058</v>
      </c>
      <c r="B16" s="659" t="s">
        <v>1948</v>
      </c>
      <c r="C16" s="754"/>
      <c r="D16" s="939"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55"/>
    </row>
    <row r="17" spans="1:13" ht="113.4" customHeight="1" x14ac:dyDescent="0.3">
      <c r="A17" s="658">
        <v>1059</v>
      </c>
      <c r="B17" s="627" t="s">
        <v>1972</v>
      </c>
      <c r="C17" s="754"/>
      <c r="D17" s="939"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55"/>
      <c r="H17" s="634"/>
      <c r="I17" s="634"/>
      <c r="J17" s="634"/>
      <c r="K17" s="634"/>
      <c r="L17" s="634"/>
    </row>
    <row r="18" spans="1:13" s="180" customFormat="1" ht="113.4" customHeight="1" x14ac:dyDescent="0.3">
      <c r="A18" s="658">
        <v>1078</v>
      </c>
      <c r="B18" s="627" t="s">
        <v>2862</v>
      </c>
      <c r="C18" s="754"/>
      <c r="D18" s="939"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55"/>
      <c r="F18"/>
      <c r="H18" s="634"/>
      <c r="I18" s="634"/>
      <c r="J18" s="634"/>
      <c r="K18" s="634"/>
      <c r="L18" s="634"/>
      <c r="M18" s="633"/>
    </row>
    <row r="19" spans="1:13" s="180" customFormat="1" ht="78.599999999999994" customHeight="1" x14ac:dyDescent="0.3">
      <c r="A19" s="775">
        <v>1067</v>
      </c>
      <c r="B19" s="629" t="s">
        <v>1729</v>
      </c>
      <c r="C19" s="754"/>
      <c r="D19" s="939"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55"/>
      <c r="F19"/>
      <c r="G19"/>
      <c r="H19" s="634"/>
      <c r="I19" s="634"/>
      <c r="J19" s="634"/>
      <c r="K19" s="634"/>
      <c r="L19" s="634"/>
      <c r="M19" s="633"/>
    </row>
    <row r="20" spans="1:13" ht="40.200000000000003" customHeight="1" x14ac:dyDescent="0.3">
      <c r="A20" s="658">
        <v>951</v>
      </c>
      <c r="B20" s="659" t="s">
        <v>1521</v>
      </c>
      <c r="C20" s="754"/>
      <c r="D20" s="939" t="str">
        <f t="shared" si="0"/>
        <v>This Question must be answered before uploading, the report will not be processed if left blank</v>
      </c>
      <c r="E20" s="1055"/>
      <c r="H20" s="634"/>
      <c r="I20" s="634"/>
      <c r="J20" s="634"/>
      <c r="K20" s="634"/>
      <c r="L20" s="634"/>
    </row>
    <row r="21" spans="1:13" ht="40.200000000000003" customHeight="1" x14ac:dyDescent="0.3">
      <c r="A21" s="658">
        <v>953</v>
      </c>
      <c r="B21" s="659" t="s">
        <v>1650</v>
      </c>
      <c r="C21" s="754"/>
      <c r="D21" s="939" t="str">
        <f t="shared" si="0"/>
        <v>This Question must be answered before uploading, the report will not be processed if left blank</v>
      </c>
      <c r="E21" s="1055"/>
      <c r="H21" s="634"/>
      <c r="I21" s="634"/>
      <c r="J21" s="634"/>
      <c r="K21" s="634"/>
      <c r="L21" s="634"/>
    </row>
    <row r="22" spans="1:13" ht="52.95" customHeight="1" x14ac:dyDescent="0.3">
      <c r="A22" s="791">
        <v>955</v>
      </c>
      <c r="B22" s="627" t="s">
        <v>1651</v>
      </c>
      <c r="C22" s="754"/>
      <c r="D22" s="939"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55"/>
      <c r="H22" s="634"/>
      <c r="I22" s="634"/>
      <c r="J22" s="634"/>
      <c r="K22" s="634"/>
      <c r="L22" s="634"/>
    </row>
    <row r="23" spans="1:13" ht="48" customHeight="1" x14ac:dyDescent="0.3">
      <c r="A23" s="791">
        <v>957</v>
      </c>
      <c r="B23" s="627" t="s">
        <v>1656</v>
      </c>
      <c r="C23" s="754"/>
      <c r="D23" s="939"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55"/>
      <c r="H23" s="634"/>
      <c r="I23" s="634"/>
      <c r="J23" s="634"/>
      <c r="K23" s="634"/>
      <c r="L23" s="634"/>
    </row>
    <row r="24" spans="1:13" s="180" customFormat="1" ht="115.8" customHeight="1" x14ac:dyDescent="0.3">
      <c r="A24" s="658">
        <v>973</v>
      </c>
      <c r="B24" s="627" t="s">
        <v>1949</v>
      </c>
      <c r="C24" s="754"/>
      <c r="D24" s="939"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55"/>
      <c r="F24"/>
      <c r="G24"/>
      <c r="H24" s="634"/>
      <c r="I24" s="634"/>
      <c r="J24" s="634"/>
      <c r="K24" s="634"/>
      <c r="L24" s="634"/>
      <c r="M24" s="633"/>
    </row>
    <row r="25" spans="1:13" s="180" customFormat="1" ht="52.8" customHeight="1" x14ac:dyDescent="0.3">
      <c r="A25" s="658">
        <v>959</v>
      </c>
      <c r="B25" s="659" t="s">
        <v>658</v>
      </c>
      <c r="C25" s="754"/>
      <c r="D25" s="939"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55"/>
      <c r="F25"/>
      <c r="G25"/>
      <c r="H25" s="634"/>
      <c r="I25" s="634"/>
      <c r="J25" s="634"/>
      <c r="K25" s="634"/>
      <c r="L25" s="634"/>
      <c r="M25" s="633"/>
    </row>
    <row r="26" spans="1:13" ht="93" customHeight="1" x14ac:dyDescent="0.3">
      <c r="A26" s="658">
        <v>974</v>
      </c>
      <c r="B26" s="659" t="s">
        <v>661</v>
      </c>
      <c r="C26" s="754"/>
      <c r="D26" s="939"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55"/>
      <c r="H26" s="634"/>
      <c r="I26" s="634"/>
      <c r="J26" s="634"/>
      <c r="K26" s="634"/>
      <c r="L26" s="634"/>
    </row>
    <row r="27" spans="1:13" ht="40.200000000000003" customHeight="1" x14ac:dyDescent="0.3">
      <c r="A27" s="658" t="s">
        <v>610</v>
      </c>
      <c r="B27" s="659" t="s">
        <v>467</v>
      </c>
      <c r="C27" s="754"/>
      <c r="D27" s="939" t="str">
        <f>IF(C27="","This Question must be answered before uploading, the report will not be processed if left blank",IF(C27="Yes","Please submit copy via LGC File Portal.",""))</f>
        <v>This Question must be answered before uploading, the report will not be processed if left blank</v>
      </c>
      <c r="E27" s="1055"/>
      <c r="H27" s="634"/>
      <c r="I27" s="634"/>
      <c r="J27" s="634"/>
      <c r="K27" s="634"/>
      <c r="L27" s="634"/>
    </row>
    <row r="28" spans="1:13" ht="40.200000000000003" customHeight="1" x14ac:dyDescent="0.3">
      <c r="A28" s="658" t="s">
        <v>611</v>
      </c>
      <c r="B28" s="659" t="s">
        <v>1923</v>
      </c>
      <c r="C28" s="754"/>
      <c r="D28" s="939"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55"/>
      <c r="H28" s="634"/>
      <c r="I28" s="634"/>
      <c r="J28" s="634"/>
      <c r="K28" s="634"/>
      <c r="L28" s="634"/>
    </row>
    <row r="29" spans="1:13" ht="40.200000000000003" customHeight="1" x14ac:dyDescent="0.3">
      <c r="A29" s="658" t="s">
        <v>612</v>
      </c>
      <c r="B29" s="659" t="s">
        <v>1926</v>
      </c>
      <c r="C29" s="754"/>
      <c r="D29" s="939" t="str">
        <f t="shared" si="1"/>
        <v>This Question must be answered before uploading, the report will not be processed if left blank</v>
      </c>
      <c r="E29" s="1055"/>
      <c r="H29" s="634"/>
      <c r="I29" s="634"/>
      <c r="J29" s="634"/>
      <c r="K29" s="634"/>
      <c r="L29" s="634"/>
    </row>
    <row r="30" spans="1:13" s="180" customFormat="1" ht="40.200000000000003" customHeight="1" x14ac:dyDescent="0.3">
      <c r="A30" s="1001" t="s">
        <v>2870</v>
      </c>
      <c r="B30" s="1002" t="s">
        <v>2871</v>
      </c>
      <c r="C30" s="755">
        <v>45107</v>
      </c>
      <c r="D30" s="1003"/>
      <c r="E30" s="1057"/>
      <c r="H30" s="634"/>
      <c r="I30" s="634"/>
      <c r="J30" s="634"/>
      <c r="K30" s="634"/>
      <c r="L30" s="634"/>
      <c r="M30" s="633"/>
    </row>
    <row r="31" spans="1:13" ht="40.200000000000003" customHeight="1" x14ac:dyDescent="0.3">
      <c r="A31" s="778">
        <v>1079</v>
      </c>
      <c r="B31" s="627" t="s">
        <v>2882</v>
      </c>
      <c r="C31" s="755"/>
      <c r="D31" s="1004"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56"/>
      <c r="H31" s="634"/>
      <c r="I31" s="634"/>
      <c r="J31" s="634"/>
      <c r="K31" s="634"/>
      <c r="L31" s="634"/>
    </row>
    <row r="32" spans="1:13" ht="52.95" customHeight="1" x14ac:dyDescent="0.3">
      <c r="A32" s="658">
        <v>980</v>
      </c>
      <c r="B32" s="659" t="s">
        <v>1652</v>
      </c>
      <c r="C32" s="755"/>
      <c r="D32" s="939" t="str">
        <f t="shared" si="0"/>
        <v>This Question must be answered before uploading, the report will not be processed if left blank</v>
      </c>
      <c r="E32" s="1058"/>
      <c r="H32"/>
      <c r="I32"/>
      <c r="J32"/>
      <c r="K32"/>
      <c r="L32"/>
      <c r="M32"/>
    </row>
    <row r="33" spans="1:13" ht="40.200000000000003" customHeight="1" x14ac:dyDescent="0.3">
      <c r="A33" s="1043">
        <v>975</v>
      </c>
      <c r="B33" s="1044" t="s">
        <v>1950</v>
      </c>
      <c r="C33" s="1045"/>
      <c r="D33" s="1046"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59"/>
      <c r="H33" s="634"/>
      <c r="I33" s="634"/>
      <c r="J33" s="634"/>
      <c r="K33" s="634"/>
      <c r="L33" s="634"/>
    </row>
    <row r="34" spans="1:13" ht="25.95" customHeight="1" x14ac:dyDescent="0.3">
      <c r="A34" s="1050" t="s">
        <v>1644</v>
      </c>
      <c r="B34" s="1051"/>
      <c r="C34" s="1052"/>
      <c r="D34" s="1053"/>
      <c r="E34" s="1033"/>
      <c r="H34"/>
      <c r="I34"/>
      <c r="J34"/>
      <c r="K34"/>
      <c r="L34"/>
      <c r="M34"/>
    </row>
    <row r="35" spans="1:13" ht="43.2" customHeight="1" x14ac:dyDescent="0.3">
      <c r="A35" s="1047">
        <v>1068</v>
      </c>
      <c r="B35" s="1048" t="s">
        <v>1645</v>
      </c>
      <c r="C35" s="1049"/>
      <c r="D35" s="1071" t="str">
        <f>IF(C35="","This Question must be answered before uploading, the report will not be processed if left blank","")</f>
        <v>This Question must be answered before uploading, the report will not be processed if left blank</v>
      </c>
      <c r="E35" s="1033"/>
      <c r="H35"/>
      <c r="I35"/>
      <c r="J35"/>
      <c r="K35"/>
      <c r="L35"/>
      <c r="M35"/>
    </row>
    <row r="36" spans="1:13" ht="43.2" customHeight="1" x14ac:dyDescent="0.3">
      <c r="A36" s="778">
        <v>1069</v>
      </c>
      <c r="B36" s="627" t="s">
        <v>1653</v>
      </c>
      <c r="C36" s="754"/>
      <c r="D36" s="724" t="str">
        <f t="shared" ref="D36:D38" si="2">IF(C36="","This Question must be answered before uploading, the report will not be processed if left blank","")</f>
        <v>This Question must be answered before uploading, the report will not be processed if left blank</v>
      </c>
      <c r="E36" s="1033"/>
      <c r="H36"/>
      <c r="I36"/>
      <c r="J36"/>
      <c r="K36"/>
      <c r="L36"/>
      <c r="M36"/>
    </row>
    <row r="37" spans="1:13" ht="43.2" customHeight="1" x14ac:dyDescent="0.3">
      <c r="A37" s="778">
        <v>1070</v>
      </c>
      <c r="B37" s="627" t="s">
        <v>1937</v>
      </c>
      <c r="C37" s="754"/>
      <c r="D37" s="724" t="str">
        <f t="shared" si="2"/>
        <v>This Question must be answered before uploading, the report will not be processed if left blank</v>
      </c>
      <c r="E37" s="1033"/>
      <c r="H37"/>
      <c r="I37"/>
      <c r="J37"/>
      <c r="K37"/>
      <c r="L37"/>
      <c r="M37"/>
    </row>
    <row r="38" spans="1:13" ht="43.2" customHeight="1" x14ac:dyDescent="0.3">
      <c r="A38" s="778">
        <v>1071</v>
      </c>
      <c r="B38" s="627" t="s">
        <v>2885</v>
      </c>
      <c r="C38" s="784"/>
      <c r="D38" s="724" t="str">
        <f t="shared" si="2"/>
        <v>This Question must be answered before uploading, the report will not be processed if left blank</v>
      </c>
      <c r="E38" s="1033"/>
      <c r="H38"/>
      <c r="I38"/>
      <c r="J38"/>
      <c r="K38"/>
      <c r="L38"/>
      <c r="M38"/>
    </row>
    <row r="39" spans="1:13" x14ac:dyDescent="0.3">
      <c r="A39"/>
      <c r="D39"/>
      <c r="E39" s="1033"/>
      <c r="H39"/>
      <c r="I39"/>
      <c r="J39"/>
      <c r="K39"/>
      <c r="L39"/>
      <c r="M39"/>
    </row>
    <row r="40" spans="1:13" s="180" customFormat="1" ht="40.200000000000003" customHeight="1" x14ac:dyDescent="0.3">
      <c r="A40" s="658" t="s">
        <v>613</v>
      </c>
      <c r="B40" s="724" t="str">
        <f>IF(D40="","This Question must be answered before uploading, the report will not be processed if left blank","")</f>
        <v>This Question must be answered before uploading, the report will not be processed if left blank</v>
      </c>
      <c r="C40" s="663" t="s">
        <v>468</v>
      </c>
      <c r="D40" s="1072"/>
      <c r="E40" s="1033"/>
      <c r="F40"/>
      <c r="G40"/>
      <c r="H40" s="633"/>
      <c r="I40" s="633"/>
      <c r="J40" s="633"/>
      <c r="K40" s="633"/>
      <c r="L40" s="633"/>
      <c r="M40" s="633"/>
    </row>
    <row r="41" spans="1:13" ht="14.4" customHeight="1" x14ac:dyDescent="0.3">
      <c r="A41" s="561"/>
      <c r="B41" s="624"/>
      <c r="C41" s="562"/>
      <c r="D41" s="1073"/>
      <c r="E41" s="1033"/>
    </row>
    <row r="42" spans="1:13" ht="40.200000000000003" customHeight="1" x14ac:dyDescent="0.3">
      <c r="A42" s="658" t="s">
        <v>614</v>
      </c>
      <c r="B42" s="724" t="str">
        <f>IF(D42="","This Question must be answered before uploading, the report will not be processed if left blank","")</f>
        <v>This Question must be answered before uploading, the report will not be processed if left blank</v>
      </c>
      <c r="C42" s="663" t="s">
        <v>469</v>
      </c>
      <c r="D42" s="1072"/>
      <c r="E42" s="1033"/>
    </row>
    <row r="43" spans="1:13" ht="14.4" customHeight="1" x14ac:dyDescent="0.3">
      <c r="A43" s="561"/>
      <c r="B43" s="624"/>
      <c r="C43" s="562"/>
      <c r="D43" s="1073"/>
      <c r="E43" s="1033"/>
    </row>
    <row r="44" spans="1:13" s="180" customFormat="1" ht="40.200000000000003" customHeight="1" x14ac:dyDescent="0.3">
      <c r="A44" s="658" t="s">
        <v>875</v>
      </c>
      <c r="B44" s="724" t="str">
        <f>IF(D44="","This Question must be answered before uploading, the report will not be processed if left blank","")</f>
        <v>This Question must be answered before uploading, the report will not be processed if left blank</v>
      </c>
      <c r="C44" s="663" t="s">
        <v>1522</v>
      </c>
      <c r="D44" s="1074"/>
      <c r="E44" s="1033"/>
      <c r="F44"/>
      <c r="G44"/>
      <c r="H44" s="633"/>
      <c r="I44" s="633"/>
      <c r="J44" s="633"/>
      <c r="K44" s="633"/>
      <c r="L44" s="633"/>
      <c r="M44" s="633"/>
    </row>
    <row r="48" spans="1:13" x14ac:dyDescent="0.3">
      <c r="D48" s="527" t="s">
        <v>351</v>
      </c>
    </row>
    <row r="52" spans="1:4" x14ac:dyDescent="0.3">
      <c r="A52" s="756"/>
      <c r="B52" s="757" t="s">
        <v>470</v>
      </c>
      <c r="C52" s="758">
        <v>1</v>
      </c>
      <c r="D52" s="759"/>
    </row>
    <row r="53" spans="1:4" x14ac:dyDescent="0.3">
      <c r="A53" s="760"/>
      <c r="B53" s="761" t="s">
        <v>471</v>
      </c>
      <c r="C53" s="762">
        <v>45181</v>
      </c>
      <c r="D53" s="763"/>
    </row>
    <row r="54" spans="1:4" x14ac:dyDescent="0.3">
      <c r="B54" s="562"/>
      <c r="C54" s="624"/>
    </row>
    <row r="55" spans="1:4" x14ac:dyDescent="0.3">
      <c r="B55" s="562"/>
      <c r="C55" s="624"/>
    </row>
  </sheetData>
  <sheetProtection algorithmName="SHA-512" hashValue="yzpZEY0EGqCoEiG4I1gp7OqsNBu9qh36xtgwA4IX4LrKvB6aqT0tYH5a4kTFgHx1EfUkfTovgiKy6q50b2ulgA==" saltValue="AENZbMKjAtsWERY7zLu08Q==" spinCount="100000" sheet="1" objects="1" scenarios="1"/>
  <dataConsolidate/>
  <mergeCells count="5">
    <mergeCell ref="E9:E10"/>
    <mergeCell ref="A2:D2"/>
    <mergeCell ref="A4:D4"/>
    <mergeCell ref="A6:D6"/>
    <mergeCell ref="A8:D8"/>
  </mergeCells>
  <conditionalFormatting sqref="C13">
    <cfRule type="expression" dxfId="92" priority="24">
      <formula>"IF(C13=""Yes""|"" ""| "" "")"</formula>
    </cfRule>
  </conditionalFormatting>
  <conditionalFormatting sqref="E13">
    <cfRule type="expression" dxfId="91" priority="16">
      <formula>C13="yes"</formula>
    </cfRule>
  </conditionalFormatting>
  <conditionalFormatting sqref="E14">
    <cfRule type="expression" dxfId="90" priority="15">
      <formula>C14="Yes"</formula>
    </cfRule>
  </conditionalFormatting>
  <conditionalFormatting sqref="E15">
    <cfRule type="expression" dxfId="89" priority="14">
      <formula>C15="Yes"</formula>
    </cfRule>
  </conditionalFormatting>
  <conditionalFormatting sqref="E16">
    <cfRule type="expression" dxfId="88" priority="13">
      <formula>C16="Yes"</formula>
    </cfRule>
  </conditionalFormatting>
  <conditionalFormatting sqref="E17">
    <cfRule type="expression" dxfId="87" priority="11">
      <formula>C17="No"</formula>
    </cfRule>
  </conditionalFormatting>
  <conditionalFormatting sqref="E19">
    <cfRule type="expression" dxfId="86" priority="10">
      <formula>C19="No"</formula>
    </cfRule>
  </conditionalFormatting>
  <conditionalFormatting sqref="E25">
    <cfRule type="expression" dxfId="85" priority="8">
      <formula>C25="Yes"</formula>
    </cfRule>
  </conditionalFormatting>
  <conditionalFormatting sqref="E26">
    <cfRule type="expression" dxfId="84" priority="7">
      <formula>C26="Yes"</formula>
    </cfRule>
  </conditionalFormatting>
  <conditionalFormatting sqref="E22">
    <cfRule type="expression" dxfId="83" priority="4">
      <formula>$C$22&gt;0</formula>
    </cfRule>
  </conditionalFormatting>
  <conditionalFormatting sqref="E23">
    <cfRule type="expression" dxfId="82" priority="3">
      <formula>$C$23&gt;0</formula>
    </cfRule>
  </conditionalFormatting>
  <conditionalFormatting sqref="E18">
    <cfRule type="expression" dxfId="81" priority="2">
      <formula>$C$18="Yes"</formula>
    </cfRule>
  </conditionalFormatting>
  <conditionalFormatting sqref="E31">
    <cfRule type="expression" dxfId="80" priority="1">
      <formula>$D$31="Financial Performance Indicator of Concern that requires a response."</formula>
    </cfRule>
  </conditionalFormatting>
  <dataValidations xWindow="949" yWindow="702" count="12">
    <dataValidation type="list" allowBlank="1" showInputMessage="1" showErrorMessage="1" prompt="Please select Yes or No from the drop down list" sqref="C21 C19 C37 C33:C35 C15:C17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451CC7B4-015D-49F9-AE41-6FA54F87B7B2}">
      <formula1>"Yes, No, N/A"</formula1>
    </dataValidation>
    <dataValidation type="custom" allowBlank="1" showInputMessage="1" showErrorMessage="1" error="Submit Date is prior to fiscal year end." sqref="C31" xr:uid="{88E2306C-B05F-4C66-A770-FE34FD213ACC}">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69" zoomScaleNormal="69" workbookViewId="0">
      <selection activeCell="K1" sqref="K1:R1048576"/>
    </sheetView>
  </sheetViews>
  <sheetFormatPr defaultColWidth="9.109375" defaultRowHeight="14.4" x14ac:dyDescent="0.3"/>
  <cols>
    <col min="1" max="1" width="6.33203125" style="828" customWidth="1"/>
    <col min="2" max="2" width="57.6640625" style="828" customWidth="1"/>
    <col min="3" max="3" width="14.44140625" style="828" customWidth="1"/>
    <col min="4" max="4" width="15.88671875" style="828" customWidth="1"/>
    <col min="5" max="5" width="16.21875" style="828" customWidth="1"/>
    <col min="6" max="6" width="18.44140625" style="828" customWidth="1"/>
    <col min="7" max="7" width="16.21875" style="828" customWidth="1"/>
    <col min="8" max="8" width="71.44140625" style="828" customWidth="1"/>
    <col min="9" max="9" width="56.77734375" style="932" customWidth="1"/>
    <col min="10" max="10" width="46.109375" style="932" customWidth="1"/>
    <col min="11" max="11" width="9.109375" style="931" hidden="1" customWidth="1"/>
    <col min="12" max="12" width="23.6640625" style="825" hidden="1" customWidth="1"/>
    <col min="13" max="13" width="21.109375" style="825" hidden="1" customWidth="1"/>
    <col min="14" max="14" width="24" style="825" hidden="1" customWidth="1"/>
    <col min="15" max="15" width="21" style="825" hidden="1" customWidth="1"/>
    <col min="16" max="16" width="25" style="826" hidden="1" customWidth="1"/>
    <col min="17" max="17" width="25.6640625" style="827" hidden="1" customWidth="1"/>
    <col min="18" max="18" width="33.77734375" style="827" hidden="1" customWidth="1"/>
    <col min="19" max="19" width="9.109375" style="827" customWidth="1"/>
    <col min="20" max="59" width="9.109375" style="827"/>
    <col min="60" max="16384" width="9.109375" style="828"/>
  </cols>
  <sheetData>
    <row r="1" spans="1:78" ht="40.5" customHeight="1" thickBot="1" x14ac:dyDescent="0.35">
      <c r="A1" s="823"/>
      <c r="B1" s="1115" t="s">
        <v>1141</v>
      </c>
      <c r="C1" s="1115"/>
      <c r="D1" s="1115"/>
      <c r="E1" s="1115"/>
      <c r="F1" s="1115"/>
      <c r="G1" s="1115"/>
      <c r="H1" s="1116"/>
      <c r="I1" s="1113"/>
      <c r="J1" s="1114"/>
      <c r="K1" s="824"/>
    </row>
    <row r="2" spans="1:78" ht="72" customHeight="1" thickBot="1" x14ac:dyDescent="0.35">
      <c r="A2" s="829"/>
      <c r="B2" s="1117" t="s">
        <v>1142</v>
      </c>
      <c r="C2" s="1118"/>
      <c r="D2" s="1118"/>
      <c r="E2" s="1118"/>
      <c r="F2" s="1118"/>
      <c r="G2" s="1118"/>
      <c r="H2" s="1119"/>
      <c r="I2" s="1132" t="s">
        <v>1143</v>
      </c>
      <c r="J2" s="1135" t="s">
        <v>1549</v>
      </c>
      <c r="K2" s="830"/>
    </row>
    <row r="3" spans="1:78" ht="15" customHeight="1" thickBot="1" x14ac:dyDescent="0.35">
      <c r="A3" s="831"/>
      <c r="B3" s="832"/>
      <c r="C3" s="833"/>
      <c r="D3" s="833"/>
      <c r="E3" s="833"/>
      <c r="F3" s="833"/>
      <c r="G3" s="834"/>
      <c r="H3" s="835"/>
      <c r="I3" s="1133"/>
      <c r="J3" s="1136"/>
      <c r="K3" s="830"/>
    </row>
    <row r="4" spans="1:78" ht="21.75" customHeight="1" thickBot="1" x14ac:dyDescent="0.35">
      <c r="A4" s="836"/>
      <c r="B4" s="837" t="s">
        <v>609</v>
      </c>
      <c r="C4" s="1120" t="str">
        <f>'Unit Data from Audit Worksheet'!D2</f>
        <v>Select Unit Name from Drop Down List</v>
      </c>
      <c r="D4" s="1121"/>
      <c r="E4" s="1122"/>
      <c r="F4" s="1123" t="s">
        <v>1931</v>
      </c>
      <c r="G4" s="1124"/>
      <c r="H4" s="1127" t="s">
        <v>1546</v>
      </c>
      <c r="I4" s="1133"/>
      <c r="J4" s="1136"/>
      <c r="K4" s="838"/>
      <c r="L4" s="839"/>
    </row>
    <row r="5" spans="1:78" ht="21.6" thickBot="1" x14ac:dyDescent="0.35">
      <c r="A5" s="840"/>
      <c r="B5" s="841" t="s">
        <v>588</v>
      </c>
      <c r="C5" s="1129" t="e">
        <f>'Unit Data from Audit Worksheet'!D3</f>
        <v>#N/A</v>
      </c>
      <c r="D5" s="1130"/>
      <c r="E5" s="1131"/>
      <c r="F5" s="1125"/>
      <c r="G5" s="1126"/>
      <c r="H5" s="1128"/>
      <c r="I5" s="1133"/>
      <c r="J5" s="1136"/>
      <c r="K5" s="842"/>
      <c r="L5" s="843" t="s">
        <v>598</v>
      </c>
    </row>
    <row r="6" spans="1:78" ht="18.75" customHeight="1" x14ac:dyDescent="0.3">
      <c r="A6" s="831"/>
      <c r="B6" s="1142" t="s">
        <v>1499</v>
      </c>
      <c r="C6" s="1142"/>
      <c r="D6" s="1142"/>
      <c r="E6" s="1142"/>
      <c r="F6" s="1142"/>
      <c r="G6" s="1142"/>
      <c r="H6" s="1143"/>
      <c r="I6" s="1133"/>
      <c r="J6" s="1136"/>
      <c r="K6" s="842"/>
      <c r="L6" s="843"/>
    </row>
    <row r="7" spans="1:78" ht="116.25" customHeight="1" thickBot="1" x14ac:dyDescent="0.35">
      <c r="A7" s="844"/>
      <c r="B7" s="1144"/>
      <c r="C7" s="1144"/>
      <c r="D7" s="1144"/>
      <c r="E7" s="1144"/>
      <c r="F7" s="1144"/>
      <c r="G7" s="1144"/>
      <c r="H7" s="1145"/>
      <c r="I7" s="1134"/>
      <c r="J7" s="1137"/>
      <c r="K7" s="842"/>
      <c r="L7" s="843"/>
    </row>
    <row r="8" spans="1:78" ht="185.1" customHeight="1" thickBot="1" x14ac:dyDescent="0.35">
      <c r="A8" s="845"/>
      <c r="B8" s="1151"/>
      <c r="C8" s="1151"/>
      <c r="D8" s="1151"/>
      <c r="E8" s="1151"/>
      <c r="F8" s="1151"/>
      <c r="G8" s="1152"/>
      <c r="H8" s="1146" t="s">
        <v>1145</v>
      </c>
      <c r="I8" s="846"/>
      <c r="J8" s="1138"/>
      <c r="K8" s="842"/>
      <c r="L8" s="847" t="b">
        <f>IF($L$9&gt;10000000,"25%",IF($L$9&gt;999999,"34%",IF($L$9&gt;99999,"71%",IF($L$9&gt;1,"100%"))))</f>
        <v>0</v>
      </c>
      <c r="N8" s="848"/>
    </row>
    <row r="9" spans="1:78" ht="132" customHeight="1" thickBot="1" x14ac:dyDescent="0.35">
      <c r="A9" s="845"/>
      <c r="B9" s="1153"/>
      <c r="C9" s="1153"/>
      <c r="D9" s="1153"/>
      <c r="E9" s="1153"/>
      <c r="F9" s="1153"/>
      <c r="G9" s="1154"/>
      <c r="H9" s="1147"/>
      <c r="I9" s="846"/>
      <c r="J9" s="1139"/>
      <c r="K9" s="842"/>
      <c r="L9" s="847">
        <f>Import!L59+Import!L65+Import!L62-Import!L63-Import!L64-Import!L60</f>
        <v>0</v>
      </c>
      <c r="N9" s="848"/>
    </row>
    <row r="10" spans="1:78" ht="91.8" customHeight="1" thickBot="1" x14ac:dyDescent="0.35">
      <c r="A10" s="849"/>
      <c r="B10" s="1141" t="s">
        <v>1979</v>
      </c>
      <c r="C10" s="1155"/>
      <c r="D10" s="1155"/>
      <c r="E10" s="1155"/>
      <c r="F10" s="850" t="s">
        <v>664</v>
      </c>
      <c r="G10" s="850" t="s">
        <v>865</v>
      </c>
      <c r="H10" s="851"/>
      <c r="I10" s="852"/>
      <c r="J10" s="852"/>
      <c r="K10" s="853"/>
      <c r="L10" s="825">
        <v>2021</v>
      </c>
      <c r="M10" s="839">
        <v>2022</v>
      </c>
      <c r="N10" s="825">
        <v>2023</v>
      </c>
      <c r="O10" s="854"/>
      <c r="P10" s="855"/>
    </row>
    <row r="11" spans="1:78" ht="261.60000000000002" customHeight="1" thickBot="1" x14ac:dyDescent="0.35">
      <c r="A11" s="1005">
        <v>1</v>
      </c>
      <c r="B11" s="1156"/>
      <c r="C11" s="1157"/>
      <c r="D11" s="1157"/>
      <c r="E11" s="1158"/>
      <c r="F11" s="819" t="b">
        <f>IF($L$9&gt;10000000,"25% -- Average of similar units is 46%",IF($L$9&gt;999999,"34% -- Average of similar units is 63%",IF($L$9&gt;99999,"71% -- Average of similar units is 132%",IF($L$9&gt;1,"100 %-- Average of similar units is 260%"))))</f>
        <v>0</v>
      </c>
      <c r="G11" s="967" t="str">
        <f>N11</f>
        <v/>
      </c>
      <c r="H11" s="947" t="s">
        <v>1730</v>
      </c>
      <c r="I11" s="857" t="s">
        <v>1609</v>
      </c>
      <c r="J11" s="820"/>
      <c r="K11" s="842"/>
      <c r="L11" s="1075" t="e">
        <f>IFERROR(HLOOKUP(C5,'PY2 Data(H)'!$D$2:$CZ$310,308,FALSE),#N/A)</f>
        <v>#N/A</v>
      </c>
      <c r="M11" s="1076" t="e">
        <f>IFERROR(HLOOKUP(C5,'PY1 Data(H)'!$D$2:$CZ$277,275,FALSE),#N/A)</f>
        <v>#N/A</v>
      </c>
      <c r="N11" s="859" t="str">
        <f>IFERROR((Import!L38+Import!L39-Import!L43-Import!L44-Import!L196-Import!L48+Import!L69)/(Import!L59+Import!L65+Import!L62-Import!L63-Import!L64-Import!L60),"")</f>
        <v/>
      </c>
      <c r="O11" s="1077" t="e">
        <f>IF(N11&lt;VALUE(L8),1,0)</f>
        <v>#VALUE!</v>
      </c>
      <c r="P11" s="855"/>
    </row>
    <row r="12" spans="1:78" ht="27.75" customHeight="1" thickBot="1" x14ac:dyDescent="0.35">
      <c r="A12" s="1005"/>
      <c r="B12" s="1162" t="s">
        <v>864</v>
      </c>
      <c r="C12" s="1163"/>
      <c r="D12" s="1163"/>
      <c r="E12" s="1163"/>
      <c r="F12" s="850" t="s">
        <v>664</v>
      </c>
      <c r="G12" s="850" t="s">
        <v>865</v>
      </c>
      <c r="H12" s="860"/>
      <c r="I12" s="857"/>
      <c r="J12" s="861"/>
      <c r="K12" s="842"/>
      <c r="L12" s="858"/>
      <c r="M12" s="859"/>
      <c r="N12" s="859"/>
      <c r="P12" s="855"/>
    </row>
    <row r="13" spans="1:78" ht="95.25" customHeight="1" thickBot="1" x14ac:dyDescent="0.35">
      <c r="A13" s="1005" t="s">
        <v>1144</v>
      </c>
      <c r="B13" s="1159" t="s">
        <v>1944</v>
      </c>
      <c r="C13" s="1160"/>
      <c r="D13" s="1160"/>
      <c r="E13" s="1161"/>
      <c r="F13" s="819" t="s">
        <v>1541</v>
      </c>
      <c r="G13" s="984" t="b">
        <f>IF(AND(L13="Operations",M13&lt;0),"Operations",IF(AND(L13="Capital",M13&lt;0),"Capital",IF(L13="N/A","N/A")))</f>
        <v>0</v>
      </c>
      <c r="H13" s="860" t="s">
        <v>1547</v>
      </c>
      <c r="I13" s="862" t="s">
        <v>1978</v>
      </c>
      <c r="J13" s="820"/>
      <c r="K13" s="842"/>
      <c r="L13" s="945">
        <f>'Unit Data from Audit Worksheet'!F77</f>
        <v>0</v>
      </c>
      <c r="M13" s="946">
        <f>'Unit Data from Audit Worksheet'!F76</f>
        <v>0</v>
      </c>
      <c r="N13" s="859"/>
      <c r="O13" s="854"/>
      <c r="P13" s="855"/>
    </row>
    <row r="14" spans="1:78" ht="156" customHeight="1" thickBot="1" x14ac:dyDescent="0.35">
      <c r="A14" s="1005" t="s">
        <v>1146</v>
      </c>
      <c r="B14" s="1159" t="s">
        <v>1542</v>
      </c>
      <c r="C14" s="1160"/>
      <c r="D14" s="1160"/>
      <c r="E14" s="1161"/>
      <c r="F14" s="819" t="s">
        <v>1539</v>
      </c>
      <c r="G14" s="863">
        <f>Import!L51</f>
        <v>0</v>
      </c>
      <c r="H14" s="860" t="s">
        <v>1540</v>
      </c>
      <c r="I14" s="862" t="s">
        <v>1555</v>
      </c>
      <c r="J14" s="820"/>
      <c r="K14" s="842"/>
      <c r="L14" s="859"/>
      <c r="M14" s="859"/>
      <c r="N14" s="859"/>
      <c r="O14" s="854"/>
      <c r="P14" s="855"/>
    </row>
    <row r="15" spans="1:78" ht="81" customHeight="1" thickBot="1" x14ac:dyDescent="0.35">
      <c r="A15" s="1060"/>
      <c r="B15" s="1140" t="s">
        <v>1980</v>
      </c>
      <c r="C15" s="1140"/>
      <c r="D15" s="1140"/>
      <c r="E15" s="1141"/>
      <c r="F15" s="850" t="s">
        <v>664</v>
      </c>
      <c r="G15" s="850" t="s">
        <v>865</v>
      </c>
      <c r="H15" s="864" t="s">
        <v>1148</v>
      </c>
      <c r="I15" s="865"/>
      <c r="J15" s="866"/>
      <c r="K15" s="842"/>
      <c r="L15" s="867" t="e">
        <f>HLOOKUP($C$5,'PY2 Data(H)'!$D$2:$CZ$310,286,FALSE)</f>
        <v>#N/A</v>
      </c>
      <c r="M15" s="868" t="e">
        <f>HLOOKUP($C$5,'PY1 Data(H)'!$D$2:$CZ$277,236,FALSE)</f>
        <v>#N/A</v>
      </c>
      <c r="N15" s="869" t="e">
        <f>Import!L240</f>
        <v>#N/A</v>
      </c>
      <c r="O15" s="870"/>
      <c r="P15" s="974"/>
      <c r="Q15" s="975"/>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1"/>
      <c r="BG15" s="871"/>
      <c r="BH15" s="872"/>
      <c r="BI15" s="872"/>
      <c r="BJ15" s="872"/>
      <c r="BK15" s="872"/>
      <c r="BL15" s="872"/>
      <c r="BM15" s="872"/>
      <c r="BN15" s="872"/>
      <c r="BO15" s="872"/>
      <c r="BP15" s="872"/>
      <c r="BQ15" s="872"/>
      <c r="BR15" s="872"/>
      <c r="BS15" s="872"/>
      <c r="BT15" s="872"/>
      <c r="BU15" s="872"/>
      <c r="BV15" s="872"/>
      <c r="BW15" s="872"/>
      <c r="BX15" s="872"/>
      <c r="BY15" s="872"/>
      <c r="BZ15" s="872"/>
    </row>
    <row r="16" spans="1:78" ht="202.5" customHeight="1" thickBot="1" x14ac:dyDescent="0.35">
      <c r="A16" s="1005" t="s">
        <v>1147</v>
      </c>
      <c r="B16" s="873"/>
      <c r="C16" s="874"/>
      <c r="D16" s="874"/>
      <c r="E16" s="875"/>
      <c r="F16" s="876" t="s">
        <v>589</v>
      </c>
      <c r="G16" s="968" t="e">
        <f>N16</f>
        <v>#DIV/0!</v>
      </c>
      <c r="H16" s="856" t="s">
        <v>866</v>
      </c>
      <c r="I16" s="862" t="s">
        <v>591</v>
      </c>
      <c r="J16" s="820"/>
      <c r="K16" s="842"/>
      <c r="L16" s="979" t="e">
        <f>IF(AND(HLOOKUP($C$5,'PY2 Data(H)'!$D$2:$CZ$310,286,FALSE)=0.01,(HLOOKUP($C$5,'PY2 Data(H)'!$D$2:$CZ$310,298,FALSE)&gt;0)),P16,#N/A)</f>
        <v>#N/A</v>
      </c>
      <c r="M16" s="980" t="e">
        <f>IF(AND(HLOOKUP($C$5,'PY1 Data(H)'!$D$2:$CZ$277,236,FALSE)=0.01,(HLOOKUP($C$5,'PY1 Data(H)'!$D$2:$CZ$277,265,FALSE)&gt;0)),Q16,#N/A)</f>
        <v>#N/A</v>
      </c>
      <c r="N16" s="869" t="e">
        <f>(+Import!L76-Import!L77-Import!L74-Import!L75)/(Import!L80-Import!L81-Import!L82-Import!L83-Import!L$84-Import!L85-Import!L79)</f>
        <v>#DIV/0!</v>
      </c>
      <c r="O16" s="973"/>
      <c r="P16" s="981" t="e">
        <f>HLOOKUP($C$5,'PY2 Data(H)'!$D$2:$CZ$310,298,FALSE)</f>
        <v>#N/A</v>
      </c>
      <c r="Q16" s="978" t="e">
        <f>HLOOKUP($C$5,'PY1 Data(H)'!$D$2:$CZ$277,265,FALSE)</f>
        <v>#N/A</v>
      </c>
      <c r="R16"/>
    </row>
    <row r="17" spans="1:81" ht="27.75" customHeight="1" thickBot="1" x14ac:dyDescent="0.35">
      <c r="A17" s="1061"/>
      <c r="B17" s="877" t="s">
        <v>1150</v>
      </c>
      <c r="C17" s="878">
        <v>2021</v>
      </c>
      <c r="D17" s="878">
        <v>2022</v>
      </c>
      <c r="E17" s="878">
        <v>2023</v>
      </c>
      <c r="F17" s="850" t="s">
        <v>664</v>
      </c>
      <c r="G17" s="850" t="s">
        <v>865</v>
      </c>
      <c r="H17" s="879"/>
      <c r="I17" s="865"/>
      <c r="J17" s="866"/>
      <c r="K17" s="842"/>
      <c r="L17" s="869"/>
      <c r="M17" s="869"/>
      <c r="N17" s="869"/>
      <c r="P17" s="976"/>
      <c r="Q17" s="977"/>
    </row>
    <row r="18" spans="1:81" ht="97.2" customHeight="1" thickBot="1" x14ac:dyDescent="0.35">
      <c r="A18" s="1005" t="s">
        <v>1149</v>
      </c>
      <c r="B18" s="880" t="s">
        <v>1557</v>
      </c>
      <c r="C18" s="863" t="e">
        <f>IF(L15=0,"N/A",L18)</f>
        <v>#N/A</v>
      </c>
      <c r="D18" s="863" t="e">
        <f>IF(M15=0,"N/A",M18)</f>
        <v>#N/A</v>
      </c>
      <c r="E18" s="881" t="e">
        <f>IF(N15=0,"N/A",N18)</f>
        <v>#N/A</v>
      </c>
      <c r="F18" s="819" t="s">
        <v>867</v>
      </c>
      <c r="G18" s="969" t="e">
        <f>E18</f>
        <v>#N/A</v>
      </c>
      <c r="H18" s="856" t="s">
        <v>1626</v>
      </c>
      <c r="I18" s="862" t="s">
        <v>1628</v>
      </c>
      <c r="J18" s="820"/>
      <c r="K18" s="842"/>
      <c r="L18" s="988" t="e">
        <f>IF(HLOOKUP($C$5,'PY2 Data(H)'!$D$2:$CZ$310,299,FALSE)=0,"Prior year data not submitted as of workbook published date.",(HLOOKUP($C$5,'PY2 Data(H)'!$D$2:$CZ$310,299,FALSE)))</f>
        <v>#N/A</v>
      </c>
      <c r="M18" s="940" t="e">
        <f>IF(HLOOKUP($C$5,'PY1 Data(H)'!$D$2:$CZ$277,266,FALSE)=0,"Prior year data not submitted as of workbook published date.",(HLOOKUP($C$5,'PY1 Data(H)'!$D$2:$CZ$277,266,FALSE)))</f>
        <v>#N/A</v>
      </c>
      <c r="N18" s="882">
        <f>+Import!L109-Import!L111+Import!L110-Import!L140-Import!L112</f>
        <v>0</v>
      </c>
    </row>
    <row r="19" spans="1:81" ht="138" customHeight="1" thickBot="1" x14ac:dyDescent="0.35">
      <c r="A19" s="1005" t="s">
        <v>1151</v>
      </c>
      <c r="B19" s="883" t="s">
        <v>1648</v>
      </c>
      <c r="C19" s="942" t="e">
        <f>IF(L15=0,"N/A",L19)</f>
        <v>#N/A</v>
      </c>
      <c r="D19" s="942" t="e">
        <f>IF(M15=0,"N/A",M19)</f>
        <v>#N/A</v>
      </c>
      <c r="E19" s="884" t="e">
        <f>IF(N15=0,"N/A",N19)</f>
        <v>#N/A</v>
      </c>
      <c r="F19" s="819" t="s">
        <v>811</v>
      </c>
      <c r="G19" s="970" t="e">
        <f>E19</f>
        <v>#N/A</v>
      </c>
      <c r="H19" s="856" t="s">
        <v>1924</v>
      </c>
      <c r="I19" s="862" t="s">
        <v>1631</v>
      </c>
      <c r="J19" s="821"/>
      <c r="K19" s="842"/>
      <c r="L19" s="993" t="e">
        <f>IF(HLOOKUP($C$5,'PY2 Data(H)'!$D$2:$CZ$310,300,FALSE)=0,"Prior year data not submitted as of workbook published date.",(HLOOKUP($C$5,'PY2 Data(H)'!$D$2:$CZ$310,300,FALSE)))</f>
        <v>#N/A</v>
      </c>
      <c r="M19" s="941" t="e">
        <f>IF(HLOOKUP($C$5,'PY1 Data(H)'!$D$2:$CZ$277,267,FALSE)=0,"Prior year data not submitted as of workbook published date.",(HLOOKUP($C$5,'PY1 Data(H)'!$D$2:$CZ$277,267,FALSE)))</f>
        <v>#N/A</v>
      </c>
      <c r="N19" s="885" t="e">
        <f>Import!L72/(Import!L111+Import!L114-Import!L110+Import!L140)</f>
        <v>#DIV/0!</v>
      </c>
      <c r="O19" s="886"/>
    </row>
    <row r="20" spans="1:81" ht="75" customHeight="1" thickBot="1" x14ac:dyDescent="0.35">
      <c r="A20" s="1005" t="s">
        <v>1152</v>
      </c>
      <c r="B20" s="1164" t="s">
        <v>1977</v>
      </c>
      <c r="C20" s="1164"/>
      <c r="D20" s="1165"/>
      <c r="E20" s="887" t="str">
        <f>IF(N20&lt;0,"Yes","No")</f>
        <v>No</v>
      </c>
      <c r="F20" s="888"/>
      <c r="G20" s="889" t="str">
        <f>E20</f>
        <v>No</v>
      </c>
      <c r="H20" s="856" t="s">
        <v>1153</v>
      </c>
      <c r="I20" s="862" t="s">
        <v>812</v>
      </c>
      <c r="J20" s="820"/>
      <c r="K20" s="842"/>
      <c r="L20" s="890"/>
      <c r="M20" s="891">
        <f>((Import!L114+Import!L111)*0.03)-Import!L118</f>
        <v>0</v>
      </c>
      <c r="N20" s="892">
        <f>M20*0.03</f>
        <v>0</v>
      </c>
    </row>
    <row r="21" spans="1:81" ht="75" customHeight="1" thickBot="1" x14ac:dyDescent="0.35">
      <c r="A21" s="1006">
        <v>8</v>
      </c>
      <c r="B21" s="950" t="s">
        <v>1942</v>
      </c>
      <c r="C21" s="955" t="e">
        <f>L21</f>
        <v>#N/A</v>
      </c>
      <c r="D21" s="955" t="e">
        <f>M21</f>
        <v>#N/A</v>
      </c>
      <c r="E21" s="956" t="e">
        <f>N21</f>
        <v>#DIV/0!</v>
      </c>
      <c r="F21" s="986" t="s">
        <v>2868</v>
      </c>
      <c r="G21" s="957" t="e">
        <f>E21</f>
        <v>#DIV/0!</v>
      </c>
      <c r="H21" s="1000" t="s">
        <v>2869</v>
      </c>
      <c r="I21" s="951" t="s">
        <v>1974</v>
      </c>
      <c r="J21" s="821"/>
      <c r="K21" s="842"/>
      <c r="L21" s="952" t="e">
        <f>IF(HLOOKUP($C$5,'PY2 Data(H)'!$D$2:$CZ$310,309,FALSE)=0,"Prior year data not submitted as of workbook published date.",(HLOOKUP($C$5,'PY2 Data(H)'!$D$2:$CZ$310,309,FALSE)))</f>
        <v>#N/A</v>
      </c>
      <c r="M21" s="953" t="e">
        <f>IF(HLOOKUP($C$5,'PY1 Data(H)'!$D$2:$CZ$277,276,FALSE)=0,"Prior year data not submitted as of workbook published date.",(HLOOKUP($C$5,'PY1 Data(H)'!$D$2:$CZ$277,276,FALSE)))</f>
        <v>#N/A</v>
      </c>
      <c r="N21" s="954" t="e">
        <f>1-(Import!L166+Import!L167+Import!L168+Import!L169)/(Import!L158+Import!L159+Import!L160+Import!L161)</f>
        <v>#DIV/0!</v>
      </c>
    </row>
    <row r="22" spans="1:81" x14ac:dyDescent="0.3">
      <c r="A22" s="1062"/>
    </row>
    <row r="23" spans="1:81" ht="15" thickBot="1" x14ac:dyDescent="0.35">
      <c r="A23" s="1062"/>
    </row>
    <row r="24" spans="1:81" ht="87" customHeight="1" thickBot="1" x14ac:dyDescent="0.35">
      <c r="A24" s="1060"/>
      <c r="B24" s="1140" t="s">
        <v>1981</v>
      </c>
      <c r="C24" s="1140"/>
      <c r="D24" s="1140"/>
      <c r="E24" s="1140"/>
      <c r="F24" s="850" t="s">
        <v>664</v>
      </c>
      <c r="G24" s="850" t="s">
        <v>865</v>
      </c>
      <c r="H24" s="864" t="s">
        <v>1154</v>
      </c>
      <c r="I24" s="893"/>
      <c r="J24" s="894"/>
      <c r="K24" s="842"/>
      <c r="L24" s="867" t="e">
        <f>HLOOKUP($C$5,'PY2 Data(H)'!$D$2:$CZ$310,285,FALSE)</f>
        <v>#N/A</v>
      </c>
      <c r="M24" s="868" t="e">
        <f>HLOOKUP($C$5,'PY1 Data(H)'!$D$2:$CZ$277,235,FALSE)</f>
        <v>#N/A</v>
      </c>
      <c r="N24" s="895" t="e">
        <f>Import!L239</f>
        <v>#N/A</v>
      </c>
    </row>
    <row r="25" spans="1:81" ht="202.5" customHeight="1" thickBot="1" x14ac:dyDescent="0.35">
      <c r="A25" s="1005">
        <v>9</v>
      </c>
      <c r="B25" s="1166"/>
      <c r="C25" s="1166"/>
      <c r="D25" s="1166"/>
      <c r="E25" s="1167"/>
      <c r="F25" s="819" t="s">
        <v>589</v>
      </c>
      <c r="G25" s="971" t="e">
        <f>N25</f>
        <v>#DIV/0!</v>
      </c>
      <c r="H25" s="856" t="s">
        <v>868</v>
      </c>
      <c r="I25" s="862" t="s">
        <v>599</v>
      </c>
      <c r="J25" s="820"/>
      <c r="K25" s="842"/>
      <c r="L25" s="979" t="e">
        <f>IF(AND(HLOOKUP($C$5,'PY2 Data(H)'!$D$2:$CZ$310,285,FALSE)&gt;0,(HLOOKUP($C$5,'PY2 Data(H)'!$D$2:$CZ$310,302,FALSE)&gt;0)),P25,#N/A)</f>
        <v>#N/A</v>
      </c>
      <c r="M25" s="980" t="e">
        <f>IF(AND(HLOOKUP($C$5,'PY1 Data(H)'!$D$2:$CZ$277,235,FALSE)&gt;0,(HLOOKUP($C$5,'PY1 Data(H)'!$D$2:$CZ$277,269,FALSE)&gt;0)),Q25,#N/A)</f>
        <v>#N/A</v>
      </c>
      <c r="N25" s="869" t="e">
        <f>+(Import!L94-Import!L95-Import!L93-Import!L92)/(Import!L99-Import!L100-Import!L101-Import!L102-Import!L103-Import!L104-Import!L98)</f>
        <v>#DIV/0!</v>
      </c>
      <c r="P25" s="979" t="e">
        <f>HLOOKUP($C$5,'PY2 Data(H)'!$D$2:$CZ$310,302,FALSE)</f>
        <v>#N/A</v>
      </c>
      <c r="Q25" s="980" t="e">
        <f>HLOOKUP($C$5,'PY1 Data(H)'!$D$2:$CZ$277,269,FALSE)</f>
        <v>#N/A</v>
      </c>
    </row>
    <row r="26" spans="1:81" ht="27.75" customHeight="1" thickBot="1" x14ac:dyDescent="0.35">
      <c r="A26" s="1061"/>
      <c r="B26" s="896" t="s">
        <v>1150</v>
      </c>
      <c r="C26" s="878">
        <v>2021</v>
      </c>
      <c r="D26" s="878">
        <v>2022</v>
      </c>
      <c r="E26" s="878">
        <v>2023</v>
      </c>
      <c r="F26" s="850" t="s">
        <v>664</v>
      </c>
      <c r="G26" s="850" t="s">
        <v>865</v>
      </c>
      <c r="H26" s="897"/>
      <c r="I26" s="898"/>
      <c r="J26" s="899"/>
      <c r="K26" s="842"/>
      <c r="L26" s="900"/>
      <c r="M26" s="869"/>
      <c r="N26" s="869"/>
    </row>
    <row r="27" spans="1:81" ht="93.6" customHeight="1" thickBot="1" x14ac:dyDescent="0.35">
      <c r="A27" s="1005">
        <v>10</v>
      </c>
      <c r="B27" s="880" t="s">
        <v>1557</v>
      </c>
      <c r="C27" s="944" t="e">
        <f>IF(L24=0,"N/A",L27)</f>
        <v>#N/A</v>
      </c>
      <c r="D27" s="944" t="e">
        <f>IF(M24=0,"N/A",M27)</f>
        <v>#N/A</v>
      </c>
      <c r="E27" s="901" t="e">
        <f>IF(N24=0,"N/A",N27)</f>
        <v>#N/A</v>
      </c>
      <c r="F27" s="819" t="s">
        <v>867</v>
      </c>
      <c r="G27" s="972" t="e">
        <f>E27</f>
        <v>#N/A</v>
      </c>
      <c r="H27" s="856" t="s">
        <v>1627</v>
      </c>
      <c r="I27" s="902" t="s">
        <v>1629</v>
      </c>
      <c r="J27" s="820"/>
      <c r="K27" s="842"/>
      <c r="L27" s="989" t="e">
        <f>IF(HLOOKUP($C$5,'PY2 Data(H)'!$D$2:$CZ$310,303,FALSE)=0,"Prior year data not submitted as of workbook published date.",(HLOOKUP($C$5,'PY2 Data(H)'!$D$2:$CZ$310,303,FALSE)))</f>
        <v>#N/A</v>
      </c>
      <c r="M27" s="943" t="e">
        <f>IF(HLOOKUP($C$5,'PY1 Data(H)'!$D$2:$CZ$277,270,FALSE)=0,"Prior year data not submitted as of workbook published date.",(HLOOKUP($C$5,'PY1 Data(H)'!$D$2:$CZ$277,270,FALSE)))</f>
        <v>#N/A</v>
      </c>
      <c r="N27" s="903">
        <f>+Import!L125-Import!L128+Import!L127-Import!L143-Import!L129</f>
        <v>0</v>
      </c>
    </row>
    <row r="28" spans="1:81" s="867" customFormat="1" ht="117" customHeight="1" thickBot="1" x14ac:dyDescent="0.35">
      <c r="A28" s="1005">
        <v>11</v>
      </c>
      <c r="B28" s="883" t="s">
        <v>1648</v>
      </c>
      <c r="C28" s="942" t="e">
        <f>IF(L24=0,"N/A",L28)</f>
        <v>#N/A</v>
      </c>
      <c r="D28" s="942" t="e">
        <f>IF(M24=0,"N/A",M28)</f>
        <v>#N/A</v>
      </c>
      <c r="E28" s="884" t="e">
        <f>IF(N24=0,"N/A",N28)</f>
        <v>#N/A</v>
      </c>
      <c r="F28" s="819" t="s">
        <v>811</v>
      </c>
      <c r="G28" s="970" t="e">
        <f>E28</f>
        <v>#N/A</v>
      </c>
      <c r="H28" s="856" t="s">
        <v>1924</v>
      </c>
      <c r="I28" s="902" t="s">
        <v>1630</v>
      </c>
      <c r="J28" s="821"/>
      <c r="K28" s="842"/>
      <c r="L28" s="990" t="e">
        <f>IF(HLOOKUP($C$5,'PY2 Data(H)'!$D$2:$CZ$310,304,FALSE)=0,"Prior year data not submitted as of workbook published date.",(HLOOKUP($C$5,'PY2 Data(H)'!$D$2:$CZ$310,304,FALSE)))</f>
        <v>#N/A</v>
      </c>
      <c r="M28" s="941" t="e">
        <f>IF(HLOOKUP($C$5,'PY1 Data(H)'!$D$2:$CZ$277,271,FALSE)=0,"Prior year data not submitted as of  workbook published date.",(HLOOKUP($C$5,'PY1 Data(H)'!$D$2:$CZ$277,271,FALSE)))</f>
        <v>#N/A</v>
      </c>
      <c r="N28" s="885" t="e">
        <f>+Import!L90/(Import!L131+Import!L128-Import!L127+Import!L143)</f>
        <v>#DIV/0!</v>
      </c>
      <c r="O28" s="825"/>
      <c r="P28" s="826"/>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8"/>
      <c r="BI28" s="828"/>
      <c r="BJ28" s="828"/>
      <c r="BK28" s="828"/>
      <c r="BL28" s="828"/>
      <c r="BM28" s="828"/>
      <c r="BN28" s="828"/>
      <c r="BO28" s="828"/>
      <c r="BP28" s="828"/>
      <c r="BQ28" s="828"/>
      <c r="BR28" s="828"/>
      <c r="BS28" s="828"/>
      <c r="BT28" s="828"/>
      <c r="BU28" s="828"/>
      <c r="BV28" s="828"/>
      <c r="BW28" s="828"/>
      <c r="BX28" s="828"/>
      <c r="BY28" s="828"/>
      <c r="BZ28" s="828"/>
      <c r="CA28" s="828"/>
      <c r="CB28" s="828"/>
      <c r="CC28" s="828"/>
    </row>
    <row r="29" spans="1:81" s="867" customFormat="1" ht="18.600000000000001" thickBot="1" x14ac:dyDescent="0.35">
      <c r="A29" s="1063"/>
      <c r="B29" s="1168" t="s">
        <v>869</v>
      </c>
      <c r="C29" s="1168"/>
      <c r="D29" s="1168"/>
      <c r="E29" s="878">
        <v>2023</v>
      </c>
      <c r="F29" s="905" t="s">
        <v>870</v>
      </c>
      <c r="G29" s="906"/>
      <c r="H29" s="907"/>
      <c r="I29" s="908"/>
      <c r="J29" s="909"/>
      <c r="K29" s="842"/>
      <c r="L29" s="825"/>
      <c r="M29" s="825"/>
      <c r="N29" s="825"/>
      <c r="O29" s="825"/>
      <c r="P29" s="826"/>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8"/>
      <c r="BI29" s="828"/>
      <c r="BJ29" s="828"/>
      <c r="BK29" s="828"/>
      <c r="BL29" s="828"/>
      <c r="BM29" s="828"/>
      <c r="BN29" s="828"/>
      <c r="BO29" s="828"/>
      <c r="BP29" s="828"/>
      <c r="BQ29" s="828"/>
      <c r="BR29" s="828"/>
      <c r="BS29" s="828"/>
      <c r="BT29" s="828"/>
      <c r="BU29" s="828"/>
      <c r="BV29" s="828"/>
      <c r="BW29" s="828"/>
      <c r="BX29" s="828"/>
      <c r="BY29" s="828"/>
      <c r="BZ29" s="828"/>
      <c r="CA29" s="828"/>
      <c r="CB29" s="828"/>
      <c r="CC29" s="828"/>
    </row>
    <row r="30" spans="1:81" s="867" customFormat="1" ht="119.4" customHeight="1" thickBot="1" x14ac:dyDescent="0.35">
      <c r="A30" s="1064" t="s">
        <v>1982</v>
      </c>
      <c r="B30" s="1148" t="s">
        <v>2872</v>
      </c>
      <c r="C30" s="1149"/>
      <c r="D30" s="1150"/>
      <c r="E30" s="1029">
        <f>Import!L259</f>
        <v>0</v>
      </c>
      <c r="F30" s="1027"/>
      <c r="G30" s="1018" t="str">
        <f>IF('TD Info Completed by Auditor'!C31&gt;N30,"Late","Response Not Required")</f>
        <v>Response Not Required</v>
      </c>
      <c r="H30" s="910" t="s">
        <v>871</v>
      </c>
      <c r="I30" s="996" t="s">
        <v>2863</v>
      </c>
      <c r="J30" s="822"/>
      <c r="K30" s="842"/>
      <c r="L30" s="1008">
        <f>'TD Info Completed by Auditor'!C31</f>
        <v>0</v>
      </c>
      <c r="M30" s="1009">
        <f>'TD Info Completed by Auditor'!C30</f>
        <v>45107</v>
      </c>
      <c r="N30" s="1010">
        <f>IF(M30=DATEVALUE("6/30/2023"),N32,IF(M30=DATEVALUE("9/30/2023"),N33,IF(M30=DATEVALUE("12/31/2023"),N34,IF(M30=DATEVALUE("3/31/2024"),N35))))</f>
        <v>45291</v>
      </c>
      <c r="O30" s="825"/>
      <c r="P30" s="826"/>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8"/>
      <c r="BI30" s="828"/>
      <c r="BJ30" s="828"/>
      <c r="BK30" s="828"/>
      <c r="BL30" s="828"/>
      <c r="BM30" s="828"/>
      <c r="BN30" s="828"/>
      <c r="BO30" s="828"/>
      <c r="BP30" s="828"/>
      <c r="BQ30" s="828"/>
      <c r="BR30" s="828"/>
      <c r="BS30" s="828"/>
      <c r="BT30" s="828"/>
      <c r="BU30" s="828"/>
      <c r="BV30" s="828"/>
      <c r="BW30" s="828"/>
      <c r="BX30" s="828"/>
      <c r="BY30" s="828"/>
      <c r="BZ30" s="828"/>
      <c r="CA30" s="828"/>
      <c r="CB30" s="828"/>
      <c r="CC30" s="828"/>
    </row>
    <row r="31" spans="1:81" s="867" customFormat="1" ht="18" customHeight="1" thickBot="1" x14ac:dyDescent="0.35">
      <c r="A31" s="1065"/>
      <c r="B31" s="1171"/>
      <c r="C31" s="1171"/>
      <c r="D31" s="1172"/>
      <c r="E31" s="1028">
        <v>9</v>
      </c>
      <c r="F31" s="911" t="s">
        <v>870</v>
      </c>
      <c r="G31" s="912"/>
      <c r="H31" s="912"/>
      <c r="I31" s="913"/>
      <c r="J31" s="914"/>
      <c r="K31" s="842"/>
      <c r="L31" s="1011" t="s">
        <v>2874</v>
      </c>
      <c r="M31" s="613" t="s">
        <v>2875</v>
      </c>
      <c r="N31" s="1012"/>
      <c r="O31" s="825"/>
      <c r="P31" s="826"/>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8"/>
      <c r="BI31" s="828"/>
      <c r="BJ31" s="828"/>
      <c r="BK31" s="828"/>
      <c r="BL31" s="828"/>
      <c r="BM31" s="828"/>
      <c r="BN31" s="828"/>
      <c r="BO31" s="828"/>
      <c r="BP31" s="828"/>
      <c r="BQ31" s="828"/>
      <c r="BR31" s="828"/>
      <c r="BS31" s="828"/>
      <c r="BT31" s="828"/>
      <c r="BU31" s="828"/>
      <c r="BV31" s="828"/>
      <c r="BW31" s="828"/>
      <c r="BX31" s="828"/>
      <c r="BY31" s="828"/>
      <c r="BZ31" s="828"/>
      <c r="CA31" s="828"/>
      <c r="CB31" s="828"/>
      <c r="CC31" s="828"/>
    </row>
    <row r="32" spans="1:81" s="867" customFormat="1" ht="109.8" customHeight="1" thickBot="1" x14ac:dyDescent="0.35">
      <c r="A32" s="1005">
        <v>13</v>
      </c>
      <c r="B32" s="1173" t="s">
        <v>1556</v>
      </c>
      <c r="C32" s="1174"/>
      <c r="D32" s="1174"/>
      <c r="E32" s="915"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19" t="s">
        <v>590</v>
      </c>
      <c r="G32" s="916" t="str">
        <f>+E32</f>
        <v>This question must be answered unless the unit does not levy ad valorem taxes. See cells F63 &amp; F64 on Unit Data from Audit</v>
      </c>
      <c r="H32" s="856" t="s">
        <v>1500</v>
      </c>
      <c r="I32" s="902" t="s">
        <v>595</v>
      </c>
      <c r="J32" s="822"/>
      <c r="K32" s="842"/>
      <c r="L32" s="1011"/>
      <c r="M32" s="1013">
        <v>45107</v>
      </c>
      <c r="N32" s="1014">
        <v>45291</v>
      </c>
      <c r="O32" s="825"/>
      <c r="P32" s="826"/>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8"/>
      <c r="BI32" s="828"/>
      <c r="BJ32" s="828"/>
      <c r="BK32" s="828"/>
      <c r="BL32" s="828"/>
      <c r="BM32" s="828"/>
      <c r="BN32" s="828"/>
      <c r="BO32" s="828"/>
      <c r="BP32" s="828"/>
      <c r="BQ32" s="828"/>
      <c r="BR32" s="828"/>
      <c r="BS32" s="828"/>
      <c r="BT32" s="828"/>
      <c r="BU32" s="828"/>
      <c r="BV32" s="828"/>
      <c r="BW32" s="828"/>
      <c r="BX32" s="828"/>
      <c r="BY32" s="828"/>
      <c r="BZ32" s="828"/>
      <c r="CA32" s="828"/>
      <c r="CB32" s="828"/>
      <c r="CC32" s="828"/>
    </row>
    <row r="33" spans="1:81" s="867" customFormat="1" ht="18" customHeight="1" thickBot="1" x14ac:dyDescent="0.35">
      <c r="A33" s="1007"/>
      <c r="B33" s="1171"/>
      <c r="C33" s="1171"/>
      <c r="D33" s="1172"/>
      <c r="E33" s="878">
        <v>2023</v>
      </c>
      <c r="F33" s="911" t="s">
        <v>870</v>
      </c>
      <c r="G33" s="912"/>
      <c r="H33" s="912"/>
      <c r="I33" s="913"/>
      <c r="J33" s="914"/>
      <c r="K33" s="824"/>
      <c r="L33" s="1011"/>
      <c r="M33" s="1013">
        <v>45199</v>
      </c>
      <c r="N33" s="1014">
        <v>45382</v>
      </c>
      <c r="O33" s="825"/>
      <c r="P33" s="826"/>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8"/>
      <c r="BI33" s="828"/>
      <c r="BJ33" s="828"/>
      <c r="BK33" s="828"/>
      <c r="BL33" s="828"/>
      <c r="BM33" s="828"/>
      <c r="BN33" s="828"/>
      <c r="BO33" s="828"/>
      <c r="BP33" s="828"/>
      <c r="BQ33" s="828"/>
      <c r="BR33" s="828"/>
      <c r="BS33" s="828"/>
      <c r="BT33" s="828"/>
      <c r="BU33" s="828"/>
      <c r="BV33" s="828"/>
      <c r="BW33" s="828"/>
      <c r="BX33" s="828"/>
      <c r="BY33" s="828"/>
      <c r="BZ33" s="828"/>
      <c r="CA33" s="828"/>
      <c r="CB33" s="828"/>
      <c r="CC33" s="828"/>
    </row>
    <row r="34" spans="1:81" s="867" customFormat="1" ht="97.5" customHeight="1" thickBot="1" x14ac:dyDescent="0.35">
      <c r="A34" s="1005">
        <v>14</v>
      </c>
      <c r="B34" s="1165" t="s">
        <v>1156</v>
      </c>
      <c r="C34" s="1179"/>
      <c r="D34" s="1179"/>
      <c r="E34" s="917" t="str">
        <f>IF(Import!L210=20,"Increase",IF(Import!L210=21,"Decrease",IF(Import!L210=22,"No Change",IF(Import!L210=23,"N/A","This question must be answered. See cell F265 on Unit Data from Audit"))))</f>
        <v>This question must be answered. See cell F265 on Unit Data from Audit</v>
      </c>
      <c r="F34" s="819" t="s">
        <v>872</v>
      </c>
      <c r="G34" s="917" t="str">
        <f>E34</f>
        <v>This question must be answered. See cell F265 on Unit Data from Audit</v>
      </c>
      <c r="H34" s="856" t="s">
        <v>873</v>
      </c>
      <c r="I34" s="902" t="s">
        <v>596</v>
      </c>
      <c r="J34" s="822"/>
      <c r="K34" s="918"/>
      <c r="L34" s="1011"/>
      <c r="M34" s="1013">
        <v>45291</v>
      </c>
      <c r="N34" s="1014">
        <v>45473</v>
      </c>
      <c r="O34" s="825"/>
      <c r="P34" s="826"/>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8"/>
      <c r="BI34" s="828"/>
      <c r="BJ34" s="828"/>
      <c r="BK34" s="828"/>
      <c r="BL34" s="828"/>
      <c r="BM34" s="828"/>
      <c r="BN34" s="828"/>
      <c r="BO34" s="828"/>
      <c r="BP34" s="828"/>
      <c r="BQ34" s="828"/>
      <c r="BR34" s="828"/>
      <c r="BS34" s="828"/>
      <c r="BT34" s="828"/>
      <c r="BU34" s="828"/>
      <c r="BV34" s="828"/>
      <c r="BW34" s="828"/>
      <c r="BX34" s="828"/>
      <c r="BY34" s="828"/>
      <c r="BZ34" s="828"/>
      <c r="CA34" s="828"/>
      <c r="CB34" s="828"/>
      <c r="CC34" s="828"/>
    </row>
    <row r="35" spans="1:81" s="867" customFormat="1" ht="18" customHeight="1" thickBot="1" x14ac:dyDescent="0.35">
      <c r="A35" s="1007"/>
      <c r="B35" s="1171"/>
      <c r="C35" s="1171"/>
      <c r="D35" s="1172"/>
      <c r="E35" s="878">
        <v>2023</v>
      </c>
      <c r="F35" s="911" t="s">
        <v>870</v>
      </c>
      <c r="G35" s="912"/>
      <c r="H35" s="919"/>
      <c r="I35" s="913"/>
      <c r="J35" s="914"/>
      <c r="K35" s="920"/>
      <c r="L35" s="1015"/>
      <c r="M35" s="1016">
        <v>45382</v>
      </c>
      <c r="N35" s="1017">
        <v>45565</v>
      </c>
      <c r="O35" s="825"/>
      <c r="P35" s="826"/>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8"/>
      <c r="BI35" s="828"/>
      <c r="BJ35" s="828"/>
      <c r="BK35" s="828"/>
      <c r="BL35" s="828"/>
      <c r="BM35" s="828"/>
      <c r="BN35" s="828"/>
      <c r="BO35" s="828"/>
      <c r="BP35" s="828"/>
      <c r="BQ35" s="828"/>
      <c r="BR35" s="828"/>
      <c r="BS35" s="828"/>
      <c r="BT35" s="828"/>
      <c r="BU35" s="828"/>
      <c r="BV35" s="828"/>
      <c r="BW35" s="828"/>
      <c r="BX35" s="828"/>
      <c r="BY35" s="828"/>
      <c r="BZ35" s="828"/>
      <c r="CA35" s="828"/>
      <c r="CB35" s="828"/>
      <c r="CC35" s="828"/>
    </row>
    <row r="36" spans="1:81" s="867" customFormat="1" ht="78.75" customHeight="1" thickBot="1" x14ac:dyDescent="0.35">
      <c r="A36" s="1005">
        <v>15</v>
      </c>
      <c r="B36" s="1177" t="s">
        <v>1947</v>
      </c>
      <c r="C36" s="1140"/>
      <c r="D36" s="1141"/>
      <c r="E36" s="819" t="str">
        <f>IF(Import!L216=1,"Yes",IF(Import!L216=2,"No",IF(Import!L216=0,"This question must be answered.  See cell C15 on TD")))</f>
        <v>This question must be answered.  See cell C15 on TD</v>
      </c>
      <c r="F36" s="819" t="s">
        <v>597</v>
      </c>
      <c r="G36" s="819" t="str">
        <f>+E36</f>
        <v>This question must be answered.  See cell C15 on TD</v>
      </c>
      <c r="H36" s="921" t="s">
        <v>1157</v>
      </c>
      <c r="I36" s="902" t="s">
        <v>1536</v>
      </c>
      <c r="J36" s="822"/>
      <c r="K36" s="842"/>
      <c r="L36" s="825"/>
      <c r="M36" s="825"/>
      <c r="N36" s="825"/>
      <c r="O36" s="825"/>
      <c r="P36" s="826"/>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8"/>
      <c r="BI36" s="828"/>
      <c r="BJ36" s="828"/>
      <c r="BK36" s="828"/>
      <c r="BL36" s="828"/>
      <c r="BM36" s="828"/>
      <c r="BN36" s="828"/>
      <c r="BO36" s="828"/>
      <c r="BP36" s="828"/>
      <c r="BQ36" s="828"/>
      <c r="BR36" s="828"/>
      <c r="BS36" s="828"/>
      <c r="BT36" s="828"/>
      <c r="BU36" s="828"/>
      <c r="BV36" s="828"/>
      <c r="BW36" s="828"/>
      <c r="BX36" s="828"/>
      <c r="BY36" s="828"/>
      <c r="BZ36" s="828"/>
      <c r="CA36" s="828"/>
      <c r="CB36" s="828"/>
      <c r="CC36" s="828"/>
    </row>
    <row r="37" spans="1:81" s="867" customFormat="1" ht="18" customHeight="1" thickBot="1" x14ac:dyDescent="0.35">
      <c r="A37" s="1007"/>
      <c r="B37" s="1171"/>
      <c r="C37" s="1171"/>
      <c r="D37" s="1172"/>
      <c r="E37" s="878">
        <v>2023</v>
      </c>
      <c r="F37" s="911" t="s">
        <v>870</v>
      </c>
      <c r="G37" s="912"/>
      <c r="H37" s="919"/>
      <c r="I37" s="913"/>
      <c r="J37" s="914"/>
      <c r="K37" s="842"/>
      <c r="L37" s="825"/>
      <c r="M37" s="825"/>
      <c r="N37" s="825"/>
      <c r="O37" s="825"/>
      <c r="P37" s="826"/>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8"/>
      <c r="BI37" s="828"/>
      <c r="BJ37" s="828"/>
      <c r="BK37" s="828"/>
      <c r="BL37" s="828"/>
      <c r="BM37" s="828"/>
      <c r="BN37" s="828"/>
      <c r="BO37" s="828"/>
      <c r="BP37" s="828"/>
      <c r="BQ37" s="828"/>
      <c r="BR37" s="828"/>
      <c r="BS37" s="828"/>
      <c r="BT37" s="828"/>
      <c r="BU37" s="828"/>
      <c r="BV37" s="828"/>
      <c r="BW37" s="828"/>
      <c r="BX37" s="828"/>
      <c r="BY37" s="828"/>
      <c r="BZ37" s="828"/>
      <c r="CA37" s="828"/>
      <c r="CB37" s="828"/>
      <c r="CC37" s="828"/>
    </row>
    <row r="38" spans="1:81" s="867" customFormat="1" ht="106.8" customHeight="1" thickBot="1" x14ac:dyDescent="0.35">
      <c r="A38" s="1005">
        <v>16</v>
      </c>
      <c r="B38" s="1118" t="s">
        <v>1661</v>
      </c>
      <c r="C38" s="1118"/>
      <c r="D38" s="1119"/>
      <c r="E38" s="934" t="str">
        <f>IF(AND(Import!L214=2,Import!L215=2,Import!L217=2,AND(Import!L223&lt;=0,Import!L224&lt;=0)),"No","Yes")</f>
        <v>Yes</v>
      </c>
      <c r="F38" s="922"/>
      <c r="G38" s="887" t="str">
        <f>E38</f>
        <v>Yes</v>
      </c>
      <c r="H38" s="987" t="s">
        <v>1927</v>
      </c>
      <c r="I38" s="862" t="s">
        <v>1548</v>
      </c>
      <c r="J38" s="822"/>
      <c r="K38" s="842"/>
      <c r="L38" s="825"/>
      <c r="M38" s="825"/>
      <c r="N38" s="825"/>
      <c r="O38" s="825"/>
      <c r="P38" s="826"/>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8"/>
      <c r="BI38" s="828"/>
      <c r="BJ38" s="828"/>
      <c r="BK38" s="828"/>
      <c r="BL38" s="828"/>
      <c r="BM38" s="828"/>
      <c r="BN38" s="828"/>
      <c r="BO38" s="828"/>
      <c r="BP38" s="828"/>
      <c r="BQ38" s="828"/>
      <c r="BR38" s="828"/>
      <c r="BS38" s="828"/>
      <c r="BT38" s="828"/>
      <c r="BU38" s="828"/>
      <c r="BV38" s="828"/>
      <c r="BW38" s="828"/>
      <c r="BX38" s="828"/>
      <c r="BY38" s="828"/>
      <c r="BZ38" s="828"/>
      <c r="CA38" s="828"/>
      <c r="CB38" s="828"/>
      <c r="CC38" s="828"/>
    </row>
    <row r="39" spans="1:81" s="867" customFormat="1" ht="138" customHeight="1" thickBot="1" x14ac:dyDescent="0.35">
      <c r="A39" s="1006">
        <v>17</v>
      </c>
      <c r="B39" s="1177" t="s">
        <v>1972</v>
      </c>
      <c r="C39" s="1140"/>
      <c r="D39" s="1141"/>
      <c r="E39" s="887" t="str">
        <f>IF(Import!L218=1,"Yes",IF(Import!L218=2,"No",IF(Import!L218=0,"This question must be answered.  See cell C17 on TD")))</f>
        <v>This question must be answered.  See cell C17 on TD</v>
      </c>
      <c r="F39" s="922"/>
      <c r="G39" s="887" t="str">
        <f>E39</f>
        <v>This question must be answered.  See cell C17 on TD</v>
      </c>
      <c r="H39" s="921" t="s">
        <v>1662</v>
      </c>
      <c r="I39" s="862" t="s">
        <v>1543</v>
      </c>
      <c r="J39" s="822"/>
      <c r="K39" s="842"/>
      <c r="L39" s="825"/>
      <c r="M39" s="825"/>
      <c r="N39" s="825"/>
      <c r="O39" s="825"/>
      <c r="P39" s="826"/>
      <c r="Q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8"/>
      <c r="BI39" s="828"/>
      <c r="BJ39" s="828"/>
      <c r="BK39" s="828"/>
      <c r="BL39" s="828"/>
      <c r="BM39" s="828"/>
      <c r="BN39" s="828"/>
      <c r="BO39" s="828"/>
      <c r="BP39" s="828"/>
      <c r="BQ39" s="828"/>
      <c r="BR39" s="828"/>
      <c r="BS39" s="828"/>
      <c r="BT39" s="828"/>
      <c r="BU39" s="828"/>
      <c r="BV39" s="828"/>
      <c r="BW39" s="828"/>
      <c r="BX39" s="828"/>
      <c r="BY39" s="828"/>
      <c r="BZ39" s="828"/>
      <c r="CA39" s="828"/>
      <c r="CB39" s="828"/>
      <c r="CC39" s="828"/>
    </row>
    <row r="40" spans="1:81" s="867" customFormat="1" ht="117" customHeight="1" thickBot="1" x14ac:dyDescent="0.35">
      <c r="A40" s="1006">
        <v>18</v>
      </c>
      <c r="B40" s="1177" t="s">
        <v>1729</v>
      </c>
      <c r="C40" s="1140"/>
      <c r="D40" s="1141"/>
      <c r="E40" s="887" t="str">
        <f>IF(Import!L220=1,"Yes",IF(Import!L220=2,"No",IF(Import!L220=0,"This question must be answered.  See cell C19 on TD")))</f>
        <v>This question must be answered.  See cell C19 on TD</v>
      </c>
      <c r="F40" s="922"/>
      <c r="G40" s="887" t="str">
        <f>E40</f>
        <v>This question must be answered.  See cell C19 on TD</v>
      </c>
      <c r="H40" s="921" t="s">
        <v>1928</v>
      </c>
      <c r="I40" s="862" t="s">
        <v>1643</v>
      </c>
      <c r="J40" s="822"/>
      <c r="K40" s="842"/>
      <c r="L40" s="825"/>
      <c r="M40" s="825"/>
      <c r="N40" s="825"/>
      <c r="O40" s="825"/>
      <c r="P40" s="826"/>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8"/>
      <c r="BI40" s="828"/>
      <c r="BJ40" s="828"/>
      <c r="BK40" s="828"/>
      <c r="BL40" s="828"/>
      <c r="BM40" s="828"/>
      <c r="BN40" s="828"/>
      <c r="BO40" s="828"/>
      <c r="BP40" s="828"/>
      <c r="BQ40" s="828"/>
      <c r="BR40" s="828"/>
      <c r="BS40" s="828"/>
      <c r="BT40" s="828"/>
      <c r="BU40" s="828"/>
      <c r="BV40" s="828"/>
      <c r="BW40" s="828"/>
      <c r="BX40" s="828"/>
      <c r="BY40" s="828"/>
      <c r="BZ40" s="828"/>
      <c r="CA40" s="828"/>
      <c r="CB40" s="828"/>
      <c r="CC40" s="828"/>
    </row>
    <row r="41" spans="1:81" s="867" customFormat="1" ht="18" customHeight="1" thickBot="1" x14ac:dyDescent="0.35">
      <c r="A41" s="1007"/>
      <c r="B41" s="1168" t="s">
        <v>869</v>
      </c>
      <c r="C41" s="1168"/>
      <c r="D41" s="1178"/>
      <c r="E41" s="878">
        <v>2023</v>
      </c>
      <c r="F41" s="911" t="s">
        <v>870</v>
      </c>
      <c r="G41" s="923"/>
      <c r="H41" s="912"/>
      <c r="I41" s="924"/>
      <c r="J41" s="914"/>
      <c r="K41" s="842"/>
      <c r="L41" s="825"/>
      <c r="M41" s="825"/>
      <c r="N41" s="825"/>
      <c r="O41" s="825"/>
      <c r="P41" s="826"/>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8"/>
      <c r="BI41" s="828"/>
      <c r="BJ41" s="828"/>
      <c r="BK41" s="828"/>
      <c r="BL41" s="828"/>
      <c r="BM41" s="828"/>
      <c r="BN41" s="828"/>
      <c r="BO41" s="828"/>
      <c r="BP41" s="828"/>
      <c r="BQ41" s="828"/>
      <c r="BR41" s="828"/>
      <c r="BS41" s="828"/>
      <c r="BT41" s="828"/>
      <c r="BU41" s="828"/>
      <c r="BV41" s="828"/>
      <c r="BW41" s="828"/>
      <c r="BX41" s="828"/>
      <c r="BY41" s="828"/>
      <c r="BZ41" s="828"/>
      <c r="CA41" s="828"/>
      <c r="CB41" s="828"/>
      <c r="CC41" s="828"/>
    </row>
    <row r="42" spans="1:81" s="867" customFormat="1" ht="73.650000000000006" customHeight="1" thickBot="1" x14ac:dyDescent="0.35">
      <c r="A42" s="1005">
        <v>19</v>
      </c>
      <c r="B42" s="1164" t="s">
        <v>1155</v>
      </c>
      <c r="C42" s="1164"/>
      <c r="D42" s="1165"/>
      <c r="E42" s="887" t="str">
        <f>IF(Import!L227=1,"Yes",IF(Import!L227=2,"No",IF(Import!L227=3,"N/A",IF(Import!L227=0,"This question must be answered.  See cell C26 on TD"))))</f>
        <v>This question must be answered.  See cell C26 on TD</v>
      </c>
      <c r="F42" s="922"/>
      <c r="G42" s="887" t="str">
        <f>E42</f>
        <v>This question must be answered.  See cell C26 on TD</v>
      </c>
      <c r="H42" s="921" t="s">
        <v>1929</v>
      </c>
      <c r="I42" s="902" t="s">
        <v>662</v>
      </c>
      <c r="J42" s="822"/>
      <c r="K42" s="842"/>
      <c r="L42" s="825"/>
      <c r="M42" s="825"/>
      <c r="N42" s="825"/>
      <c r="O42" s="825"/>
      <c r="P42" s="826"/>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8"/>
      <c r="BI42" s="828"/>
      <c r="BJ42" s="828"/>
      <c r="BK42" s="828"/>
      <c r="BL42" s="828"/>
      <c r="BM42" s="828"/>
      <c r="BN42" s="828"/>
      <c r="BO42" s="828"/>
      <c r="BP42" s="828"/>
      <c r="BQ42" s="828"/>
      <c r="BR42" s="828"/>
      <c r="BS42" s="828"/>
      <c r="BT42" s="828"/>
      <c r="BU42" s="828"/>
      <c r="BV42" s="828"/>
      <c r="BW42" s="828"/>
      <c r="BX42" s="828"/>
      <c r="BY42" s="828"/>
      <c r="BZ42" s="828"/>
      <c r="CA42" s="828"/>
      <c r="CB42" s="828"/>
      <c r="CC42" s="828"/>
    </row>
    <row r="43" spans="1:81" s="867" customFormat="1" ht="18" customHeight="1" thickBot="1" x14ac:dyDescent="0.35">
      <c r="A43" s="1007"/>
      <c r="B43" s="1171"/>
      <c r="C43" s="1171"/>
      <c r="D43" s="1172"/>
      <c r="E43" s="878">
        <v>2023</v>
      </c>
      <c r="F43" s="905" t="s">
        <v>870</v>
      </c>
      <c r="G43" s="912"/>
      <c r="H43" s="919"/>
      <c r="I43" s="913"/>
      <c r="J43" s="914"/>
      <c r="K43" s="842"/>
      <c r="L43" s="825"/>
      <c r="M43" s="825"/>
      <c r="N43" s="825"/>
      <c r="O43" s="825"/>
      <c r="P43" s="826"/>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8"/>
      <c r="BI43" s="828"/>
      <c r="BJ43" s="828"/>
      <c r="BK43" s="828"/>
      <c r="BL43" s="828"/>
      <c r="BM43" s="828"/>
      <c r="BN43" s="828"/>
      <c r="BO43" s="828"/>
      <c r="BP43" s="828"/>
      <c r="BQ43" s="828"/>
      <c r="BR43" s="828"/>
      <c r="BS43" s="828"/>
      <c r="BT43" s="828"/>
      <c r="BU43" s="828"/>
      <c r="BV43" s="828"/>
      <c r="BW43" s="828"/>
      <c r="BX43" s="828"/>
      <c r="BY43" s="828"/>
      <c r="BZ43" s="828"/>
      <c r="CA43" s="828"/>
      <c r="CB43" s="828"/>
      <c r="CC43" s="828"/>
    </row>
    <row r="44" spans="1:81" s="867" customFormat="1" ht="130.19999999999999" customHeight="1" thickBot="1" x14ac:dyDescent="0.35">
      <c r="A44" s="1005">
        <v>20</v>
      </c>
      <c r="B44" s="1173" t="s">
        <v>1554</v>
      </c>
      <c r="C44" s="1174"/>
      <c r="D44" s="1174"/>
      <c r="E44" s="925" t="str">
        <f>IF('Electric trans'!F24="No, unit exceeds limit by:","Yes","No")</f>
        <v>No</v>
      </c>
      <c r="F44" s="922"/>
      <c r="G44" s="925" t="str">
        <f>+E44</f>
        <v>No</v>
      </c>
      <c r="H44" s="856" t="s">
        <v>1933</v>
      </c>
      <c r="I44" s="902" t="s">
        <v>1558</v>
      </c>
      <c r="J44" s="822"/>
      <c r="K44" s="842"/>
      <c r="L44" s="825"/>
      <c r="M44" s="825"/>
      <c r="N44" s="825"/>
      <c r="O44" s="825"/>
      <c r="P44" s="826"/>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8"/>
      <c r="BI44" s="828"/>
      <c r="BJ44" s="828"/>
      <c r="BK44" s="828"/>
      <c r="BL44" s="828"/>
      <c r="BM44" s="828"/>
      <c r="BN44" s="828"/>
      <c r="BO44" s="828"/>
      <c r="BP44" s="828"/>
      <c r="BQ44" s="828"/>
      <c r="BR44" s="828"/>
      <c r="BS44" s="828"/>
      <c r="BT44" s="828"/>
      <c r="BU44" s="828"/>
      <c r="BV44" s="828"/>
      <c r="BW44" s="828"/>
      <c r="BX44" s="828"/>
      <c r="BY44" s="828"/>
      <c r="BZ44" s="828"/>
      <c r="CA44" s="828"/>
      <c r="CB44" s="828"/>
      <c r="CC44" s="828"/>
    </row>
    <row r="45" spans="1:81" s="867" customFormat="1" ht="18" customHeight="1" thickBot="1" x14ac:dyDescent="0.35">
      <c r="A45" s="1007"/>
      <c r="B45" s="1175"/>
      <c r="C45" s="1175"/>
      <c r="D45" s="1176"/>
      <c r="E45" s="904">
        <v>2022</v>
      </c>
      <c r="F45" s="911" t="s">
        <v>870</v>
      </c>
      <c r="G45" s="923"/>
      <c r="H45" s="912"/>
      <c r="I45" s="913"/>
      <c r="J45" s="914"/>
      <c r="K45" s="842"/>
      <c r="L45" s="825"/>
      <c r="M45" s="825"/>
      <c r="N45" s="825"/>
      <c r="O45" s="825"/>
      <c r="P45" s="826"/>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8"/>
      <c r="BI45" s="828"/>
      <c r="BJ45" s="828"/>
      <c r="BK45" s="828"/>
      <c r="BL45" s="828"/>
      <c r="BM45" s="828"/>
      <c r="BN45" s="828"/>
      <c r="BO45" s="828"/>
      <c r="BP45" s="828"/>
      <c r="BQ45" s="828"/>
      <c r="BR45" s="828"/>
      <c r="BS45" s="828"/>
      <c r="BT45" s="828"/>
      <c r="BU45" s="828"/>
      <c r="BV45" s="828"/>
      <c r="BW45" s="828"/>
      <c r="BX45" s="828"/>
      <c r="BY45" s="828"/>
      <c r="BZ45" s="828"/>
      <c r="CA45" s="828"/>
      <c r="CB45" s="828"/>
      <c r="CC45" s="828"/>
    </row>
    <row r="46" spans="1:81" s="867" customFormat="1" ht="99.75" customHeight="1" thickBot="1" x14ac:dyDescent="0.35">
      <c r="A46" s="1005">
        <v>21</v>
      </c>
      <c r="B46" s="1169" t="s">
        <v>2873</v>
      </c>
      <c r="C46" s="1170"/>
      <c r="D46" s="1170"/>
      <c r="E46" s="935" t="str">
        <f>IF(Import!L225&gt;0,"Yes","No")</f>
        <v>No</v>
      </c>
      <c r="F46" s="922"/>
      <c r="G46" s="887" t="str">
        <f>E46</f>
        <v>No</v>
      </c>
      <c r="H46" s="926" t="s">
        <v>1930</v>
      </c>
      <c r="I46" s="902" t="s">
        <v>1559</v>
      </c>
      <c r="J46" s="822"/>
      <c r="K46" s="842"/>
      <c r="L46" s="825"/>
      <c r="M46" s="927"/>
      <c r="N46" s="825"/>
      <c r="O46" s="825"/>
      <c r="P46" s="826"/>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8"/>
      <c r="BI46" s="828"/>
      <c r="BJ46" s="828"/>
      <c r="BK46" s="828"/>
      <c r="BL46" s="828"/>
      <c r="BM46" s="828"/>
      <c r="BN46" s="828"/>
      <c r="BO46" s="828"/>
      <c r="BP46" s="828"/>
      <c r="BQ46" s="828"/>
      <c r="BR46" s="828"/>
      <c r="BS46" s="828"/>
      <c r="BT46" s="828"/>
      <c r="BU46" s="828"/>
      <c r="BV46" s="828"/>
      <c r="BW46" s="828"/>
      <c r="BX46" s="828"/>
      <c r="BY46" s="828"/>
      <c r="BZ46" s="828"/>
      <c r="CA46" s="828"/>
      <c r="CB46" s="828"/>
      <c r="CC46" s="828"/>
    </row>
    <row r="47" spans="1:81" s="932" customFormat="1" x14ac:dyDescent="0.3">
      <c r="A47" s="928"/>
      <c r="B47" s="929"/>
      <c r="C47" s="929"/>
      <c r="D47" s="929"/>
      <c r="E47" s="929"/>
      <c r="F47" s="929"/>
      <c r="G47" s="929"/>
      <c r="H47" s="929"/>
      <c r="I47" s="930"/>
      <c r="J47" s="930"/>
      <c r="K47" s="931"/>
      <c r="L47" s="825"/>
      <c r="M47" s="825"/>
      <c r="N47" s="825"/>
      <c r="O47" s="825"/>
      <c r="P47" s="826"/>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8"/>
      <c r="BI47" s="828"/>
      <c r="BJ47" s="828"/>
      <c r="BK47" s="828"/>
      <c r="BL47" s="828"/>
      <c r="BM47" s="828"/>
      <c r="BN47" s="828"/>
      <c r="BO47" s="828"/>
      <c r="BP47" s="828"/>
      <c r="BQ47" s="828"/>
      <c r="BR47" s="828"/>
      <c r="BS47" s="828"/>
      <c r="BT47" s="828"/>
      <c r="BU47" s="828"/>
      <c r="BV47" s="828"/>
      <c r="BW47" s="828"/>
      <c r="BX47" s="828"/>
      <c r="BY47" s="828"/>
      <c r="BZ47" s="828"/>
      <c r="CA47" s="828"/>
      <c r="CB47" s="828"/>
      <c r="CC47" s="828"/>
    </row>
  </sheetData>
  <sheetProtection algorithmName="SHA-512" hashValue="oCJ7QT3+x7ptw1KY0kTFRxsFMv8GYQciyDT+x4pE7ivoEHplI0eBkZCQmOQ92lQvEit3LLu+yiwTlw6f65eoaQ==" saltValue="FqE9jWULK8DZGAhhwuw5Mw==" spinCount="100000" sheet="1" objects="1" scenarios="1"/>
  <mergeCells count="40">
    <mergeCell ref="B38:D38"/>
    <mergeCell ref="B40:D40"/>
    <mergeCell ref="B41:D41"/>
    <mergeCell ref="B34:D34"/>
    <mergeCell ref="B33:D33"/>
    <mergeCell ref="B31:D31"/>
    <mergeCell ref="B32:D32"/>
    <mergeCell ref="B35:D35"/>
    <mergeCell ref="B36:D36"/>
    <mergeCell ref="B37:D37"/>
    <mergeCell ref="B46:D46"/>
    <mergeCell ref="B43:D43"/>
    <mergeCell ref="B44:D44"/>
    <mergeCell ref="B45:D45"/>
    <mergeCell ref="B39:D39"/>
    <mergeCell ref="B42:D42"/>
    <mergeCell ref="J8:J9"/>
    <mergeCell ref="B15:E15"/>
    <mergeCell ref="B6:H7"/>
    <mergeCell ref="H8:H9"/>
    <mergeCell ref="B30:D30"/>
    <mergeCell ref="B8:G9"/>
    <mergeCell ref="B10:E10"/>
    <mergeCell ref="B11:E11"/>
    <mergeCell ref="B13:E13"/>
    <mergeCell ref="B14:E14"/>
    <mergeCell ref="B12:E12"/>
    <mergeCell ref="B20:D20"/>
    <mergeCell ref="B24:E24"/>
    <mergeCell ref="B25:E25"/>
    <mergeCell ref="B29:D29"/>
    <mergeCell ref="I1:J1"/>
    <mergeCell ref="B1:H1"/>
    <mergeCell ref="B2:H2"/>
    <mergeCell ref="C4:E4"/>
    <mergeCell ref="F4:G5"/>
    <mergeCell ref="H4:H5"/>
    <mergeCell ref="C5:E5"/>
    <mergeCell ref="I2:I7"/>
    <mergeCell ref="J2:J7"/>
  </mergeCells>
  <conditionalFormatting sqref="G16">
    <cfRule type="cellIs" dxfId="79" priority="74" operator="lessThan">
      <formula>1</formula>
    </cfRule>
  </conditionalFormatting>
  <conditionalFormatting sqref="G18">
    <cfRule type="cellIs" dxfId="78" priority="73" operator="lessThan">
      <formula>0</formula>
    </cfRule>
  </conditionalFormatting>
  <conditionalFormatting sqref="G19:G20">
    <cfRule type="cellIs" dxfId="77" priority="72" operator="lessThan">
      <formula>0.16</formula>
    </cfRule>
  </conditionalFormatting>
  <conditionalFormatting sqref="G25">
    <cfRule type="cellIs" dxfId="76" priority="71" operator="lessThan">
      <formula>1</formula>
    </cfRule>
  </conditionalFormatting>
  <conditionalFormatting sqref="G27">
    <cfRule type="cellIs" dxfId="75" priority="70" operator="lessThan">
      <formula>0</formula>
    </cfRule>
  </conditionalFormatting>
  <conditionalFormatting sqref="G28">
    <cfRule type="cellIs" dxfId="74" priority="69" operator="lessThan">
      <formula>0.16</formula>
    </cfRule>
  </conditionalFormatting>
  <conditionalFormatting sqref="G32">
    <cfRule type="cellIs" dxfId="73" priority="67" operator="lessThan">
      <formula>-0.03</formula>
    </cfRule>
  </conditionalFormatting>
  <conditionalFormatting sqref="G38">
    <cfRule type="cellIs" dxfId="72" priority="65" operator="equal">
      <formula>"Yes"</formula>
    </cfRule>
  </conditionalFormatting>
  <conditionalFormatting sqref="G42">
    <cfRule type="cellIs" dxfId="71" priority="64" operator="equal">
      <formula>"Yes"</formula>
    </cfRule>
  </conditionalFormatting>
  <conditionalFormatting sqref="G36">
    <cfRule type="cellIs" dxfId="70" priority="63" operator="equal">
      <formula>"Yes"</formula>
    </cfRule>
  </conditionalFormatting>
  <conditionalFormatting sqref="G45">
    <cfRule type="cellIs" dxfId="69" priority="62" operator="equal">
      <formula>"Yes"</formula>
    </cfRule>
  </conditionalFormatting>
  <conditionalFormatting sqref="G44">
    <cfRule type="cellIs" dxfId="68" priority="61" operator="equal">
      <formula>"Yes"</formula>
    </cfRule>
  </conditionalFormatting>
  <conditionalFormatting sqref="G34">
    <cfRule type="cellIs" dxfId="67" priority="58" operator="equal">
      <formula>"Decrease"</formula>
    </cfRule>
  </conditionalFormatting>
  <conditionalFormatting sqref="G20">
    <cfRule type="cellIs" dxfId="66" priority="6" operator="equal">
      <formula>$E$21="Yes"</formula>
    </cfRule>
    <cfRule type="expression" dxfId="65" priority="53">
      <formula>E20="Yes"</formula>
    </cfRule>
  </conditionalFormatting>
  <conditionalFormatting sqref="E36 G36">
    <cfRule type="containsText" dxfId="64" priority="52" operator="containsText" text="This question must be answered">
      <formula>NOT(ISERROR(SEARCH("This question must be answered",E36)))</formula>
    </cfRule>
  </conditionalFormatting>
  <conditionalFormatting sqref="E34 G34">
    <cfRule type="containsText" dxfId="63" priority="51" operator="containsText" text="This question must be answered">
      <formula>NOT(ISERROR(SEARCH("This question must be answered",E34)))</formula>
    </cfRule>
  </conditionalFormatting>
  <conditionalFormatting sqref="E32 G32">
    <cfRule type="containsText" dxfId="62" priority="50" operator="containsText" text="This question must be answered">
      <formula>NOT(ISERROR(SEARCH("This question must be answered",E32)))</formula>
    </cfRule>
  </conditionalFormatting>
  <conditionalFormatting sqref="E42 G42">
    <cfRule type="containsText" dxfId="61" priority="47" operator="containsText" text="This question must be answered">
      <formula>NOT(ISERROR(SEARCH("This question must be answered",E42)))</formula>
    </cfRule>
  </conditionalFormatting>
  <conditionalFormatting sqref="G46">
    <cfRule type="cellIs" dxfId="60" priority="45" operator="equal">
      <formula>"Yes"</formula>
    </cfRule>
  </conditionalFormatting>
  <conditionalFormatting sqref="G46">
    <cfRule type="containsText" dxfId="59" priority="44" operator="containsText" text="This question must be answered">
      <formula>NOT(ISERROR(SEARCH("This question must be answered",G46)))</formula>
    </cfRule>
  </conditionalFormatting>
  <conditionalFormatting sqref="G13">
    <cfRule type="containsText" dxfId="58" priority="43" operator="containsText" text="Operations">
      <formula>NOT(ISERROR(SEARCH("Operations",G13)))</formula>
    </cfRule>
  </conditionalFormatting>
  <conditionalFormatting sqref="G14">
    <cfRule type="cellIs" dxfId="57" priority="42" operator="lessThan">
      <formula>0</formula>
    </cfRule>
  </conditionalFormatting>
  <conditionalFormatting sqref="E39:E40">
    <cfRule type="containsText" dxfId="56" priority="41" operator="containsText" text="This question must be answered">
      <formula>NOT(ISERROR(SEARCH("This question must be answered",E39)))</formula>
    </cfRule>
  </conditionalFormatting>
  <conditionalFormatting sqref="G39:G40">
    <cfRule type="containsText" dxfId="55" priority="39" operator="containsText" text="No">
      <formula>NOT(ISERROR(SEARCH("No",G39)))</formula>
    </cfRule>
    <cfRule type="containsText" dxfId="54" priority="40" operator="containsText" text="This question must be answered">
      <formula>NOT(ISERROR(SEARCH("This question must be answered",G39)))</formula>
    </cfRule>
  </conditionalFormatting>
  <conditionalFormatting sqref="G11">
    <cfRule type="expression" dxfId="53" priority="30">
      <formula>$O$11=1</formula>
    </cfRule>
  </conditionalFormatting>
  <conditionalFormatting sqref="I9">
    <cfRule type="expression" dxfId="52" priority="137">
      <formula>IF($L$9&lt;0.25,)</formula>
    </cfRule>
  </conditionalFormatting>
  <conditionalFormatting sqref="C18">
    <cfRule type="cellIs" dxfId="51" priority="26" operator="equal">
      <formula>"Prior year data not submitted as of workbook published date."</formula>
    </cfRule>
  </conditionalFormatting>
  <conditionalFormatting sqref="D18">
    <cfRule type="cellIs" dxfId="50" priority="25" operator="equal">
      <formula>"Prior year data not submitted as of workbook published date."</formula>
    </cfRule>
  </conditionalFormatting>
  <conditionalFormatting sqref="L19:L21">
    <cfRule type="cellIs" dxfId="49" priority="24" operator="equal">
      <formula>"Priod year data not submitted as of workbook published date."</formula>
    </cfRule>
  </conditionalFormatting>
  <conditionalFormatting sqref="D19:D21">
    <cfRule type="cellIs" dxfId="48" priority="20" operator="equal">
      <formula>"Prior year data not submitted as of workbook published date."</formula>
    </cfRule>
  </conditionalFormatting>
  <conditionalFormatting sqref="C19:C21">
    <cfRule type="cellIs" dxfId="47" priority="19" operator="equal">
      <formula>"Prior year data not submitted as of workbook published date."</formula>
    </cfRule>
  </conditionalFormatting>
  <conditionalFormatting sqref="C27">
    <cfRule type="cellIs" dxfId="46" priority="18" operator="equal">
      <formula>"Prior year data not submitted as of workbook published date."</formula>
    </cfRule>
  </conditionalFormatting>
  <conditionalFormatting sqref="D27">
    <cfRule type="cellIs" dxfId="45" priority="17" operator="equal">
      <formula>"Prior year data not submitted as of workbook published date."</formula>
    </cfRule>
  </conditionalFormatting>
  <conditionalFormatting sqref="D28">
    <cfRule type="cellIs" dxfId="44" priority="13" operator="equal">
      <formula>"Prior year data not submitted as of  workbook published date."</formula>
    </cfRule>
  </conditionalFormatting>
  <conditionalFormatting sqref="C28">
    <cfRule type="cellIs" dxfId="43" priority="11" operator="equal">
      <formula>"Prior year data not submitted as of workbook published date."</formula>
    </cfRule>
  </conditionalFormatting>
  <conditionalFormatting sqref="F21">
    <cfRule type="expression" dxfId="42" priority="10">
      <formula>D21="Yes"</formula>
    </cfRule>
  </conditionalFormatting>
  <conditionalFormatting sqref="D21">
    <cfRule type="cellIs" dxfId="41" priority="9" operator="equal">
      <formula>"Prior year data not submitted as of workbook published date."</formula>
    </cfRule>
  </conditionalFormatting>
  <conditionalFormatting sqref="C21">
    <cfRule type="cellIs" dxfId="40" priority="8" operator="equal">
      <formula>"Prior year data not submitted as of workbook published date."</formula>
    </cfRule>
  </conditionalFormatting>
  <conditionalFormatting sqref="G21">
    <cfRule type="cellIs" dxfId="39" priority="4" operator="lessThan">
      <formula>0.5</formula>
    </cfRule>
  </conditionalFormatting>
  <conditionalFormatting sqref="M19">
    <cfRule type="cellIs" dxfId="38" priority="3" operator="equal">
      <formula>"Priod year data not submitted as of workbook published date."</formula>
    </cfRule>
  </conditionalFormatting>
  <conditionalFormatting sqref="G30">
    <cfRule type="cellIs" dxfId="37" priority="2" operator="equal">
      <formula>"Late"</formula>
    </cfRule>
  </conditionalFormatting>
  <conditionalFormatting sqref="G30">
    <cfRule type="containsText" dxfId="36" priority="1" operator="containsText" text="This question must be answered">
      <formula>NOT(ISERROR(SEARCH("This question must be answered",G30)))</formula>
    </cfRule>
  </conditionalFormatting>
  <pageMargins left="0.25" right="0.25" top="0.05" bottom="0.25" header="0.3" footer="0.25"/>
  <pageSetup scale="58"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1188720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topLeftCell="A28" workbookViewId="0">
      <selection activeCell="D10" sqref="D10"/>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402</v>
      </c>
      <c r="B1" s="180" t="s">
        <v>475</v>
      </c>
      <c r="C1" s="183" t="s">
        <v>465</v>
      </c>
      <c r="D1" s="184" t="s">
        <v>607</v>
      </c>
      <c r="E1" s="180" t="s">
        <v>1607</v>
      </c>
    </row>
    <row r="3" spans="1:11" ht="23.4" x14ac:dyDescent="0.45">
      <c r="A3" s="180">
        <v>50002</v>
      </c>
      <c r="B3" s="180" t="s">
        <v>1158</v>
      </c>
      <c r="C3" s="180">
        <v>50</v>
      </c>
      <c r="D3" s="155" t="s">
        <v>50</v>
      </c>
      <c r="E3" s="189" t="s">
        <v>625</v>
      </c>
    </row>
    <row r="4" spans="1:11" x14ac:dyDescent="0.3">
      <c r="A4" s="180">
        <v>50006</v>
      </c>
      <c r="B4" s="180" t="s">
        <v>477</v>
      </c>
      <c r="C4" s="180">
        <v>50</v>
      </c>
      <c r="D4" s="155" t="s">
        <v>50</v>
      </c>
    </row>
    <row r="5" spans="1:11" x14ac:dyDescent="0.3">
      <c r="A5" s="180">
        <v>50008</v>
      </c>
      <c r="B5" s="180" t="s">
        <v>1164</v>
      </c>
      <c r="C5" s="180">
        <v>50</v>
      </c>
      <c r="D5" s="155" t="s">
        <v>50</v>
      </c>
    </row>
    <row r="6" spans="1:11" x14ac:dyDescent="0.3">
      <c r="A6" s="180">
        <v>50013</v>
      </c>
      <c r="B6" s="527" t="s">
        <v>479</v>
      </c>
      <c r="C6" s="180">
        <v>50</v>
      </c>
      <c r="D6" s="155" t="s">
        <v>50</v>
      </c>
      <c r="K6" s="527"/>
    </row>
    <row r="7" spans="1:11" x14ac:dyDescent="0.3">
      <c r="A7" s="180">
        <v>50016</v>
      </c>
      <c r="B7" s="527" t="s">
        <v>816</v>
      </c>
      <c r="C7" s="180">
        <v>50</v>
      </c>
      <c r="D7" s="155" t="s">
        <v>50</v>
      </c>
      <c r="K7" s="527"/>
    </row>
    <row r="8" spans="1:11" x14ac:dyDescent="0.3">
      <c r="A8" s="180">
        <v>50017</v>
      </c>
      <c r="B8" s="180" t="s">
        <v>1174</v>
      </c>
      <c r="C8" s="180">
        <v>50</v>
      </c>
      <c r="D8" s="155" t="s">
        <v>50</v>
      </c>
    </row>
    <row r="9" spans="1:11" x14ac:dyDescent="0.3">
      <c r="A9" s="180">
        <v>50019</v>
      </c>
      <c r="B9" s="527" t="s">
        <v>817</v>
      </c>
      <c r="C9" s="180">
        <v>50</v>
      </c>
      <c r="D9" s="155" t="s">
        <v>50</v>
      </c>
      <c r="K9" s="527"/>
    </row>
    <row r="10" spans="1:11" x14ac:dyDescent="0.3">
      <c r="A10" s="180">
        <v>50504</v>
      </c>
      <c r="B10" s="180" t="s">
        <v>480</v>
      </c>
      <c r="C10" s="180">
        <v>50</v>
      </c>
      <c r="D10" s="155" t="s">
        <v>50</v>
      </c>
    </row>
    <row r="11" spans="1:11" x14ac:dyDescent="0.3">
      <c r="A11" s="180">
        <v>50021</v>
      </c>
      <c r="B11" s="180" t="s">
        <v>818</v>
      </c>
      <c r="C11" s="180">
        <v>50</v>
      </c>
      <c r="D11" s="155" t="s">
        <v>50</v>
      </c>
    </row>
    <row r="12" spans="1:11" x14ac:dyDescent="0.3">
      <c r="A12" s="180">
        <v>50024</v>
      </c>
      <c r="B12" s="527" t="s">
        <v>481</v>
      </c>
      <c r="C12" s="180">
        <v>50</v>
      </c>
      <c r="D12" s="155" t="s">
        <v>50</v>
      </c>
      <c r="K12" s="527"/>
    </row>
    <row r="13" spans="1:11" x14ac:dyDescent="0.3">
      <c r="A13" s="180">
        <v>50029</v>
      </c>
      <c r="B13" s="180" t="s">
        <v>482</v>
      </c>
      <c r="C13" s="180">
        <v>50</v>
      </c>
      <c r="D13" s="155" t="s">
        <v>50</v>
      </c>
    </row>
    <row r="14" spans="1:11" x14ac:dyDescent="0.3">
      <c r="A14" s="180">
        <v>50031</v>
      </c>
      <c r="B14" s="180" t="s">
        <v>819</v>
      </c>
      <c r="C14" s="180">
        <v>50</v>
      </c>
      <c r="D14" s="155" t="s">
        <v>50</v>
      </c>
    </row>
    <row r="15" spans="1:11" x14ac:dyDescent="0.3">
      <c r="A15" s="180">
        <v>50038</v>
      </c>
      <c r="B15" s="180" t="s">
        <v>486</v>
      </c>
      <c r="C15" s="180">
        <v>50</v>
      </c>
      <c r="D15" s="155" t="s">
        <v>50</v>
      </c>
    </row>
    <row r="16" spans="1:11" x14ac:dyDescent="0.3">
      <c r="A16" s="180">
        <v>50040</v>
      </c>
      <c r="B16" s="180" t="s">
        <v>1192</v>
      </c>
      <c r="C16" s="180">
        <v>50</v>
      </c>
      <c r="D16" s="155" t="s">
        <v>50</v>
      </c>
    </row>
    <row r="17" spans="1:11" x14ac:dyDescent="0.3">
      <c r="A17" s="180">
        <v>50506</v>
      </c>
      <c r="B17" s="180" t="s">
        <v>487</v>
      </c>
      <c r="C17" s="180">
        <v>50</v>
      </c>
      <c r="D17" s="155" t="s">
        <v>50</v>
      </c>
    </row>
    <row r="18" spans="1:11" x14ac:dyDescent="0.3">
      <c r="A18" s="180">
        <v>50045</v>
      </c>
      <c r="B18" s="180" t="s">
        <v>488</v>
      </c>
      <c r="C18" s="180">
        <v>50</v>
      </c>
      <c r="D18" s="155" t="s">
        <v>50</v>
      </c>
    </row>
    <row r="19" spans="1:11" x14ac:dyDescent="0.3">
      <c r="A19" s="180">
        <v>50050</v>
      </c>
      <c r="B19" s="527" t="s">
        <v>1201</v>
      </c>
      <c r="C19" s="180">
        <v>50</v>
      </c>
      <c r="D19" s="155" t="s">
        <v>50</v>
      </c>
      <c r="K19" s="527"/>
    </row>
    <row r="20" spans="1:11" x14ac:dyDescent="0.3">
      <c r="A20" s="180">
        <v>50055</v>
      </c>
      <c r="B20" s="180" t="s">
        <v>820</v>
      </c>
      <c r="C20" s="180">
        <v>50</v>
      </c>
      <c r="D20" s="155" t="s">
        <v>50</v>
      </c>
    </row>
    <row r="21" spans="1:11" x14ac:dyDescent="0.3">
      <c r="A21" s="180">
        <v>50062</v>
      </c>
      <c r="B21" s="180" t="s">
        <v>1214</v>
      </c>
      <c r="C21" s="180">
        <v>50</v>
      </c>
      <c r="D21" s="155" t="s">
        <v>50</v>
      </c>
    </row>
    <row r="22" spans="1:11" x14ac:dyDescent="0.3">
      <c r="A22" s="180">
        <v>50063</v>
      </c>
      <c r="B22" s="180" t="s">
        <v>1215</v>
      </c>
      <c r="C22" s="180">
        <v>50</v>
      </c>
      <c r="D22" s="155" t="s">
        <v>50</v>
      </c>
    </row>
    <row r="23" spans="1:11" x14ac:dyDescent="0.3">
      <c r="A23" s="180">
        <v>50467</v>
      </c>
      <c r="B23" s="180" t="s">
        <v>491</v>
      </c>
      <c r="C23" s="180">
        <v>50</v>
      </c>
      <c r="D23" s="155" t="s">
        <v>50</v>
      </c>
    </row>
    <row r="24" spans="1:11" x14ac:dyDescent="0.3">
      <c r="A24" s="180">
        <v>50510</v>
      </c>
      <c r="B24" s="180" t="s">
        <v>492</v>
      </c>
      <c r="C24" s="180">
        <v>50</v>
      </c>
      <c r="D24" s="155" t="s">
        <v>50</v>
      </c>
    </row>
    <row r="25" spans="1:11" x14ac:dyDescent="0.3">
      <c r="A25" s="180">
        <v>50078</v>
      </c>
      <c r="B25" s="180" t="s">
        <v>822</v>
      </c>
      <c r="C25" s="180">
        <v>50</v>
      </c>
      <c r="D25" s="155" t="s">
        <v>50</v>
      </c>
    </row>
    <row r="26" spans="1:11" x14ac:dyDescent="0.3">
      <c r="A26" s="180">
        <v>50468</v>
      </c>
      <c r="B26" s="527" t="s">
        <v>824</v>
      </c>
      <c r="C26" s="180">
        <v>50</v>
      </c>
      <c r="D26" s="155" t="s">
        <v>50</v>
      </c>
      <c r="K26" s="527"/>
    </row>
    <row r="27" spans="1:11" x14ac:dyDescent="0.3">
      <c r="A27" s="180">
        <v>50086</v>
      </c>
      <c r="B27" s="180" t="s">
        <v>494</v>
      </c>
      <c r="C27" s="180">
        <v>50</v>
      </c>
      <c r="D27" s="155" t="s">
        <v>50</v>
      </c>
    </row>
    <row r="28" spans="1:11" x14ac:dyDescent="0.3">
      <c r="A28" s="180">
        <v>50087</v>
      </c>
      <c r="B28" s="180" t="s">
        <v>495</v>
      </c>
      <c r="C28" s="180">
        <v>50</v>
      </c>
      <c r="D28" s="155" t="s">
        <v>50</v>
      </c>
    </row>
    <row r="29" spans="1:11" x14ac:dyDescent="0.3">
      <c r="A29" s="180">
        <v>50091</v>
      </c>
      <c r="B29" s="527" t="s">
        <v>825</v>
      </c>
      <c r="C29" s="180">
        <v>50</v>
      </c>
      <c r="D29" s="155" t="s">
        <v>50</v>
      </c>
      <c r="K29" s="527"/>
    </row>
    <row r="30" spans="1:11" x14ac:dyDescent="0.3">
      <c r="A30" s="180">
        <v>50511</v>
      </c>
      <c r="B30" s="180" t="s">
        <v>1239</v>
      </c>
      <c r="C30" s="180">
        <v>50</v>
      </c>
      <c r="D30" s="155" t="s">
        <v>50</v>
      </c>
    </row>
    <row r="31" spans="1:11" x14ac:dyDescent="0.3">
      <c r="A31" s="180">
        <v>50095</v>
      </c>
      <c r="B31" s="180" t="s">
        <v>1244</v>
      </c>
      <c r="C31" s="180">
        <v>50</v>
      </c>
      <c r="D31" s="155" t="s">
        <v>50</v>
      </c>
    </row>
    <row r="32" spans="1:11" x14ac:dyDescent="0.3">
      <c r="A32" s="180">
        <v>50098</v>
      </c>
      <c r="B32" s="180" t="s">
        <v>826</v>
      </c>
      <c r="C32" s="180">
        <v>50</v>
      </c>
      <c r="D32" s="155" t="s">
        <v>50</v>
      </c>
    </row>
    <row r="33" spans="1:11" x14ac:dyDescent="0.3">
      <c r="A33" s="180">
        <v>50106</v>
      </c>
      <c r="B33" s="180" t="s">
        <v>497</v>
      </c>
      <c r="C33" s="180">
        <v>50</v>
      </c>
      <c r="D33" s="155" t="s">
        <v>50</v>
      </c>
    </row>
    <row r="34" spans="1:11" x14ac:dyDescent="0.3">
      <c r="A34" s="180">
        <v>50461</v>
      </c>
      <c r="B34" s="180" t="s">
        <v>1258</v>
      </c>
      <c r="C34" s="180">
        <v>50</v>
      </c>
      <c r="D34" s="155" t="s">
        <v>50</v>
      </c>
    </row>
    <row r="35" spans="1:11" x14ac:dyDescent="0.3">
      <c r="A35" s="180">
        <v>50116</v>
      </c>
      <c r="B35" s="180" t="s">
        <v>828</v>
      </c>
      <c r="C35" s="180">
        <v>50</v>
      </c>
      <c r="D35" s="155" t="s">
        <v>50</v>
      </c>
    </row>
    <row r="36" spans="1:11" x14ac:dyDescent="0.3">
      <c r="A36" s="180">
        <v>50117</v>
      </c>
      <c r="B36" s="180" t="s">
        <v>1263</v>
      </c>
      <c r="C36" s="180">
        <v>50</v>
      </c>
      <c r="D36" s="155" t="s">
        <v>50</v>
      </c>
    </row>
    <row r="37" spans="1:11" x14ac:dyDescent="0.3">
      <c r="A37" s="180">
        <v>50121</v>
      </c>
      <c r="B37" s="527" t="s">
        <v>502</v>
      </c>
      <c r="C37" s="180">
        <v>50</v>
      </c>
      <c r="D37" s="155" t="s">
        <v>50</v>
      </c>
      <c r="K37" s="527"/>
    </row>
    <row r="38" spans="1:11" x14ac:dyDescent="0.3">
      <c r="A38" s="180">
        <v>50122</v>
      </c>
      <c r="B38" s="180" t="s">
        <v>503</v>
      </c>
      <c r="C38" s="180">
        <v>50</v>
      </c>
      <c r="D38" s="155" t="s">
        <v>50</v>
      </c>
    </row>
    <row r="39" spans="1:11" x14ac:dyDescent="0.3">
      <c r="A39" s="180">
        <v>50125</v>
      </c>
      <c r="B39" s="180" t="s">
        <v>504</v>
      </c>
      <c r="C39" s="180">
        <v>50</v>
      </c>
      <c r="D39" s="155" t="s">
        <v>50</v>
      </c>
    </row>
    <row r="40" spans="1:11" x14ac:dyDescent="0.3">
      <c r="A40" s="180">
        <v>50127</v>
      </c>
      <c r="B40" s="180" t="s">
        <v>830</v>
      </c>
      <c r="C40" s="180">
        <v>50</v>
      </c>
      <c r="D40" s="155" t="s">
        <v>50</v>
      </c>
    </row>
    <row r="41" spans="1:11" x14ac:dyDescent="0.3">
      <c r="A41" s="180">
        <v>50128</v>
      </c>
      <c r="B41" s="527" t="s">
        <v>506</v>
      </c>
      <c r="C41" s="180">
        <v>50</v>
      </c>
      <c r="D41" s="155" t="s">
        <v>50</v>
      </c>
      <c r="K41" s="527"/>
    </row>
    <row r="42" spans="1:11" x14ac:dyDescent="0.3">
      <c r="A42" s="180">
        <v>50129</v>
      </c>
      <c r="B42" s="180" t="s">
        <v>507</v>
      </c>
      <c r="C42" s="180">
        <v>50</v>
      </c>
      <c r="D42" s="155" t="s">
        <v>50</v>
      </c>
    </row>
    <row r="43" spans="1:11" x14ac:dyDescent="0.3">
      <c r="A43" s="180">
        <v>50130</v>
      </c>
      <c r="B43" s="180" t="s">
        <v>508</v>
      </c>
      <c r="C43" s="180">
        <v>50</v>
      </c>
      <c r="D43" s="155" t="s">
        <v>50</v>
      </c>
    </row>
    <row r="44" spans="1:11" x14ac:dyDescent="0.3">
      <c r="A44" s="180">
        <v>50570</v>
      </c>
      <c r="B44" s="180" t="s">
        <v>509</v>
      </c>
      <c r="C44" s="180">
        <v>50</v>
      </c>
      <c r="D44" s="155" t="s">
        <v>50</v>
      </c>
    </row>
    <row r="45" spans="1:11" x14ac:dyDescent="0.3">
      <c r="A45" s="180">
        <v>50137</v>
      </c>
      <c r="B45" s="180" t="s">
        <v>1279</v>
      </c>
      <c r="C45" s="180">
        <v>50</v>
      </c>
      <c r="D45" s="155" t="s">
        <v>50</v>
      </c>
    </row>
    <row r="46" spans="1:11" x14ac:dyDescent="0.3">
      <c r="A46" s="180">
        <v>50549</v>
      </c>
      <c r="B46" s="180" t="s">
        <v>1280</v>
      </c>
      <c r="C46" s="180">
        <v>50</v>
      </c>
      <c r="D46" s="155" t="s">
        <v>50</v>
      </c>
    </row>
    <row r="47" spans="1:11" x14ac:dyDescent="0.3">
      <c r="A47" s="180">
        <v>50141</v>
      </c>
      <c r="B47" s="180" t="s">
        <v>1284</v>
      </c>
      <c r="C47" s="180">
        <v>50</v>
      </c>
      <c r="D47" s="155" t="s">
        <v>50</v>
      </c>
    </row>
    <row r="48" spans="1:11" x14ac:dyDescent="0.3">
      <c r="A48" s="180">
        <v>50142</v>
      </c>
      <c r="B48" s="180" t="s">
        <v>511</v>
      </c>
      <c r="C48" s="180">
        <v>50</v>
      </c>
      <c r="D48" s="155" t="s">
        <v>50</v>
      </c>
    </row>
    <row r="49" spans="1:11" x14ac:dyDescent="0.3">
      <c r="A49" s="180">
        <v>50143</v>
      </c>
      <c r="B49" s="180" t="s">
        <v>512</v>
      </c>
      <c r="C49" s="180">
        <v>50</v>
      </c>
      <c r="D49" s="155" t="s">
        <v>50</v>
      </c>
    </row>
    <row r="50" spans="1:11" x14ac:dyDescent="0.3">
      <c r="A50" s="180">
        <v>50492</v>
      </c>
      <c r="B50" s="180" t="s">
        <v>1286</v>
      </c>
      <c r="C50" s="180">
        <v>50</v>
      </c>
      <c r="D50" s="155" t="s">
        <v>50</v>
      </c>
    </row>
    <row r="51" spans="1:11" x14ac:dyDescent="0.3">
      <c r="A51" s="180">
        <v>50148</v>
      </c>
      <c r="B51" s="180" t="s">
        <v>390</v>
      </c>
      <c r="C51" s="180">
        <v>50</v>
      </c>
      <c r="D51" s="155" t="s">
        <v>50</v>
      </c>
    </row>
    <row r="52" spans="1:11" x14ac:dyDescent="0.3">
      <c r="A52" s="180">
        <v>50151</v>
      </c>
      <c r="B52" s="180" t="s">
        <v>831</v>
      </c>
      <c r="C52" s="180">
        <v>50</v>
      </c>
      <c r="D52" s="155" t="s">
        <v>50</v>
      </c>
    </row>
    <row r="53" spans="1:11" x14ac:dyDescent="0.3">
      <c r="A53" s="180">
        <v>50153</v>
      </c>
      <c r="B53" s="180" t="s">
        <v>513</v>
      </c>
      <c r="C53" s="180">
        <v>50</v>
      </c>
      <c r="D53" s="155" t="s">
        <v>50</v>
      </c>
    </row>
    <row r="54" spans="1:11" x14ac:dyDescent="0.3">
      <c r="A54" s="180">
        <v>50154</v>
      </c>
      <c r="B54" s="527" t="s">
        <v>514</v>
      </c>
      <c r="C54" s="180">
        <v>50</v>
      </c>
      <c r="D54" s="155" t="s">
        <v>50</v>
      </c>
      <c r="K54" s="527"/>
    </row>
    <row r="55" spans="1:11" x14ac:dyDescent="0.3">
      <c r="A55" s="180">
        <v>50517</v>
      </c>
      <c r="B55" s="180" t="s">
        <v>832</v>
      </c>
      <c r="C55" s="180">
        <v>50</v>
      </c>
      <c r="D55" s="155" t="s">
        <v>50</v>
      </c>
    </row>
    <row r="56" spans="1:11" x14ac:dyDescent="0.3">
      <c r="A56" s="180">
        <v>50448</v>
      </c>
      <c r="B56" s="180" t="s">
        <v>515</v>
      </c>
      <c r="C56" s="180">
        <v>50</v>
      </c>
      <c r="D56" s="155" t="s">
        <v>50</v>
      </c>
    </row>
    <row r="57" spans="1:11" x14ac:dyDescent="0.3">
      <c r="A57" s="180">
        <v>50162</v>
      </c>
      <c r="B57" s="180" t="s">
        <v>1300</v>
      </c>
      <c r="C57" s="180">
        <v>50</v>
      </c>
      <c r="D57" s="155" t="s">
        <v>50</v>
      </c>
    </row>
    <row r="58" spans="1:11" x14ac:dyDescent="0.3">
      <c r="A58" s="180">
        <v>50163</v>
      </c>
      <c r="B58" s="180" t="s">
        <v>516</v>
      </c>
      <c r="C58" s="180">
        <v>50</v>
      </c>
      <c r="D58" s="155" t="s">
        <v>50</v>
      </c>
    </row>
    <row r="59" spans="1:11" x14ac:dyDescent="0.3">
      <c r="A59" s="180">
        <v>50166</v>
      </c>
      <c r="B59" s="180" t="s">
        <v>518</v>
      </c>
      <c r="C59" s="180">
        <v>50</v>
      </c>
      <c r="D59" s="155" t="s">
        <v>50</v>
      </c>
    </row>
    <row r="60" spans="1:11" x14ac:dyDescent="0.3">
      <c r="A60" s="180">
        <v>50171</v>
      </c>
      <c r="B60" s="527" t="s">
        <v>833</v>
      </c>
      <c r="C60" s="180">
        <v>50</v>
      </c>
      <c r="D60" s="155" t="s">
        <v>50</v>
      </c>
      <c r="K60" s="527"/>
    </row>
    <row r="61" spans="1:11" x14ac:dyDescent="0.3">
      <c r="A61" s="180">
        <v>50177</v>
      </c>
      <c r="B61" s="180" t="s">
        <v>835</v>
      </c>
      <c r="C61" s="180">
        <v>50</v>
      </c>
      <c r="D61" s="155" t="s">
        <v>50</v>
      </c>
    </row>
    <row r="62" spans="1:11" x14ac:dyDescent="0.3">
      <c r="A62" s="180">
        <v>50181</v>
      </c>
      <c r="B62" s="527" t="s">
        <v>1313</v>
      </c>
      <c r="C62" s="180">
        <v>50</v>
      </c>
      <c r="D62" s="155" t="s">
        <v>50</v>
      </c>
      <c r="K62" s="527"/>
    </row>
    <row r="63" spans="1:11" x14ac:dyDescent="0.3">
      <c r="A63" s="180">
        <v>50183</v>
      </c>
      <c r="B63" s="527" t="s">
        <v>520</v>
      </c>
      <c r="C63" s="180">
        <v>50</v>
      </c>
      <c r="D63" s="155" t="s">
        <v>50</v>
      </c>
      <c r="K63" s="527"/>
    </row>
    <row r="64" spans="1:11" x14ac:dyDescent="0.3">
      <c r="A64" s="180">
        <v>50188</v>
      </c>
      <c r="B64" s="180" t="s">
        <v>1318</v>
      </c>
      <c r="C64" s="180">
        <v>50</v>
      </c>
      <c r="D64" s="155" t="s">
        <v>50</v>
      </c>
    </row>
    <row r="65" spans="1:11" x14ac:dyDescent="0.3">
      <c r="A65" s="180">
        <v>50476</v>
      </c>
      <c r="B65" s="180" t="s">
        <v>436</v>
      </c>
      <c r="C65" s="180">
        <v>50</v>
      </c>
      <c r="D65" s="155" t="s">
        <v>50</v>
      </c>
    </row>
    <row r="66" spans="1:11" x14ac:dyDescent="0.3">
      <c r="A66" s="180">
        <v>50192</v>
      </c>
      <c r="B66" s="180" t="s">
        <v>437</v>
      </c>
      <c r="C66" s="180">
        <v>50</v>
      </c>
      <c r="D66" s="155" t="s">
        <v>50</v>
      </c>
    </row>
    <row r="67" spans="1:11" x14ac:dyDescent="0.3">
      <c r="A67" s="180">
        <v>50195</v>
      </c>
      <c r="B67" s="180" t="s">
        <v>1323</v>
      </c>
      <c r="C67" s="180">
        <v>50</v>
      </c>
      <c r="D67" s="155" t="s">
        <v>50</v>
      </c>
    </row>
    <row r="68" spans="1:11" x14ac:dyDescent="0.3">
      <c r="A68" s="180">
        <v>50198</v>
      </c>
      <c r="B68" s="180" t="s">
        <v>1327</v>
      </c>
      <c r="C68" s="180">
        <v>50</v>
      </c>
      <c r="D68" s="155" t="s">
        <v>50</v>
      </c>
    </row>
    <row r="69" spans="1:11" x14ac:dyDescent="0.3">
      <c r="A69" s="180">
        <v>50200</v>
      </c>
      <c r="B69" s="180" t="s">
        <v>1329</v>
      </c>
      <c r="C69" s="180">
        <v>50</v>
      </c>
      <c r="D69" s="155" t="s">
        <v>50</v>
      </c>
    </row>
    <row r="70" spans="1:11" x14ac:dyDescent="0.3">
      <c r="A70" s="180">
        <v>50518</v>
      </c>
      <c r="B70" s="180" t="s">
        <v>438</v>
      </c>
      <c r="C70" s="180">
        <v>50</v>
      </c>
      <c r="D70" s="155" t="s">
        <v>50</v>
      </c>
    </row>
    <row r="71" spans="1:11" x14ac:dyDescent="0.3">
      <c r="A71" s="180">
        <v>50211</v>
      </c>
      <c r="B71" s="180" t="s">
        <v>1343</v>
      </c>
      <c r="C71" s="180">
        <v>50</v>
      </c>
      <c r="D71" s="155" t="s">
        <v>50</v>
      </c>
    </row>
    <row r="72" spans="1:11" x14ac:dyDescent="0.3">
      <c r="A72" s="180">
        <v>50220</v>
      </c>
      <c r="B72" s="180" t="s">
        <v>1354</v>
      </c>
      <c r="C72" s="180">
        <v>50</v>
      </c>
      <c r="D72" s="155" t="s">
        <v>50</v>
      </c>
    </row>
    <row r="73" spans="1:11" x14ac:dyDescent="0.3">
      <c r="A73" s="180">
        <v>50222</v>
      </c>
      <c r="B73" s="180" t="s">
        <v>1357</v>
      </c>
      <c r="C73" s="180">
        <v>50</v>
      </c>
      <c r="D73" s="155" t="s">
        <v>50</v>
      </c>
    </row>
    <row r="74" spans="1:11" x14ac:dyDescent="0.3">
      <c r="A74" s="180">
        <v>50224</v>
      </c>
      <c r="B74" s="180" t="s">
        <v>1359</v>
      </c>
      <c r="C74" s="180">
        <v>50</v>
      </c>
      <c r="D74" s="155" t="s">
        <v>50</v>
      </c>
    </row>
    <row r="75" spans="1:11" x14ac:dyDescent="0.3">
      <c r="A75" s="180">
        <v>50227</v>
      </c>
      <c r="B75" s="180" t="s">
        <v>1362</v>
      </c>
      <c r="C75" s="180">
        <v>50</v>
      </c>
      <c r="D75" s="155" t="s">
        <v>50</v>
      </c>
    </row>
    <row r="76" spans="1:11" x14ac:dyDescent="0.3">
      <c r="A76" s="180">
        <v>50231</v>
      </c>
      <c r="B76" s="180" t="s">
        <v>439</v>
      </c>
      <c r="C76" s="180">
        <v>50</v>
      </c>
      <c r="D76" s="155" t="s">
        <v>50</v>
      </c>
    </row>
    <row r="77" spans="1:11" x14ac:dyDescent="0.3">
      <c r="A77" s="180">
        <v>50233</v>
      </c>
      <c r="B77" s="527" t="s">
        <v>440</v>
      </c>
      <c r="C77" s="180">
        <v>50</v>
      </c>
      <c r="D77" s="155" t="s">
        <v>50</v>
      </c>
      <c r="K77" s="527"/>
    </row>
    <row r="78" spans="1:11" x14ac:dyDescent="0.3">
      <c r="A78" s="180">
        <v>50235</v>
      </c>
      <c r="B78" s="180" t="s">
        <v>441</v>
      </c>
      <c r="C78" s="180">
        <v>50</v>
      </c>
      <c r="D78" s="155" t="s">
        <v>50</v>
      </c>
    </row>
    <row r="79" spans="1:11" x14ac:dyDescent="0.3">
      <c r="A79" s="180">
        <v>50236</v>
      </c>
      <c r="B79" s="527" t="s">
        <v>442</v>
      </c>
      <c r="C79" s="180">
        <v>50</v>
      </c>
      <c r="D79" s="155" t="s">
        <v>50</v>
      </c>
      <c r="K79" s="527"/>
    </row>
    <row r="80" spans="1:11" x14ac:dyDescent="0.3">
      <c r="A80" s="180">
        <v>50238</v>
      </c>
      <c r="B80" s="180" t="s">
        <v>1368</v>
      </c>
      <c r="C80" s="180">
        <v>50</v>
      </c>
      <c r="D80" s="155" t="s">
        <v>50</v>
      </c>
    </row>
    <row r="81" spans="1:11" x14ac:dyDescent="0.3">
      <c r="A81" s="180">
        <v>50239</v>
      </c>
      <c r="B81" s="527" t="s">
        <v>443</v>
      </c>
      <c r="C81" s="180">
        <v>50</v>
      </c>
      <c r="D81" s="155" t="s">
        <v>50</v>
      </c>
      <c r="K81" s="527"/>
    </row>
    <row r="82" spans="1:11" x14ac:dyDescent="0.3">
      <c r="A82" s="180">
        <v>50245</v>
      </c>
      <c r="B82" s="180" t="s">
        <v>1376</v>
      </c>
      <c r="C82" s="180">
        <v>50</v>
      </c>
      <c r="D82" s="155" t="s">
        <v>50</v>
      </c>
    </row>
    <row r="83" spans="1:11" x14ac:dyDescent="0.3">
      <c r="A83" s="180">
        <v>50249</v>
      </c>
      <c r="B83" s="180" t="s">
        <v>444</v>
      </c>
      <c r="C83" s="180">
        <v>50</v>
      </c>
      <c r="D83" s="155" t="s">
        <v>50</v>
      </c>
    </row>
    <row r="84" spans="1:11" x14ac:dyDescent="0.3">
      <c r="A84" s="180">
        <v>50454</v>
      </c>
      <c r="B84" s="180" t="s">
        <v>1385</v>
      </c>
      <c r="C84" s="180">
        <v>50</v>
      </c>
      <c r="D84" s="155" t="s">
        <v>50</v>
      </c>
    </row>
    <row r="85" spans="1:11" x14ac:dyDescent="0.3">
      <c r="A85" s="180">
        <v>50254</v>
      </c>
      <c r="B85" s="180" t="s">
        <v>836</v>
      </c>
      <c r="C85" s="180">
        <v>50</v>
      </c>
      <c r="D85" s="155" t="s">
        <v>50</v>
      </c>
    </row>
    <row r="86" spans="1:11" x14ac:dyDescent="0.3">
      <c r="A86" s="180">
        <v>50256</v>
      </c>
      <c r="B86" s="180" t="s">
        <v>1386</v>
      </c>
      <c r="C86" s="180">
        <v>50</v>
      </c>
      <c r="D86" s="155" t="s">
        <v>50</v>
      </c>
    </row>
    <row r="87" spans="1:11" x14ac:dyDescent="0.3">
      <c r="A87" s="180">
        <v>50257</v>
      </c>
      <c r="B87" s="180" t="s">
        <v>524</v>
      </c>
      <c r="C87" s="180">
        <v>50</v>
      </c>
      <c r="D87" s="155" t="s">
        <v>50</v>
      </c>
    </row>
    <row r="88" spans="1:11" x14ac:dyDescent="0.3">
      <c r="A88" s="180">
        <v>50260</v>
      </c>
      <c r="B88" s="180" t="s">
        <v>525</v>
      </c>
      <c r="C88" s="180">
        <v>50</v>
      </c>
      <c r="D88" s="155" t="s">
        <v>50</v>
      </c>
    </row>
    <row r="89" spans="1:11" x14ac:dyDescent="0.3">
      <c r="A89" s="180">
        <v>50265</v>
      </c>
      <c r="B89" s="180" t="s">
        <v>1401</v>
      </c>
      <c r="C89" s="180">
        <v>50</v>
      </c>
      <c r="D89" s="155" t="s">
        <v>50</v>
      </c>
    </row>
    <row r="90" spans="1:11" x14ac:dyDescent="0.3">
      <c r="A90" s="180">
        <v>50269</v>
      </c>
      <c r="B90" s="180" t="s">
        <v>526</v>
      </c>
      <c r="C90" s="180">
        <v>50</v>
      </c>
      <c r="D90" s="155" t="s">
        <v>50</v>
      </c>
    </row>
    <row r="91" spans="1:11" x14ac:dyDescent="0.3">
      <c r="A91" s="180">
        <v>50480</v>
      </c>
      <c r="B91" s="180" t="s">
        <v>527</v>
      </c>
      <c r="C91" s="180">
        <v>50</v>
      </c>
      <c r="D91" s="155" t="s">
        <v>50</v>
      </c>
    </row>
    <row r="92" spans="1:11" x14ac:dyDescent="0.3">
      <c r="A92" s="180">
        <v>50276</v>
      </c>
      <c r="B92" s="527" t="s">
        <v>1411</v>
      </c>
      <c r="C92" s="180">
        <v>50</v>
      </c>
      <c r="D92" s="155" t="s">
        <v>50</v>
      </c>
      <c r="K92" s="527"/>
    </row>
    <row r="93" spans="1:11" x14ac:dyDescent="0.3">
      <c r="A93" s="180">
        <v>50278</v>
      </c>
      <c r="B93" s="180" t="s">
        <v>528</v>
      </c>
      <c r="C93" s="180">
        <v>50</v>
      </c>
      <c r="D93" s="155" t="s">
        <v>50</v>
      </c>
    </row>
    <row r="94" spans="1:11" x14ac:dyDescent="0.3">
      <c r="A94" s="180">
        <v>50280</v>
      </c>
      <c r="B94" s="180" t="s">
        <v>529</v>
      </c>
      <c r="C94" s="180">
        <v>50</v>
      </c>
      <c r="D94" s="155" t="s">
        <v>50</v>
      </c>
    </row>
    <row r="95" spans="1:11" x14ac:dyDescent="0.3">
      <c r="A95" s="180">
        <v>50281</v>
      </c>
      <c r="B95" s="180" t="s">
        <v>530</v>
      </c>
      <c r="C95" s="180">
        <v>50</v>
      </c>
      <c r="D95" s="155" t="s">
        <v>50</v>
      </c>
    </row>
    <row r="96" spans="1:11" x14ac:dyDescent="0.3">
      <c r="A96" s="180">
        <v>50283</v>
      </c>
      <c r="B96" s="180" t="s">
        <v>533</v>
      </c>
      <c r="C96" s="180">
        <v>50</v>
      </c>
      <c r="D96" s="155" t="s">
        <v>50</v>
      </c>
    </row>
    <row r="97" spans="1:11" x14ac:dyDescent="0.3">
      <c r="A97" s="180">
        <v>50285</v>
      </c>
      <c r="B97" s="180" t="s">
        <v>534</v>
      </c>
      <c r="C97" s="180">
        <v>50</v>
      </c>
      <c r="D97" s="155" t="s">
        <v>50</v>
      </c>
    </row>
    <row r="98" spans="1:11" x14ac:dyDescent="0.3">
      <c r="A98" s="180">
        <v>50288</v>
      </c>
      <c r="B98" s="180" t="s">
        <v>1421</v>
      </c>
      <c r="C98" s="180">
        <v>50</v>
      </c>
      <c r="D98" s="155" t="s">
        <v>50</v>
      </c>
    </row>
    <row r="99" spans="1:11" x14ac:dyDescent="0.3">
      <c r="A99" s="180">
        <v>50291</v>
      </c>
      <c r="B99" s="180" t="s">
        <v>1425</v>
      </c>
      <c r="C99" s="180">
        <v>50</v>
      </c>
      <c r="D99" s="155" t="s">
        <v>50</v>
      </c>
    </row>
    <row r="100" spans="1:11" x14ac:dyDescent="0.3">
      <c r="A100" s="180">
        <v>50293</v>
      </c>
      <c r="B100" s="180" t="s">
        <v>1427</v>
      </c>
      <c r="C100" s="180">
        <v>50</v>
      </c>
      <c r="D100" s="155" t="s">
        <v>50</v>
      </c>
    </row>
    <row r="101" spans="1:11" x14ac:dyDescent="0.3">
      <c r="A101" s="180">
        <v>50296</v>
      </c>
      <c r="B101" s="180" t="s">
        <v>536</v>
      </c>
      <c r="C101" s="180">
        <v>50</v>
      </c>
      <c r="D101" s="155" t="s">
        <v>50</v>
      </c>
    </row>
    <row r="102" spans="1:11" x14ac:dyDescent="0.3">
      <c r="A102" s="180">
        <v>50297</v>
      </c>
      <c r="B102" s="180" t="s">
        <v>537</v>
      </c>
      <c r="C102" s="180">
        <v>50</v>
      </c>
      <c r="D102" s="155" t="s">
        <v>50</v>
      </c>
    </row>
    <row r="103" spans="1:11" x14ac:dyDescent="0.3">
      <c r="A103" s="180">
        <v>50301</v>
      </c>
      <c r="B103" s="180" t="s">
        <v>1436</v>
      </c>
      <c r="C103" s="180">
        <v>50</v>
      </c>
      <c r="D103" s="155" t="s">
        <v>50</v>
      </c>
    </row>
    <row r="104" spans="1:11" x14ac:dyDescent="0.3">
      <c r="A104" s="180">
        <v>50305</v>
      </c>
      <c r="B104" s="180" t="s">
        <v>840</v>
      </c>
      <c r="C104" s="180">
        <v>50</v>
      </c>
      <c r="D104" s="155" t="s">
        <v>50</v>
      </c>
    </row>
    <row r="105" spans="1:11" x14ac:dyDescent="0.3">
      <c r="A105" s="180">
        <v>50479</v>
      </c>
      <c r="B105" s="180" t="s">
        <v>538</v>
      </c>
      <c r="C105" s="180">
        <v>50</v>
      </c>
      <c r="D105" s="155" t="s">
        <v>50</v>
      </c>
    </row>
    <row r="106" spans="1:11" x14ac:dyDescent="0.3">
      <c r="A106" s="180">
        <v>50307</v>
      </c>
      <c r="B106" s="527" t="s">
        <v>539</v>
      </c>
      <c r="C106" s="180">
        <v>50</v>
      </c>
      <c r="D106" s="155" t="s">
        <v>50</v>
      </c>
      <c r="K106" s="527"/>
    </row>
    <row r="107" spans="1:11" x14ac:dyDescent="0.3">
      <c r="A107" s="180">
        <v>50308</v>
      </c>
      <c r="B107" s="180" t="s">
        <v>1442</v>
      </c>
      <c r="C107" s="180">
        <v>50</v>
      </c>
      <c r="D107" s="155" t="s">
        <v>50</v>
      </c>
    </row>
    <row r="108" spans="1:11" x14ac:dyDescent="0.3">
      <c r="A108" s="180">
        <v>50310</v>
      </c>
      <c r="B108" s="527" t="s">
        <v>540</v>
      </c>
      <c r="C108" s="180">
        <v>50</v>
      </c>
      <c r="D108" s="155" t="s">
        <v>50</v>
      </c>
      <c r="K108" s="527"/>
    </row>
    <row r="109" spans="1:11" x14ac:dyDescent="0.3">
      <c r="A109" s="180">
        <v>50311</v>
      </c>
      <c r="B109" s="527" t="s">
        <v>541</v>
      </c>
      <c r="C109" s="180">
        <v>50</v>
      </c>
      <c r="D109" s="155" t="s">
        <v>50</v>
      </c>
      <c r="K109" s="527"/>
    </row>
    <row r="110" spans="1:11" x14ac:dyDescent="0.3">
      <c r="A110" s="180">
        <v>50314</v>
      </c>
      <c r="B110" s="180" t="s">
        <v>542</v>
      </c>
      <c r="C110" s="180">
        <v>50</v>
      </c>
      <c r="D110" s="155" t="s">
        <v>50</v>
      </c>
    </row>
    <row r="111" spans="1:11" x14ac:dyDescent="0.3">
      <c r="A111" s="180">
        <v>50316</v>
      </c>
      <c r="B111" s="180" t="s">
        <v>543</v>
      </c>
      <c r="C111" s="180">
        <v>50</v>
      </c>
      <c r="D111" s="155" t="s">
        <v>50</v>
      </c>
    </row>
    <row r="112" spans="1:11" x14ac:dyDescent="0.3">
      <c r="A112" s="180">
        <v>50318</v>
      </c>
      <c r="B112" s="180" t="s">
        <v>544</v>
      </c>
      <c r="C112" s="180">
        <v>50</v>
      </c>
      <c r="D112" s="155" t="s">
        <v>50</v>
      </c>
    </row>
    <row r="113" spans="1:11" x14ac:dyDescent="0.3">
      <c r="A113" s="180">
        <v>50323</v>
      </c>
      <c r="B113" s="180" t="s">
        <v>545</v>
      </c>
      <c r="C113" s="180">
        <v>50</v>
      </c>
      <c r="D113" s="155" t="s">
        <v>50</v>
      </c>
    </row>
    <row r="114" spans="1:11" x14ac:dyDescent="0.3">
      <c r="A114" s="180">
        <v>50321</v>
      </c>
      <c r="B114" s="180" t="s">
        <v>841</v>
      </c>
      <c r="C114" s="180">
        <v>50</v>
      </c>
      <c r="D114" s="155" t="s">
        <v>50</v>
      </c>
    </row>
    <row r="115" spans="1:11" x14ac:dyDescent="0.3">
      <c r="A115" s="180">
        <v>50325</v>
      </c>
      <c r="B115" s="527" t="s">
        <v>546</v>
      </c>
      <c r="C115" s="180">
        <v>50</v>
      </c>
      <c r="D115" s="155" t="s">
        <v>50</v>
      </c>
      <c r="K115" s="527"/>
    </row>
    <row r="116" spans="1:11" x14ac:dyDescent="0.3">
      <c r="A116" s="180">
        <v>50327</v>
      </c>
      <c r="B116" s="180" t="s">
        <v>547</v>
      </c>
      <c r="C116" s="180">
        <v>50</v>
      </c>
      <c r="D116" s="155" t="s">
        <v>50</v>
      </c>
    </row>
    <row r="117" spans="1:11" x14ac:dyDescent="0.3">
      <c r="A117" s="180">
        <v>50332</v>
      </c>
      <c r="B117" s="180" t="s">
        <v>548</v>
      </c>
      <c r="C117" s="180">
        <v>50</v>
      </c>
      <c r="D117" s="155" t="s">
        <v>50</v>
      </c>
    </row>
    <row r="118" spans="1:11" x14ac:dyDescent="0.3">
      <c r="A118" s="180">
        <v>50335</v>
      </c>
      <c r="B118" s="180" t="s">
        <v>1461</v>
      </c>
      <c r="C118" s="180">
        <v>50</v>
      </c>
      <c r="D118" s="155" t="s">
        <v>50</v>
      </c>
    </row>
    <row r="119" spans="1:11" x14ac:dyDescent="0.3">
      <c r="A119" s="180">
        <v>50337</v>
      </c>
      <c r="B119" s="180" t="s">
        <v>844</v>
      </c>
      <c r="C119" s="180">
        <v>50</v>
      </c>
      <c r="D119" s="155" t="s">
        <v>50</v>
      </c>
    </row>
    <row r="120" spans="1:11" x14ac:dyDescent="0.3">
      <c r="A120" s="180">
        <v>50338</v>
      </c>
      <c r="B120" s="180" t="s">
        <v>845</v>
      </c>
      <c r="C120" s="180">
        <v>50</v>
      </c>
      <c r="D120" s="155" t="s">
        <v>50</v>
      </c>
    </row>
    <row r="121" spans="1:11" x14ac:dyDescent="0.3">
      <c r="A121" s="180">
        <v>50339</v>
      </c>
      <c r="B121" s="180" t="s">
        <v>1462</v>
      </c>
      <c r="C121" s="180">
        <v>50</v>
      </c>
      <c r="D121" s="155" t="s">
        <v>50</v>
      </c>
    </row>
    <row r="122" spans="1:11" x14ac:dyDescent="0.3">
      <c r="A122" s="180">
        <v>50348</v>
      </c>
      <c r="B122" s="180" t="s">
        <v>550</v>
      </c>
      <c r="C122" s="180">
        <v>50</v>
      </c>
      <c r="D122" s="155" t="s">
        <v>50</v>
      </c>
    </row>
    <row r="123" spans="1:11" x14ac:dyDescent="0.3">
      <c r="A123" s="180">
        <v>50355</v>
      </c>
      <c r="B123" s="527" t="s">
        <v>552</v>
      </c>
      <c r="C123" s="180">
        <v>50</v>
      </c>
      <c r="D123" s="155" t="s">
        <v>50</v>
      </c>
      <c r="K123" s="527"/>
    </row>
    <row r="124" spans="1:11" x14ac:dyDescent="0.3">
      <c r="A124" s="180">
        <v>50357</v>
      </c>
      <c r="B124" s="180" t="s">
        <v>847</v>
      </c>
      <c r="C124" s="180">
        <v>50</v>
      </c>
      <c r="D124" s="155" t="s">
        <v>50</v>
      </c>
    </row>
    <row r="125" spans="1:11" x14ac:dyDescent="0.3">
      <c r="A125" s="180">
        <v>50365</v>
      </c>
      <c r="B125" s="180" t="s">
        <v>1489</v>
      </c>
      <c r="C125" s="180">
        <v>50</v>
      </c>
      <c r="D125" s="155" t="s">
        <v>50</v>
      </c>
    </row>
    <row r="126" spans="1:11" x14ac:dyDescent="0.3">
      <c r="A126" s="180">
        <v>50366</v>
      </c>
      <c r="B126" s="180" t="s">
        <v>1490</v>
      </c>
      <c r="C126" s="180">
        <v>50</v>
      </c>
      <c r="D126" s="155" t="s">
        <v>50</v>
      </c>
    </row>
    <row r="127" spans="1:11" x14ac:dyDescent="0.3">
      <c r="A127" s="180">
        <v>50369</v>
      </c>
      <c r="B127" s="527" t="s">
        <v>1492</v>
      </c>
      <c r="C127" s="180">
        <v>50</v>
      </c>
      <c r="D127" s="155" t="s">
        <v>50</v>
      </c>
      <c r="K127" s="527"/>
    </row>
    <row r="128" spans="1:11" x14ac:dyDescent="0.3">
      <c r="A128" s="180">
        <v>50370</v>
      </c>
      <c r="B128" s="180" t="s">
        <v>554</v>
      </c>
      <c r="C128" s="180">
        <v>50</v>
      </c>
      <c r="D128" s="155" t="s">
        <v>50</v>
      </c>
    </row>
    <row r="129" spans="1:11" x14ac:dyDescent="0.3">
      <c r="A129" s="180">
        <v>50371</v>
      </c>
      <c r="B129" s="180" t="s">
        <v>1493</v>
      </c>
      <c r="C129" s="180">
        <v>50</v>
      </c>
      <c r="D129" s="155" t="s">
        <v>50</v>
      </c>
    </row>
    <row r="130" spans="1:11" x14ac:dyDescent="0.3">
      <c r="A130" s="180">
        <v>50343</v>
      </c>
      <c r="B130" s="180" t="s">
        <v>1062</v>
      </c>
      <c r="C130" s="180">
        <v>50</v>
      </c>
      <c r="D130" s="155" t="s">
        <v>50</v>
      </c>
    </row>
    <row r="131" spans="1:11" x14ac:dyDescent="0.3">
      <c r="A131" s="180">
        <v>50372</v>
      </c>
      <c r="B131" s="527" t="s">
        <v>1063</v>
      </c>
      <c r="C131" s="180">
        <v>50</v>
      </c>
      <c r="D131" s="155" t="s">
        <v>50</v>
      </c>
      <c r="K131" s="527"/>
    </row>
    <row r="132" spans="1:11" x14ac:dyDescent="0.3">
      <c r="A132" s="180">
        <v>50457</v>
      </c>
      <c r="B132" s="180" t="s">
        <v>1064</v>
      </c>
      <c r="C132" s="180">
        <v>50</v>
      </c>
      <c r="D132" s="155" t="s">
        <v>50</v>
      </c>
    </row>
    <row r="133" spans="1:11" x14ac:dyDescent="0.3">
      <c r="A133" s="180">
        <v>50375</v>
      </c>
      <c r="B133" s="527" t="s">
        <v>1066</v>
      </c>
      <c r="C133" s="180">
        <v>50</v>
      </c>
      <c r="D133" s="155" t="s">
        <v>50</v>
      </c>
      <c r="K133" s="527"/>
    </row>
    <row r="134" spans="1:11" x14ac:dyDescent="0.3">
      <c r="A134" s="180">
        <v>50376</v>
      </c>
      <c r="B134" s="527" t="s">
        <v>1067</v>
      </c>
      <c r="C134" s="180">
        <v>50</v>
      </c>
      <c r="D134" s="155" t="s">
        <v>50</v>
      </c>
      <c r="K134" s="527"/>
    </row>
    <row r="135" spans="1:11" x14ac:dyDescent="0.3">
      <c r="A135" s="180">
        <v>50380</v>
      </c>
      <c r="B135" s="180" t="s">
        <v>1072</v>
      </c>
      <c r="C135" s="180">
        <v>50</v>
      </c>
      <c r="D135" s="155" t="s">
        <v>50</v>
      </c>
    </row>
    <row r="136" spans="1:11" x14ac:dyDescent="0.3">
      <c r="A136" s="180">
        <v>50389</v>
      </c>
      <c r="B136" s="180" t="s">
        <v>555</v>
      </c>
      <c r="C136" s="180">
        <v>50</v>
      </c>
      <c r="D136" s="155" t="s">
        <v>50</v>
      </c>
    </row>
    <row r="137" spans="1:11" x14ac:dyDescent="0.3">
      <c r="A137" s="180">
        <v>50500</v>
      </c>
      <c r="B137" s="527" t="s">
        <v>556</v>
      </c>
      <c r="C137" s="180">
        <v>50</v>
      </c>
      <c r="D137" s="155" t="s">
        <v>50</v>
      </c>
      <c r="K137" s="527"/>
    </row>
    <row r="138" spans="1:11" x14ac:dyDescent="0.3">
      <c r="A138" s="180">
        <v>50544</v>
      </c>
      <c r="B138" s="527" t="s">
        <v>1088</v>
      </c>
      <c r="C138" s="180">
        <v>50</v>
      </c>
      <c r="D138" s="155" t="s">
        <v>50</v>
      </c>
      <c r="K138" s="527"/>
    </row>
    <row r="139" spans="1:11" x14ac:dyDescent="0.3">
      <c r="A139" s="180">
        <v>50396</v>
      </c>
      <c r="B139" s="180" t="s">
        <v>557</v>
      </c>
      <c r="C139" s="180">
        <v>50</v>
      </c>
      <c r="D139" s="155" t="s">
        <v>50</v>
      </c>
    </row>
    <row r="140" spans="1:11" x14ac:dyDescent="0.3">
      <c r="A140" s="180">
        <v>50397</v>
      </c>
      <c r="B140" s="527" t="s">
        <v>1091</v>
      </c>
      <c r="C140" s="180">
        <v>50</v>
      </c>
      <c r="D140" s="155" t="s">
        <v>50</v>
      </c>
      <c r="K140" s="527"/>
    </row>
    <row r="141" spans="1:11" x14ac:dyDescent="0.3">
      <c r="A141" s="180">
        <v>50399</v>
      </c>
      <c r="B141" s="180" t="s">
        <v>559</v>
      </c>
      <c r="C141" s="180">
        <v>50</v>
      </c>
      <c r="D141" s="155" t="s">
        <v>50</v>
      </c>
    </row>
    <row r="142" spans="1:11" x14ac:dyDescent="0.3">
      <c r="A142" s="180">
        <v>50403</v>
      </c>
      <c r="B142" s="180" t="s">
        <v>1097</v>
      </c>
      <c r="C142" s="180">
        <v>50</v>
      </c>
      <c r="D142" s="155" t="s">
        <v>50</v>
      </c>
    </row>
    <row r="143" spans="1:11" x14ac:dyDescent="0.3">
      <c r="A143" s="180">
        <v>50486</v>
      </c>
      <c r="B143" s="180" t="s">
        <v>853</v>
      </c>
      <c r="C143" s="180">
        <v>50</v>
      </c>
      <c r="D143" s="155" t="s">
        <v>50</v>
      </c>
    </row>
    <row r="144" spans="1:11" x14ac:dyDescent="0.3">
      <c r="A144" s="180">
        <v>50408</v>
      </c>
      <c r="B144" s="180" t="s">
        <v>1103</v>
      </c>
      <c r="C144" s="180">
        <v>50</v>
      </c>
      <c r="D144" s="155" t="s">
        <v>50</v>
      </c>
    </row>
    <row r="145" spans="1:11" x14ac:dyDescent="0.3">
      <c r="A145" s="180">
        <v>50409</v>
      </c>
      <c r="B145" s="180" t="s">
        <v>854</v>
      </c>
      <c r="C145" s="180">
        <v>50</v>
      </c>
      <c r="D145" s="155" t="s">
        <v>50</v>
      </c>
    </row>
    <row r="146" spans="1:11" x14ac:dyDescent="0.3">
      <c r="A146" s="180">
        <v>50420</v>
      </c>
      <c r="B146" s="180" t="s">
        <v>561</v>
      </c>
      <c r="C146" s="180">
        <v>50</v>
      </c>
      <c r="D146" s="155" t="s">
        <v>50</v>
      </c>
    </row>
    <row r="147" spans="1:11" x14ac:dyDescent="0.3">
      <c r="A147" s="180">
        <v>50421</v>
      </c>
      <c r="B147" s="180" t="s">
        <v>855</v>
      </c>
      <c r="C147" s="180">
        <v>50</v>
      </c>
      <c r="D147" s="155" t="s">
        <v>50</v>
      </c>
    </row>
    <row r="148" spans="1:11" x14ac:dyDescent="0.3">
      <c r="A148" s="180">
        <v>50423</v>
      </c>
      <c r="B148" s="180" t="s">
        <v>562</v>
      </c>
      <c r="C148" s="180">
        <v>50</v>
      </c>
      <c r="D148" s="155" t="s">
        <v>50</v>
      </c>
    </row>
    <row r="149" spans="1:11" x14ac:dyDescent="0.3">
      <c r="A149" s="180">
        <v>50428</v>
      </c>
      <c r="B149" s="180" t="s">
        <v>1125</v>
      </c>
      <c r="C149" s="180">
        <v>50</v>
      </c>
      <c r="D149" s="155" t="s">
        <v>50</v>
      </c>
    </row>
    <row r="150" spans="1:11" x14ac:dyDescent="0.3">
      <c r="A150" s="180">
        <v>50499</v>
      </c>
      <c r="B150" s="180" t="s">
        <v>857</v>
      </c>
      <c r="C150" s="180">
        <v>50</v>
      </c>
      <c r="D150" s="155" t="s">
        <v>50</v>
      </c>
    </row>
    <row r="151" spans="1:11" x14ac:dyDescent="0.3">
      <c r="A151" s="180">
        <v>5103</v>
      </c>
      <c r="B151" s="180" t="s">
        <v>478</v>
      </c>
      <c r="C151" s="180">
        <v>51</v>
      </c>
      <c r="D151" s="155" t="s">
        <v>50</v>
      </c>
    </row>
    <row r="152" spans="1:11" x14ac:dyDescent="0.3">
      <c r="A152" s="180">
        <v>5107</v>
      </c>
      <c r="B152" s="528" t="s">
        <v>484</v>
      </c>
      <c r="C152" s="180">
        <v>51</v>
      </c>
      <c r="D152" s="155" t="s">
        <v>50</v>
      </c>
      <c r="K152" s="528"/>
    </row>
    <row r="153" spans="1:11" x14ac:dyDescent="0.3">
      <c r="A153" s="180">
        <v>5116</v>
      </c>
      <c r="B153" s="528" t="s">
        <v>858</v>
      </c>
      <c r="C153" s="180">
        <v>51</v>
      </c>
      <c r="D153" s="155" t="s">
        <v>50</v>
      </c>
      <c r="K153" s="528"/>
    </row>
    <row r="154" spans="1:11" x14ac:dyDescent="0.3">
      <c r="A154" s="180">
        <v>5119</v>
      </c>
      <c r="B154" s="180" t="s">
        <v>859</v>
      </c>
      <c r="C154" s="180">
        <v>51</v>
      </c>
      <c r="D154" s="155" t="s">
        <v>50</v>
      </c>
    </row>
    <row r="155" spans="1:11" x14ac:dyDescent="0.3">
      <c r="A155" s="180">
        <v>5123</v>
      </c>
      <c r="B155" s="527" t="s">
        <v>860</v>
      </c>
      <c r="C155" s="180">
        <v>51</v>
      </c>
      <c r="D155" s="155" t="s">
        <v>50</v>
      </c>
      <c r="K155" s="527"/>
    </row>
    <row r="156" spans="1:11" x14ac:dyDescent="0.3">
      <c r="A156" s="180">
        <v>5132</v>
      </c>
      <c r="B156" s="180" t="s">
        <v>501</v>
      </c>
      <c r="C156" s="180">
        <v>51</v>
      </c>
      <c r="D156" s="155" t="s">
        <v>50</v>
      </c>
    </row>
    <row r="157" spans="1:11" x14ac:dyDescent="0.3">
      <c r="A157" s="180">
        <v>5147</v>
      </c>
      <c r="B157" s="180" t="s">
        <v>523</v>
      </c>
      <c r="C157" s="180">
        <v>51</v>
      </c>
      <c r="D157" s="155" t="s">
        <v>50</v>
      </c>
    </row>
    <row r="158" spans="1:11" x14ac:dyDescent="0.3">
      <c r="A158" s="180">
        <v>5157</v>
      </c>
      <c r="B158" s="527" t="s">
        <v>861</v>
      </c>
      <c r="C158" s="180">
        <v>51</v>
      </c>
      <c r="D158" s="155" t="s">
        <v>50</v>
      </c>
      <c r="K158" s="527"/>
    </row>
    <row r="159" spans="1:11" x14ac:dyDescent="0.3">
      <c r="A159" s="180">
        <v>5165</v>
      </c>
      <c r="B159" s="180" t="s">
        <v>532</v>
      </c>
      <c r="C159" s="180">
        <v>51</v>
      </c>
      <c r="D159" s="155" t="s">
        <v>50</v>
      </c>
    </row>
    <row r="160" spans="1:11" x14ac:dyDescent="0.3">
      <c r="A160" s="180">
        <v>5170</v>
      </c>
      <c r="B160" s="527" t="s">
        <v>535</v>
      </c>
      <c r="C160" s="180">
        <v>51</v>
      </c>
      <c r="D160" s="155" t="s">
        <v>50</v>
      </c>
      <c r="K160" s="527"/>
    </row>
    <row r="161" spans="1:4" x14ac:dyDescent="0.3">
      <c r="A161" s="180">
        <v>5182</v>
      </c>
      <c r="B161" s="180" t="s">
        <v>549</v>
      </c>
      <c r="C161" s="180">
        <v>51</v>
      </c>
      <c r="D161" s="713" t="s">
        <v>50</v>
      </c>
    </row>
    <row r="162" spans="1:4" x14ac:dyDescent="0.3">
      <c r="A162" s="180">
        <v>5188</v>
      </c>
      <c r="B162" s="180" t="s">
        <v>558</v>
      </c>
      <c r="C162" s="180">
        <v>51</v>
      </c>
      <c r="D162" s="713" t="s">
        <v>50</v>
      </c>
    </row>
    <row r="163" spans="1:4" x14ac:dyDescent="0.3">
      <c r="A163" s="180">
        <v>591706</v>
      </c>
      <c r="B163" s="180" t="s">
        <v>862</v>
      </c>
      <c r="C163" s="180">
        <v>59</v>
      </c>
      <c r="D163" s="713" t="s">
        <v>50</v>
      </c>
    </row>
    <row r="164" spans="1:4" x14ac:dyDescent="0.3">
      <c r="A164" s="180">
        <v>591604</v>
      </c>
      <c r="B164" s="180" t="s">
        <v>493</v>
      </c>
      <c r="C164" s="180">
        <v>59</v>
      </c>
      <c r="D164" s="713" t="s">
        <v>50</v>
      </c>
    </row>
    <row r="165" spans="1:4" x14ac:dyDescent="0.3">
      <c r="A165" s="180">
        <v>591632</v>
      </c>
      <c r="B165" s="180" t="s">
        <v>505</v>
      </c>
      <c r="C165" s="180">
        <v>59</v>
      </c>
      <c r="D165" s="713" t="s">
        <v>50</v>
      </c>
    </row>
    <row r="166" spans="1:4" x14ac:dyDescent="0.3">
      <c r="A166" s="180">
        <v>591633</v>
      </c>
      <c r="B166" s="180" t="s">
        <v>863</v>
      </c>
      <c r="C166" s="180">
        <v>59</v>
      </c>
      <c r="D166" s="713" t="s">
        <v>50</v>
      </c>
    </row>
    <row r="167" spans="1:4" x14ac:dyDescent="0.3">
      <c r="A167" s="180">
        <v>591627</v>
      </c>
      <c r="B167" s="180" t="s">
        <v>1605</v>
      </c>
      <c r="C167" s="180">
        <v>59</v>
      </c>
      <c r="D167" s="713" t="s">
        <v>50</v>
      </c>
    </row>
    <row r="168" spans="1:4" x14ac:dyDescent="0.3">
      <c r="A168" s="180">
        <v>591629</v>
      </c>
      <c r="B168" s="180" t="s">
        <v>1606</v>
      </c>
      <c r="C168" s="180">
        <v>59</v>
      </c>
      <c r="D168" s="713" t="s">
        <v>50</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09"/>
  <sheetViews>
    <sheetView workbookViewId="0">
      <selection activeCell="E117" sqref="E117"/>
    </sheetView>
  </sheetViews>
  <sheetFormatPr defaultRowHeight="14.4" x14ac:dyDescent="0.3"/>
  <cols>
    <col min="1" max="1" width="20.6640625" style="613" customWidth="1"/>
    <col min="2" max="2" width="24.6640625" style="613" customWidth="1"/>
    <col min="3" max="3" width="11.33203125" style="806" customWidth="1"/>
    <col min="4" max="4" width="12.109375" style="614" customWidth="1"/>
    <col min="5" max="5" width="14.33203125" style="614" customWidth="1"/>
    <col min="6" max="6" width="3.44140625" style="613" customWidth="1"/>
    <col min="7" max="7" width="17.33203125" style="613" customWidth="1"/>
    <col min="8" max="8" width="2.109375" style="613" customWidth="1"/>
    <col min="9" max="9" width="7.5546875" style="806" customWidth="1"/>
    <col min="10" max="10" width="12.109375" style="614" customWidth="1"/>
    <col min="11" max="11" width="14.33203125" style="614" customWidth="1"/>
    <col min="12" max="251" width="8.88671875" style="613"/>
    <col min="252" max="252" width="15.88671875" style="613" customWidth="1"/>
    <col min="253" max="253" width="2.109375" style="613" customWidth="1"/>
    <col min="254" max="254" width="7.5546875" style="613" customWidth="1"/>
    <col min="255" max="255" width="12.109375" style="613" customWidth="1"/>
    <col min="256" max="256" width="14.33203125" style="613" customWidth="1"/>
    <col min="257" max="257" width="3.44140625" style="613" customWidth="1"/>
    <col min="258" max="258" width="17.33203125" style="613" customWidth="1"/>
    <col min="259" max="259" width="2.109375" style="613" customWidth="1"/>
    <col min="260" max="260" width="7.5546875" style="613" customWidth="1"/>
    <col min="261" max="261" width="12.109375" style="613" customWidth="1"/>
    <col min="262" max="262" width="14.33203125" style="613" customWidth="1"/>
    <col min="263" max="263" width="42.5546875" style="613" customWidth="1"/>
    <col min="264" max="507" width="8.88671875" style="613"/>
    <col min="508" max="508" width="15.88671875" style="613" customWidth="1"/>
    <col min="509" max="509" width="2.109375" style="613" customWidth="1"/>
    <col min="510" max="510" width="7.5546875" style="613" customWidth="1"/>
    <col min="511" max="511" width="12.109375" style="613" customWidth="1"/>
    <col min="512" max="512" width="14.33203125" style="613" customWidth="1"/>
    <col min="513" max="513" width="3.44140625" style="613" customWidth="1"/>
    <col min="514" max="514" width="17.33203125" style="613" customWidth="1"/>
    <col min="515" max="515" width="2.109375" style="613" customWidth="1"/>
    <col min="516" max="516" width="7.5546875" style="613" customWidth="1"/>
    <col min="517" max="517" width="12.109375" style="613" customWidth="1"/>
    <col min="518" max="518" width="14.33203125" style="613" customWidth="1"/>
    <col min="519" max="519" width="42.5546875" style="613" customWidth="1"/>
    <col min="520" max="763" width="8.88671875" style="613"/>
    <col min="764" max="764" width="15.88671875" style="613" customWidth="1"/>
    <col min="765" max="765" width="2.109375" style="613" customWidth="1"/>
    <col min="766" max="766" width="7.5546875" style="613" customWidth="1"/>
    <col min="767" max="767" width="12.109375" style="613" customWidth="1"/>
    <col min="768" max="768" width="14.33203125" style="613" customWidth="1"/>
    <col min="769" max="769" width="3.44140625" style="613" customWidth="1"/>
    <col min="770" max="770" width="17.33203125" style="613" customWidth="1"/>
    <col min="771" max="771" width="2.109375" style="613" customWidth="1"/>
    <col min="772" max="772" width="7.5546875" style="613" customWidth="1"/>
    <col min="773" max="773" width="12.109375" style="613" customWidth="1"/>
    <col min="774" max="774" width="14.33203125" style="613" customWidth="1"/>
    <col min="775" max="775" width="42.5546875" style="613" customWidth="1"/>
    <col min="776" max="1019" width="8.88671875" style="613"/>
    <col min="1020" max="1020" width="15.88671875" style="613" customWidth="1"/>
    <col min="1021" max="1021" width="2.109375" style="613" customWidth="1"/>
    <col min="1022" max="1022" width="7.5546875" style="613" customWidth="1"/>
    <col min="1023" max="1023" width="12.109375" style="613" customWidth="1"/>
    <col min="1024" max="1024" width="14.33203125" style="613" customWidth="1"/>
    <col min="1025" max="1025" width="3.44140625" style="613" customWidth="1"/>
    <col min="1026" max="1026" width="17.33203125" style="613" customWidth="1"/>
    <col min="1027" max="1027" width="2.109375" style="613" customWidth="1"/>
    <col min="1028" max="1028" width="7.5546875" style="613" customWidth="1"/>
    <col min="1029" max="1029" width="12.109375" style="613" customWidth="1"/>
    <col min="1030" max="1030" width="14.33203125" style="613" customWidth="1"/>
    <col min="1031" max="1031" width="42.5546875" style="613" customWidth="1"/>
    <col min="1032" max="1275" width="8.88671875" style="613"/>
    <col min="1276" max="1276" width="15.88671875" style="613" customWidth="1"/>
    <col min="1277" max="1277" width="2.109375" style="613" customWidth="1"/>
    <col min="1278" max="1278" width="7.5546875" style="613" customWidth="1"/>
    <col min="1279" max="1279" width="12.109375" style="613" customWidth="1"/>
    <col min="1280" max="1280" width="14.33203125" style="613" customWidth="1"/>
    <col min="1281" max="1281" width="3.44140625" style="613" customWidth="1"/>
    <col min="1282" max="1282" width="17.33203125" style="613" customWidth="1"/>
    <col min="1283" max="1283" width="2.109375" style="613" customWidth="1"/>
    <col min="1284" max="1284" width="7.5546875" style="613" customWidth="1"/>
    <col min="1285" max="1285" width="12.109375" style="613" customWidth="1"/>
    <col min="1286" max="1286" width="14.33203125" style="613" customWidth="1"/>
    <col min="1287" max="1287" width="42.5546875" style="613" customWidth="1"/>
    <col min="1288" max="1531" width="8.88671875" style="613"/>
    <col min="1532" max="1532" width="15.88671875" style="613" customWidth="1"/>
    <col min="1533" max="1533" width="2.109375" style="613" customWidth="1"/>
    <col min="1534" max="1534" width="7.5546875" style="613" customWidth="1"/>
    <col min="1535" max="1535" width="12.109375" style="613" customWidth="1"/>
    <col min="1536" max="1536" width="14.33203125" style="613" customWidth="1"/>
    <col min="1537" max="1537" width="3.44140625" style="613" customWidth="1"/>
    <col min="1538" max="1538" width="17.33203125" style="613" customWidth="1"/>
    <col min="1539" max="1539" width="2.109375" style="613" customWidth="1"/>
    <col min="1540" max="1540" width="7.5546875" style="613" customWidth="1"/>
    <col min="1541" max="1541" width="12.109375" style="613" customWidth="1"/>
    <col min="1542" max="1542" width="14.33203125" style="613" customWidth="1"/>
    <col min="1543" max="1543" width="42.5546875" style="613" customWidth="1"/>
    <col min="1544" max="1787" width="8.88671875" style="613"/>
    <col min="1788" max="1788" width="15.88671875" style="613" customWidth="1"/>
    <col min="1789" max="1789" width="2.109375" style="613" customWidth="1"/>
    <col min="1790" max="1790" width="7.5546875" style="613" customWidth="1"/>
    <col min="1791" max="1791" width="12.109375" style="613" customWidth="1"/>
    <col min="1792" max="1792" width="14.33203125" style="613" customWidth="1"/>
    <col min="1793" max="1793" width="3.44140625" style="613" customWidth="1"/>
    <col min="1794" max="1794" width="17.33203125" style="613" customWidth="1"/>
    <col min="1795" max="1795" width="2.109375" style="613" customWidth="1"/>
    <col min="1796" max="1796" width="7.5546875" style="613" customWidth="1"/>
    <col min="1797" max="1797" width="12.109375" style="613" customWidth="1"/>
    <col min="1798" max="1798" width="14.33203125" style="613" customWidth="1"/>
    <col min="1799" max="1799" width="42.5546875" style="613" customWidth="1"/>
    <col min="1800" max="2043" width="8.88671875" style="613"/>
    <col min="2044" max="2044" width="15.88671875" style="613" customWidth="1"/>
    <col min="2045" max="2045" width="2.109375" style="613" customWidth="1"/>
    <col min="2046" max="2046" width="7.5546875" style="613" customWidth="1"/>
    <col min="2047" max="2047" width="12.109375" style="613" customWidth="1"/>
    <col min="2048" max="2048" width="14.33203125" style="613" customWidth="1"/>
    <col min="2049" max="2049" width="3.44140625" style="613" customWidth="1"/>
    <col min="2050" max="2050" width="17.33203125" style="613" customWidth="1"/>
    <col min="2051" max="2051" width="2.109375" style="613" customWidth="1"/>
    <col min="2052" max="2052" width="7.5546875" style="613" customWidth="1"/>
    <col min="2053" max="2053" width="12.109375" style="613" customWidth="1"/>
    <col min="2054" max="2054" width="14.33203125" style="613" customWidth="1"/>
    <col min="2055" max="2055" width="42.5546875" style="613" customWidth="1"/>
    <col min="2056" max="2299" width="8.88671875" style="613"/>
    <col min="2300" max="2300" width="15.88671875" style="613" customWidth="1"/>
    <col min="2301" max="2301" width="2.109375" style="613" customWidth="1"/>
    <col min="2302" max="2302" width="7.5546875" style="613" customWidth="1"/>
    <col min="2303" max="2303" width="12.109375" style="613" customWidth="1"/>
    <col min="2304" max="2304" width="14.33203125" style="613" customWidth="1"/>
    <col min="2305" max="2305" width="3.44140625" style="613" customWidth="1"/>
    <col min="2306" max="2306" width="17.33203125" style="613" customWidth="1"/>
    <col min="2307" max="2307" width="2.109375" style="613" customWidth="1"/>
    <col min="2308" max="2308" width="7.5546875" style="613" customWidth="1"/>
    <col min="2309" max="2309" width="12.109375" style="613" customWidth="1"/>
    <col min="2310" max="2310" width="14.33203125" style="613" customWidth="1"/>
    <col min="2311" max="2311" width="42.5546875" style="613" customWidth="1"/>
    <col min="2312" max="2555" width="8.88671875" style="613"/>
    <col min="2556" max="2556" width="15.88671875" style="613" customWidth="1"/>
    <col min="2557" max="2557" width="2.109375" style="613" customWidth="1"/>
    <col min="2558" max="2558" width="7.5546875" style="613" customWidth="1"/>
    <col min="2559" max="2559" width="12.109375" style="613" customWidth="1"/>
    <col min="2560" max="2560" width="14.33203125" style="613" customWidth="1"/>
    <col min="2561" max="2561" width="3.44140625" style="613" customWidth="1"/>
    <col min="2562" max="2562" width="17.33203125" style="613" customWidth="1"/>
    <col min="2563" max="2563" width="2.109375" style="613" customWidth="1"/>
    <col min="2564" max="2564" width="7.5546875" style="613" customWidth="1"/>
    <col min="2565" max="2565" width="12.109375" style="613" customWidth="1"/>
    <col min="2566" max="2566" width="14.33203125" style="613" customWidth="1"/>
    <col min="2567" max="2567" width="42.5546875" style="613" customWidth="1"/>
    <col min="2568" max="2811" width="8.88671875" style="613"/>
    <col min="2812" max="2812" width="15.88671875" style="613" customWidth="1"/>
    <col min="2813" max="2813" width="2.109375" style="613" customWidth="1"/>
    <col min="2814" max="2814" width="7.5546875" style="613" customWidth="1"/>
    <col min="2815" max="2815" width="12.109375" style="613" customWidth="1"/>
    <col min="2816" max="2816" width="14.33203125" style="613" customWidth="1"/>
    <col min="2817" max="2817" width="3.44140625" style="613" customWidth="1"/>
    <col min="2818" max="2818" width="17.33203125" style="613" customWidth="1"/>
    <col min="2819" max="2819" width="2.109375" style="613" customWidth="1"/>
    <col min="2820" max="2820" width="7.5546875" style="613" customWidth="1"/>
    <col min="2821" max="2821" width="12.109375" style="613" customWidth="1"/>
    <col min="2822" max="2822" width="14.33203125" style="613" customWidth="1"/>
    <col min="2823" max="2823" width="42.5546875" style="613" customWidth="1"/>
    <col min="2824" max="3067" width="8.88671875" style="613"/>
    <col min="3068" max="3068" width="15.88671875" style="613" customWidth="1"/>
    <col min="3069" max="3069" width="2.109375" style="613" customWidth="1"/>
    <col min="3070" max="3070" width="7.5546875" style="613" customWidth="1"/>
    <col min="3071" max="3071" width="12.109375" style="613" customWidth="1"/>
    <col min="3072" max="3072" width="14.33203125" style="613" customWidth="1"/>
    <col min="3073" max="3073" width="3.44140625" style="613" customWidth="1"/>
    <col min="3074" max="3074" width="17.33203125" style="613" customWidth="1"/>
    <col min="3075" max="3075" width="2.109375" style="613" customWidth="1"/>
    <col min="3076" max="3076" width="7.5546875" style="613" customWidth="1"/>
    <col min="3077" max="3077" width="12.109375" style="613" customWidth="1"/>
    <col min="3078" max="3078" width="14.33203125" style="613" customWidth="1"/>
    <col min="3079" max="3079" width="42.5546875" style="613" customWidth="1"/>
    <col min="3080" max="3323" width="8.88671875" style="613"/>
    <col min="3324" max="3324" width="15.88671875" style="613" customWidth="1"/>
    <col min="3325" max="3325" width="2.109375" style="613" customWidth="1"/>
    <col min="3326" max="3326" width="7.5546875" style="613" customWidth="1"/>
    <col min="3327" max="3327" width="12.109375" style="613" customWidth="1"/>
    <col min="3328" max="3328" width="14.33203125" style="613" customWidth="1"/>
    <col min="3329" max="3329" width="3.44140625" style="613" customWidth="1"/>
    <col min="3330" max="3330" width="17.33203125" style="613" customWidth="1"/>
    <col min="3331" max="3331" width="2.109375" style="613" customWidth="1"/>
    <col min="3332" max="3332" width="7.5546875" style="613" customWidth="1"/>
    <col min="3333" max="3333" width="12.109375" style="613" customWidth="1"/>
    <col min="3334" max="3334" width="14.33203125" style="613" customWidth="1"/>
    <col min="3335" max="3335" width="42.5546875" style="613" customWidth="1"/>
    <col min="3336" max="3579" width="8.88671875" style="613"/>
    <col min="3580" max="3580" width="15.88671875" style="613" customWidth="1"/>
    <col min="3581" max="3581" width="2.109375" style="613" customWidth="1"/>
    <col min="3582" max="3582" width="7.5546875" style="613" customWidth="1"/>
    <col min="3583" max="3583" width="12.109375" style="613" customWidth="1"/>
    <col min="3584" max="3584" width="14.33203125" style="613" customWidth="1"/>
    <col min="3585" max="3585" width="3.44140625" style="613" customWidth="1"/>
    <col min="3586" max="3586" width="17.33203125" style="613" customWidth="1"/>
    <col min="3587" max="3587" width="2.109375" style="613" customWidth="1"/>
    <col min="3588" max="3588" width="7.5546875" style="613" customWidth="1"/>
    <col min="3589" max="3589" width="12.109375" style="613" customWidth="1"/>
    <col min="3590" max="3590" width="14.33203125" style="613" customWidth="1"/>
    <col min="3591" max="3591" width="42.5546875" style="613" customWidth="1"/>
    <col min="3592" max="3835" width="8.88671875" style="613"/>
    <col min="3836" max="3836" width="15.88671875" style="613" customWidth="1"/>
    <col min="3837" max="3837" width="2.109375" style="613" customWidth="1"/>
    <col min="3838" max="3838" width="7.5546875" style="613" customWidth="1"/>
    <col min="3839" max="3839" width="12.109375" style="613" customWidth="1"/>
    <col min="3840" max="3840" width="14.33203125" style="613" customWidth="1"/>
    <col min="3841" max="3841" width="3.44140625" style="613" customWidth="1"/>
    <col min="3842" max="3842" width="17.33203125" style="613" customWidth="1"/>
    <col min="3843" max="3843" width="2.109375" style="613" customWidth="1"/>
    <col min="3844" max="3844" width="7.5546875" style="613" customWidth="1"/>
    <col min="3845" max="3845" width="12.109375" style="613" customWidth="1"/>
    <col min="3846" max="3846" width="14.33203125" style="613" customWidth="1"/>
    <col min="3847" max="3847" width="42.5546875" style="613" customWidth="1"/>
    <col min="3848" max="4091" width="8.88671875" style="613"/>
    <col min="4092" max="4092" width="15.88671875" style="613" customWidth="1"/>
    <col min="4093" max="4093" width="2.109375" style="613" customWidth="1"/>
    <col min="4094" max="4094" width="7.5546875" style="613" customWidth="1"/>
    <col min="4095" max="4095" width="12.109375" style="613" customWidth="1"/>
    <col min="4096" max="4096" width="14.33203125" style="613" customWidth="1"/>
    <col min="4097" max="4097" width="3.44140625" style="613" customWidth="1"/>
    <col min="4098" max="4098" width="17.33203125" style="613" customWidth="1"/>
    <col min="4099" max="4099" width="2.109375" style="613" customWidth="1"/>
    <col min="4100" max="4100" width="7.5546875" style="613" customWidth="1"/>
    <col min="4101" max="4101" width="12.109375" style="613" customWidth="1"/>
    <col min="4102" max="4102" width="14.33203125" style="613" customWidth="1"/>
    <col min="4103" max="4103" width="42.5546875" style="613" customWidth="1"/>
    <col min="4104" max="4347" width="8.88671875" style="613"/>
    <col min="4348" max="4348" width="15.88671875" style="613" customWidth="1"/>
    <col min="4349" max="4349" width="2.109375" style="613" customWidth="1"/>
    <col min="4350" max="4350" width="7.5546875" style="613" customWidth="1"/>
    <col min="4351" max="4351" width="12.109375" style="613" customWidth="1"/>
    <col min="4352" max="4352" width="14.33203125" style="613" customWidth="1"/>
    <col min="4353" max="4353" width="3.44140625" style="613" customWidth="1"/>
    <col min="4354" max="4354" width="17.33203125" style="613" customWidth="1"/>
    <col min="4355" max="4355" width="2.109375" style="613" customWidth="1"/>
    <col min="4356" max="4356" width="7.5546875" style="613" customWidth="1"/>
    <col min="4357" max="4357" width="12.109375" style="613" customWidth="1"/>
    <col min="4358" max="4358" width="14.33203125" style="613" customWidth="1"/>
    <col min="4359" max="4359" width="42.5546875" style="613" customWidth="1"/>
    <col min="4360" max="4603" width="8.88671875" style="613"/>
    <col min="4604" max="4604" width="15.88671875" style="613" customWidth="1"/>
    <col min="4605" max="4605" width="2.109375" style="613" customWidth="1"/>
    <col min="4606" max="4606" width="7.5546875" style="613" customWidth="1"/>
    <col min="4607" max="4607" width="12.109375" style="613" customWidth="1"/>
    <col min="4608" max="4608" width="14.33203125" style="613" customWidth="1"/>
    <col min="4609" max="4609" width="3.44140625" style="613" customWidth="1"/>
    <col min="4610" max="4610" width="17.33203125" style="613" customWidth="1"/>
    <col min="4611" max="4611" width="2.109375" style="613" customWidth="1"/>
    <col min="4612" max="4612" width="7.5546875" style="613" customWidth="1"/>
    <col min="4613" max="4613" width="12.109375" style="613" customWidth="1"/>
    <col min="4614" max="4614" width="14.33203125" style="613" customWidth="1"/>
    <col min="4615" max="4615" width="42.5546875" style="613" customWidth="1"/>
    <col min="4616" max="4859" width="8.88671875" style="613"/>
    <col min="4860" max="4860" width="15.88671875" style="613" customWidth="1"/>
    <col min="4861" max="4861" width="2.109375" style="613" customWidth="1"/>
    <col min="4862" max="4862" width="7.5546875" style="613" customWidth="1"/>
    <col min="4863" max="4863" width="12.109375" style="613" customWidth="1"/>
    <col min="4864" max="4864" width="14.33203125" style="613" customWidth="1"/>
    <col min="4865" max="4865" width="3.44140625" style="613" customWidth="1"/>
    <col min="4866" max="4866" width="17.33203125" style="613" customWidth="1"/>
    <col min="4867" max="4867" width="2.109375" style="613" customWidth="1"/>
    <col min="4868" max="4868" width="7.5546875" style="613" customWidth="1"/>
    <col min="4869" max="4869" width="12.109375" style="613" customWidth="1"/>
    <col min="4870" max="4870" width="14.33203125" style="613" customWidth="1"/>
    <col min="4871" max="4871" width="42.5546875" style="613" customWidth="1"/>
    <col min="4872" max="5115" width="8.88671875" style="613"/>
    <col min="5116" max="5116" width="15.88671875" style="613" customWidth="1"/>
    <col min="5117" max="5117" width="2.109375" style="613" customWidth="1"/>
    <col min="5118" max="5118" width="7.5546875" style="613" customWidth="1"/>
    <col min="5119" max="5119" width="12.109375" style="613" customWidth="1"/>
    <col min="5120" max="5120" width="14.33203125" style="613" customWidth="1"/>
    <col min="5121" max="5121" width="3.44140625" style="613" customWidth="1"/>
    <col min="5122" max="5122" width="17.33203125" style="613" customWidth="1"/>
    <col min="5123" max="5123" width="2.109375" style="613" customWidth="1"/>
    <col min="5124" max="5124" width="7.5546875" style="613" customWidth="1"/>
    <col min="5125" max="5125" width="12.109375" style="613" customWidth="1"/>
    <col min="5126" max="5126" width="14.33203125" style="613" customWidth="1"/>
    <col min="5127" max="5127" width="42.5546875" style="613" customWidth="1"/>
    <col min="5128" max="5371" width="8.88671875" style="613"/>
    <col min="5372" max="5372" width="15.88671875" style="613" customWidth="1"/>
    <col min="5373" max="5373" width="2.109375" style="613" customWidth="1"/>
    <col min="5374" max="5374" width="7.5546875" style="613" customWidth="1"/>
    <col min="5375" max="5375" width="12.109375" style="613" customWidth="1"/>
    <col min="5376" max="5376" width="14.33203125" style="613" customWidth="1"/>
    <col min="5377" max="5377" width="3.44140625" style="613" customWidth="1"/>
    <col min="5378" max="5378" width="17.33203125" style="613" customWidth="1"/>
    <col min="5379" max="5379" width="2.109375" style="613" customWidth="1"/>
    <col min="5380" max="5380" width="7.5546875" style="613" customWidth="1"/>
    <col min="5381" max="5381" width="12.109375" style="613" customWidth="1"/>
    <col min="5382" max="5382" width="14.33203125" style="613" customWidth="1"/>
    <col min="5383" max="5383" width="42.5546875" style="613" customWidth="1"/>
    <col min="5384" max="5627" width="8.88671875" style="613"/>
    <col min="5628" max="5628" width="15.88671875" style="613" customWidth="1"/>
    <col min="5629" max="5629" width="2.109375" style="613" customWidth="1"/>
    <col min="5630" max="5630" width="7.5546875" style="613" customWidth="1"/>
    <col min="5631" max="5631" width="12.109375" style="613" customWidth="1"/>
    <col min="5632" max="5632" width="14.33203125" style="613" customWidth="1"/>
    <col min="5633" max="5633" width="3.44140625" style="613" customWidth="1"/>
    <col min="5634" max="5634" width="17.33203125" style="613" customWidth="1"/>
    <col min="5635" max="5635" width="2.109375" style="613" customWidth="1"/>
    <col min="5636" max="5636" width="7.5546875" style="613" customWidth="1"/>
    <col min="5637" max="5637" width="12.109375" style="613" customWidth="1"/>
    <col min="5638" max="5638" width="14.33203125" style="613" customWidth="1"/>
    <col min="5639" max="5639" width="42.5546875" style="613" customWidth="1"/>
    <col min="5640" max="5883" width="8.88671875" style="613"/>
    <col min="5884" max="5884" width="15.88671875" style="613" customWidth="1"/>
    <col min="5885" max="5885" width="2.109375" style="613" customWidth="1"/>
    <col min="5886" max="5886" width="7.5546875" style="613" customWidth="1"/>
    <col min="5887" max="5887" width="12.109375" style="613" customWidth="1"/>
    <col min="5888" max="5888" width="14.33203125" style="613" customWidth="1"/>
    <col min="5889" max="5889" width="3.44140625" style="613" customWidth="1"/>
    <col min="5890" max="5890" width="17.33203125" style="613" customWidth="1"/>
    <col min="5891" max="5891" width="2.109375" style="613" customWidth="1"/>
    <col min="5892" max="5892" width="7.5546875" style="613" customWidth="1"/>
    <col min="5893" max="5893" width="12.109375" style="613" customWidth="1"/>
    <col min="5894" max="5894" width="14.33203125" style="613" customWidth="1"/>
    <col min="5895" max="5895" width="42.5546875" style="613" customWidth="1"/>
    <col min="5896" max="6139" width="8.88671875" style="613"/>
    <col min="6140" max="6140" width="15.88671875" style="613" customWidth="1"/>
    <col min="6141" max="6141" width="2.109375" style="613" customWidth="1"/>
    <col min="6142" max="6142" width="7.5546875" style="613" customWidth="1"/>
    <col min="6143" max="6143" width="12.109375" style="613" customWidth="1"/>
    <col min="6144" max="6144" width="14.33203125" style="613" customWidth="1"/>
    <col min="6145" max="6145" width="3.44140625" style="613" customWidth="1"/>
    <col min="6146" max="6146" width="17.33203125" style="613" customWidth="1"/>
    <col min="6147" max="6147" width="2.109375" style="613" customWidth="1"/>
    <col min="6148" max="6148" width="7.5546875" style="613" customWidth="1"/>
    <col min="6149" max="6149" width="12.109375" style="613" customWidth="1"/>
    <col min="6150" max="6150" width="14.33203125" style="613" customWidth="1"/>
    <col min="6151" max="6151" width="42.5546875" style="613" customWidth="1"/>
    <col min="6152" max="6395" width="8.88671875" style="613"/>
    <col min="6396" max="6396" width="15.88671875" style="613" customWidth="1"/>
    <col min="6397" max="6397" width="2.109375" style="613" customWidth="1"/>
    <col min="6398" max="6398" width="7.5546875" style="613" customWidth="1"/>
    <col min="6399" max="6399" width="12.109375" style="613" customWidth="1"/>
    <col min="6400" max="6400" width="14.33203125" style="613" customWidth="1"/>
    <col min="6401" max="6401" width="3.44140625" style="613" customWidth="1"/>
    <col min="6402" max="6402" width="17.33203125" style="613" customWidth="1"/>
    <col min="6403" max="6403" width="2.109375" style="613" customWidth="1"/>
    <col min="6404" max="6404" width="7.5546875" style="613" customWidth="1"/>
    <col min="6405" max="6405" width="12.109375" style="613" customWidth="1"/>
    <col min="6406" max="6406" width="14.33203125" style="613" customWidth="1"/>
    <col min="6407" max="6407" width="42.5546875" style="613" customWidth="1"/>
    <col min="6408" max="6651" width="8.88671875" style="613"/>
    <col min="6652" max="6652" width="15.88671875" style="613" customWidth="1"/>
    <col min="6653" max="6653" width="2.109375" style="613" customWidth="1"/>
    <col min="6654" max="6654" width="7.5546875" style="613" customWidth="1"/>
    <col min="6655" max="6655" width="12.109375" style="613" customWidth="1"/>
    <col min="6656" max="6656" width="14.33203125" style="613" customWidth="1"/>
    <col min="6657" max="6657" width="3.44140625" style="613" customWidth="1"/>
    <col min="6658" max="6658" width="17.33203125" style="613" customWidth="1"/>
    <col min="6659" max="6659" width="2.109375" style="613" customWidth="1"/>
    <col min="6660" max="6660" width="7.5546875" style="613" customWidth="1"/>
    <col min="6661" max="6661" width="12.109375" style="613" customWidth="1"/>
    <col min="6662" max="6662" width="14.33203125" style="613" customWidth="1"/>
    <col min="6663" max="6663" width="42.5546875" style="613" customWidth="1"/>
    <col min="6664" max="6907" width="8.88671875" style="613"/>
    <col min="6908" max="6908" width="15.88671875" style="613" customWidth="1"/>
    <col min="6909" max="6909" width="2.109375" style="613" customWidth="1"/>
    <col min="6910" max="6910" width="7.5546875" style="613" customWidth="1"/>
    <col min="6911" max="6911" width="12.109375" style="613" customWidth="1"/>
    <col min="6912" max="6912" width="14.33203125" style="613" customWidth="1"/>
    <col min="6913" max="6913" width="3.44140625" style="613" customWidth="1"/>
    <col min="6914" max="6914" width="17.33203125" style="613" customWidth="1"/>
    <col min="6915" max="6915" width="2.109375" style="613" customWidth="1"/>
    <col min="6916" max="6916" width="7.5546875" style="613" customWidth="1"/>
    <col min="6917" max="6917" width="12.109375" style="613" customWidth="1"/>
    <col min="6918" max="6918" width="14.33203125" style="613" customWidth="1"/>
    <col min="6919" max="6919" width="42.5546875" style="613" customWidth="1"/>
    <col min="6920" max="7163" width="8.88671875" style="613"/>
    <col min="7164" max="7164" width="15.88671875" style="613" customWidth="1"/>
    <col min="7165" max="7165" width="2.109375" style="613" customWidth="1"/>
    <col min="7166" max="7166" width="7.5546875" style="613" customWidth="1"/>
    <col min="7167" max="7167" width="12.109375" style="613" customWidth="1"/>
    <col min="7168" max="7168" width="14.33203125" style="613" customWidth="1"/>
    <col min="7169" max="7169" width="3.44140625" style="613" customWidth="1"/>
    <col min="7170" max="7170" width="17.33203125" style="613" customWidth="1"/>
    <col min="7171" max="7171" width="2.109375" style="613" customWidth="1"/>
    <col min="7172" max="7172" width="7.5546875" style="613" customWidth="1"/>
    <col min="7173" max="7173" width="12.109375" style="613" customWidth="1"/>
    <col min="7174" max="7174" width="14.33203125" style="613" customWidth="1"/>
    <col min="7175" max="7175" width="42.5546875" style="613" customWidth="1"/>
    <col min="7176" max="7419" width="8.88671875" style="613"/>
    <col min="7420" max="7420" width="15.88671875" style="613" customWidth="1"/>
    <col min="7421" max="7421" width="2.109375" style="613" customWidth="1"/>
    <col min="7422" max="7422" width="7.5546875" style="613" customWidth="1"/>
    <col min="7423" max="7423" width="12.109375" style="613" customWidth="1"/>
    <col min="7424" max="7424" width="14.33203125" style="613" customWidth="1"/>
    <col min="7425" max="7425" width="3.44140625" style="613" customWidth="1"/>
    <col min="7426" max="7426" width="17.33203125" style="613" customWidth="1"/>
    <col min="7427" max="7427" width="2.109375" style="613" customWidth="1"/>
    <col min="7428" max="7428" width="7.5546875" style="613" customWidth="1"/>
    <col min="7429" max="7429" width="12.109375" style="613" customWidth="1"/>
    <col min="7430" max="7430" width="14.33203125" style="613" customWidth="1"/>
    <col min="7431" max="7431" width="42.5546875" style="613" customWidth="1"/>
    <col min="7432" max="7675" width="8.88671875" style="613"/>
    <col min="7676" max="7676" width="15.88671875" style="613" customWidth="1"/>
    <col min="7677" max="7677" width="2.109375" style="613" customWidth="1"/>
    <col min="7678" max="7678" width="7.5546875" style="613" customWidth="1"/>
    <col min="7679" max="7679" width="12.109375" style="613" customWidth="1"/>
    <col min="7680" max="7680" width="14.33203125" style="613" customWidth="1"/>
    <col min="7681" max="7681" width="3.44140625" style="613" customWidth="1"/>
    <col min="7682" max="7682" width="17.33203125" style="613" customWidth="1"/>
    <col min="7683" max="7683" width="2.109375" style="613" customWidth="1"/>
    <col min="7684" max="7684" width="7.5546875" style="613" customWidth="1"/>
    <col min="7685" max="7685" width="12.109375" style="613" customWidth="1"/>
    <col min="7686" max="7686" width="14.33203125" style="613" customWidth="1"/>
    <col min="7687" max="7687" width="42.5546875" style="613" customWidth="1"/>
    <col min="7688" max="7931" width="8.88671875" style="613"/>
    <col min="7932" max="7932" width="15.88671875" style="613" customWidth="1"/>
    <col min="7933" max="7933" width="2.109375" style="613" customWidth="1"/>
    <col min="7934" max="7934" width="7.5546875" style="613" customWidth="1"/>
    <col min="7935" max="7935" width="12.109375" style="613" customWidth="1"/>
    <col min="7936" max="7936" width="14.33203125" style="613" customWidth="1"/>
    <col min="7937" max="7937" width="3.44140625" style="613" customWidth="1"/>
    <col min="7938" max="7938" width="17.33203125" style="613" customWidth="1"/>
    <col min="7939" max="7939" width="2.109375" style="613" customWidth="1"/>
    <col min="7940" max="7940" width="7.5546875" style="613" customWidth="1"/>
    <col min="7941" max="7941" width="12.109375" style="613" customWidth="1"/>
    <col min="7942" max="7942" width="14.33203125" style="613" customWidth="1"/>
    <col min="7943" max="7943" width="42.5546875" style="613" customWidth="1"/>
    <col min="7944" max="8187" width="8.88671875" style="613"/>
    <col min="8188" max="8188" width="15.88671875" style="613" customWidth="1"/>
    <col min="8189" max="8189" width="2.109375" style="613" customWidth="1"/>
    <col min="8190" max="8190" width="7.5546875" style="613" customWidth="1"/>
    <col min="8191" max="8191" width="12.109375" style="613" customWidth="1"/>
    <col min="8192" max="8192" width="14.33203125" style="613" customWidth="1"/>
    <col min="8193" max="8193" width="3.44140625" style="613" customWidth="1"/>
    <col min="8194" max="8194" width="17.33203125" style="613" customWidth="1"/>
    <col min="8195" max="8195" width="2.109375" style="613" customWidth="1"/>
    <col min="8196" max="8196" width="7.5546875" style="613" customWidth="1"/>
    <col min="8197" max="8197" width="12.109375" style="613" customWidth="1"/>
    <col min="8198" max="8198" width="14.33203125" style="613" customWidth="1"/>
    <col min="8199" max="8199" width="42.5546875" style="613" customWidth="1"/>
    <col min="8200" max="8443" width="8.88671875" style="613"/>
    <col min="8444" max="8444" width="15.88671875" style="613" customWidth="1"/>
    <col min="8445" max="8445" width="2.109375" style="613" customWidth="1"/>
    <col min="8446" max="8446" width="7.5546875" style="613" customWidth="1"/>
    <col min="8447" max="8447" width="12.109375" style="613" customWidth="1"/>
    <col min="8448" max="8448" width="14.33203125" style="613" customWidth="1"/>
    <col min="8449" max="8449" width="3.44140625" style="613" customWidth="1"/>
    <col min="8450" max="8450" width="17.33203125" style="613" customWidth="1"/>
    <col min="8451" max="8451" width="2.109375" style="613" customWidth="1"/>
    <col min="8452" max="8452" width="7.5546875" style="613" customWidth="1"/>
    <col min="8453" max="8453" width="12.109375" style="613" customWidth="1"/>
    <col min="8454" max="8454" width="14.33203125" style="613" customWidth="1"/>
    <col min="8455" max="8455" width="42.5546875" style="613" customWidth="1"/>
    <col min="8456" max="8699" width="8.88671875" style="613"/>
    <col min="8700" max="8700" width="15.88671875" style="613" customWidth="1"/>
    <col min="8701" max="8701" width="2.109375" style="613" customWidth="1"/>
    <col min="8702" max="8702" width="7.5546875" style="613" customWidth="1"/>
    <col min="8703" max="8703" width="12.109375" style="613" customWidth="1"/>
    <col min="8704" max="8704" width="14.33203125" style="613" customWidth="1"/>
    <col min="8705" max="8705" width="3.44140625" style="613" customWidth="1"/>
    <col min="8706" max="8706" width="17.33203125" style="613" customWidth="1"/>
    <col min="8707" max="8707" width="2.109375" style="613" customWidth="1"/>
    <col min="8708" max="8708" width="7.5546875" style="613" customWidth="1"/>
    <col min="8709" max="8709" width="12.109375" style="613" customWidth="1"/>
    <col min="8710" max="8710" width="14.33203125" style="613" customWidth="1"/>
    <col min="8711" max="8711" width="42.5546875" style="613" customWidth="1"/>
    <col min="8712" max="8955" width="8.88671875" style="613"/>
    <col min="8956" max="8956" width="15.88671875" style="613" customWidth="1"/>
    <col min="8957" max="8957" width="2.109375" style="613" customWidth="1"/>
    <col min="8958" max="8958" width="7.5546875" style="613" customWidth="1"/>
    <col min="8959" max="8959" width="12.109375" style="613" customWidth="1"/>
    <col min="8960" max="8960" width="14.33203125" style="613" customWidth="1"/>
    <col min="8961" max="8961" width="3.44140625" style="613" customWidth="1"/>
    <col min="8962" max="8962" width="17.33203125" style="613" customWidth="1"/>
    <col min="8963" max="8963" width="2.109375" style="613" customWidth="1"/>
    <col min="8964" max="8964" width="7.5546875" style="613" customWidth="1"/>
    <col min="8965" max="8965" width="12.109375" style="613" customWidth="1"/>
    <col min="8966" max="8966" width="14.33203125" style="613" customWidth="1"/>
    <col min="8967" max="8967" width="42.5546875" style="613" customWidth="1"/>
    <col min="8968" max="9211" width="8.88671875" style="613"/>
    <col min="9212" max="9212" width="15.88671875" style="613" customWidth="1"/>
    <col min="9213" max="9213" width="2.109375" style="613" customWidth="1"/>
    <col min="9214" max="9214" width="7.5546875" style="613" customWidth="1"/>
    <col min="9215" max="9215" width="12.109375" style="613" customWidth="1"/>
    <col min="9216" max="9216" width="14.33203125" style="613" customWidth="1"/>
    <col min="9217" max="9217" width="3.44140625" style="613" customWidth="1"/>
    <col min="9218" max="9218" width="17.33203125" style="613" customWidth="1"/>
    <col min="9219" max="9219" width="2.109375" style="613" customWidth="1"/>
    <col min="9220" max="9220" width="7.5546875" style="613" customWidth="1"/>
    <col min="9221" max="9221" width="12.109375" style="613" customWidth="1"/>
    <col min="9222" max="9222" width="14.33203125" style="613" customWidth="1"/>
    <col min="9223" max="9223" width="42.5546875" style="613" customWidth="1"/>
    <col min="9224" max="9467" width="8.88671875" style="613"/>
    <col min="9468" max="9468" width="15.88671875" style="613" customWidth="1"/>
    <col min="9469" max="9469" width="2.109375" style="613" customWidth="1"/>
    <col min="9470" max="9470" width="7.5546875" style="613" customWidth="1"/>
    <col min="9471" max="9471" width="12.109375" style="613" customWidth="1"/>
    <col min="9472" max="9472" width="14.33203125" style="613" customWidth="1"/>
    <col min="9473" max="9473" width="3.44140625" style="613" customWidth="1"/>
    <col min="9474" max="9474" width="17.33203125" style="613" customWidth="1"/>
    <col min="9475" max="9475" width="2.109375" style="613" customWidth="1"/>
    <col min="9476" max="9476" width="7.5546875" style="613" customWidth="1"/>
    <col min="9477" max="9477" width="12.109375" style="613" customWidth="1"/>
    <col min="9478" max="9478" width="14.33203125" style="613" customWidth="1"/>
    <col min="9479" max="9479" width="42.5546875" style="613" customWidth="1"/>
    <col min="9480" max="9723" width="8.88671875" style="613"/>
    <col min="9724" max="9724" width="15.88671875" style="613" customWidth="1"/>
    <col min="9725" max="9725" width="2.109375" style="613" customWidth="1"/>
    <col min="9726" max="9726" width="7.5546875" style="613" customWidth="1"/>
    <col min="9727" max="9727" width="12.109375" style="613" customWidth="1"/>
    <col min="9728" max="9728" width="14.33203125" style="613" customWidth="1"/>
    <col min="9729" max="9729" width="3.44140625" style="613" customWidth="1"/>
    <col min="9730" max="9730" width="17.33203125" style="613" customWidth="1"/>
    <col min="9731" max="9731" width="2.109375" style="613" customWidth="1"/>
    <col min="9732" max="9732" width="7.5546875" style="613" customWidth="1"/>
    <col min="9733" max="9733" width="12.109375" style="613" customWidth="1"/>
    <col min="9734" max="9734" width="14.33203125" style="613" customWidth="1"/>
    <col min="9735" max="9735" width="42.5546875" style="613" customWidth="1"/>
    <col min="9736" max="9979" width="8.88671875" style="613"/>
    <col min="9980" max="9980" width="15.88671875" style="613" customWidth="1"/>
    <col min="9981" max="9981" width="2.109375" style="613" customWidth="1"/>
    <col min="9982" max="9982" width="7.5546875" style="613" customWidth="1"/>
    <col min="9983" max="9983" width="12.109375" style="613" customWidth="1"/>
    <col min="9984" max="9984" width="14.33203125" style="613" customWidth="1"/>
    <col min="9985" max="9985" width="3.44140625" style="613" customWidth="1"/>
    <col min="9986" max="9986" width="17.33203125" style="613" customWidth="1"/>
    <col min="9987" max="9987" width="2.109375" style="613" customWidth="1"/>
    <col min="9988" max="9988" width="7.5546875" style="613" customWidth="1"/>
    <col min="9989" max="9989" width="12.109375" style="613" customWidth="1"/>
    <col min="9990" max="9990" width="14.33203125" style="613" customWidth="1"/>
    <col min="9991" max="9991" width="42.5546875" style="613" customWidth="1"/>
    <col min="9992" max="10235" width="8.88671875" style="613"/>
    <col min="10236" max="10236" width="15.88671875" style="613" customWidth="1"/>
    <col min="10237" max="10237" width="2.109375" style="613" customWidth="1"/>
    <col min="10238" max="10238" width="7.5546875" style="613" customWidth="1"/>
    <col min="10239" max="10239" width="12.109375" style="613" customWidth="1"/>
    <col min="10240" max="10240" width="14.33203125" style="613" customWidth="1"/>
    <col min="10241" max="10241" width="3.44140625" style="613" customWidth="1"/>
    <col min="10242" max="10242" width="17.33203125" style="613" customWidth="1"/>
    <col min="10243" max="10243" width="2.109375" style="613" customWidth="1"/>
    <col min="10244" max="10244" width="7.5546875" style="613" customWidth="1"/>
    <col min="10245" max="10245" width="12.109375" style="613" customWidth="1"/>
    <col min="10246" max="10246" width="14.33203125" style="613" customWidth="1"/>
    <col min="10247" max="10247" width="42.5546875" style="613" customWidth="1"/>
    <col min="10248" max="10491" width="8.88671875" style="613"/>
    <col min="10492" max="10492" width="15.88671875" style="613" customWidth="1"/>
    <col min="10493" max="10493" width="2.109375" style="613" customWidth="1"/>
    <col min="10494" max="10494" width="7.5546875" style="613" customWidth="1"/>
    <col min="10495" max="10495" width="12.109375" style="613" customWidth="1"/>
    <col min="10496" max="10496" width="14.33203125" style="613" customWidth="1"/>
    <col min="10497" max="10497" width="3.44140625" style="613" customWidth="1"/>
    <col min="10498" max="10498" width="17.33203125" style="613" customWidth="1"/>
    <col min="10499" max="10499" width="2.109375" style="613" customWidth="1"/>
    <col min="10500" max="10500" width="7.5546875" style="613" customWidth="1"/>
    <col min="10501" max="10501" width="12.109375" style="613" customWidth="1"/>
    <col min="10502" max="10502" width="14.33203125" style="613" customWidth="1"/>
    <col min="10503" max="10503" width="42.5546875" style="613" customWidth="1"/>
    <col min="10504" max="10747" width="8.88671875" style="613"/>
    <col min="10748" max="10748" width="15.88671875" style="613" customWidth="1"/>
    <col min="10749" max="10749" width="2.109375" style="613" customWidth="1"/>
    <col min="10750" max="10750" width="7.5546875" style="613" customWidth="1"/>
    <col min="10751" max="10751" width="12.109375" style="613" customWidth="1"/>
    <col min="10752" max="10752" width="14.33203125" style="613" customWidth="1"/>
    <col min="10753" max="10753" width="3.44140625" style="613" customWidth="1"/>
    <col min="10754" max="10754" width="17.33203125" style="613" customWidth="1"/>
    <col min="10755" max="10755" width="2.109375" style="613" customWidth="1"/>
    <col min="10756" max="10756" width="7.5546875" style="613" customWidth="1"/>
    <col min="10757" max="10757" width="12.109375" style="613" customWidth="1"/>
    <col min="10758" max="10758" width="14.33203125" style="613" customWidth="1"/>
    <col min="10759" max="10759" width="42.5546875" style="613" customWidth="1"/>
    <col min="10760" max="11003" width="8.88671875" style="613"/>
    <col min="11004" max="11004" width="15.88671875" style="613" customWidth="1"/>
    <col min="11005" max="11005" width="2.109375" style="613" customWidth="1"/>
    <col min="11006" max="11006" width="7.5546875" style="613" customWidth="1"/>
    <col min="11007" max="11007" width="12.109375" style="613" customWidth="1"/>
    <col min="11008" max="11008" width="14.33203125" style="613" customWidth="1"/>
    <col min="11009" max="11009" width="3.44140625" style="613" customWidth="1"/>
    <col min="11010" max="11010" width="17.33203125" style="613" customWidth="1"/>
    <col min="11011" max="11011" width="2.109375" style="613" customWidth="1"/>
    <col min="11012" max="11012" width="7.5546875" style="613" customWidth="1"/>
    <col min="11013" max="11013" width="12.109375" style="613" customWidth="1"/>
    <col min="11014" max="11014" width="14.33203125" style="613" customWidth="1"/>
    <col min="11015" max="11015" width="42.5546875" style="613" customWidth="1"/>
    <col min="11016" max="11259" width="8.88671875" style="613"/>
    <col min="11260" max="11260" width="15.88671875" style="613" customWidth="1"/>
    <col min="11261" max="11261" width="2.109375" style="613" customWidth="1"/>
    <col min="11262" max="11262" width="7.5546875" style="613" customWidth="1"/>
    <col min="11263" max="11263" width="12.109375" style="613" customWidth="1"/>
    <col min="11264" max="11264" width="14.33203125" style="613" customWidth="1"/>
    <col min="11265" max="11265" width="3.44140625" style="613" customWidth="1"/>
    <col min="11266" max="11266" width="17.33203125" style="613" customWidth="1"/>
    <col min="11267" max="11267" width="2.109375" style="613" customWidth="1"/>
    <col min="11268" max="11268" width="7.5546875" style="613" customWidth="1"/>
    <col min="11269" max="11269" width="12.109375" style="613" customWidth="1"/>
    <col min="11270" max="11270" width="14.33203125" style="613" customWidth="1"/>
    <col min="11271" max="11271" width="42.5546875" style="613" customWidth="1"/>
    <col min="11272" max="11515" width="8.88671875" style="613"/>
    <col min="11516" max="11516" width="15.88671875" style="613" customWidth="1"/>
    <col min="11517" max="11517" width="2.109375" style="613" customWidth="1"/>
    <col min="11518" max="11518" width="7.5546875" style="613" customWidth="1"/>
    <col min="11519" max="11519" width="12.109375" style="613" customWidth="1"/>
    <col min="11520" max="11520" width="14.33203125" style="613" customWidth="1"/>
    <col min="11521" max="11521" width="3.44140625" style="613" customWidth="1"/>
    <col min="11522" max="11522" width="17.33203125" style="613" customWidth="1"/>
    <col min="11523" max="11523" width="2.109375" style="613" customWidth="1"/>
    <col min="11524" max="11524" width="7.5546875" style="613" customWidth="1"/>
    <col min="11525" max="11525" width="12.109375" style="613" customWidth="1"/>
    <col min="11526" max="11526" width="14.33203125" style="613" customWidth="1"/>
    <col min="11527" max="11527" width="42.5546875" style="613" customWidth="1"/>
    <col min="11528" max="11771" width="8.88671875" style="613"/>
    <col min="11772" max="11772" width="15.88671875" style="613" customWidth="1"/>
    <col min="11773" max="11773" width="2.109375" style="613" customWidth="1"/>
    <col min="11774" max="11774" width="7.5546875" style="613" customWidth="1"/>
    <col min="11775" max="11775" width="12.109375" style="613" customWidth="1"/>
    <col min="11776" max="11776" width="14.33203125" style="613" customWidth="1"/>
    <col min="11777" max="11777" width="3.44140625" style="613" customWidth="1"/>
    <col min="11778" max="11778" width="17.33203125" style="613" customWidth="1"/>
    <col min="11779" max="11779" width="2.109375" style="613" customWidth="1"/>
    <col min="11780" max="11780" width="7.5546875" style="613" customWidth="1"/>
    <col min="11781" max="11781" width="12.109375" style="613" customWidth="1"/>
    <col min="11782" max="11782" width="14.33203125" style="613" customWidth="1"/>
    <col min="11783" max="11783" width="42.5546875" style="613" customWidth="1"/>
    <col min="11784" max="12027" width="8.88671875" style="613"/>
    <col min="12028" max="12028" width="15.88671875" style="613" customWidth="1"/>
    <col min="12029" max="12029" width="2.109375" style="613" customWidth="1"/>
    <col min="12030" max="12030" width="7.5546875" style="613" customWidth="1"/>
    <col min="12031" max="12031" width="12.109375" style="613" customWidth="1"/>
    <col min="12032" max="12032" width="14.33203125" style="613" customWidth="1"/>
    <col min="12033" max="12033" width="3.44140625" style="613" customWidth="1"/>
    <col min="12034" max="12034" width="17.33203125" style="613" customWidth="1"/>
    <col min="12035" max="12035" width="2.109375" style="613" customWidth="1"/>
    <col min="12036" max="12036" width="7.5546875" style="613" customWidth="1"/>
    <col min="12037" max="12037" width="12.109375" style="613" customWidth="1"/>
    <col min="12038" max="12038" width="14.33203125" style="613" customWidth="1"/>
    <col min="12039" max="12039" width="42.5546875" style="613" customWidth="1"/>
    <col min="12040" max="12283" width="8.88671875" style="613"/>
    <col min="12284" max="12284" width="15.88671875" style="613" customWidth="1"/>
    <col min="12285" max="12285" width="2.109375" style="613" customWidth="1"/>
    <col min="12286" max="12286" width="7.5546875" style="613" customWidth="1"/>
    <col min="12287" max="12287" width="12.109375" style="613" customWidth="1"/>
    <col min="12288" max="12288" width="14.33203125" style="613" customWidth="1"/>
    <col min="12289" max="12289" width="3.44140625" style="613" customWidth="1"/>
    <col min="12290" max="12290" width="17.33203125" style="613" customWidth="1"/>
    <col min="12291" max="12291" width="2.109375" style="613" customWidth="1"/>
    <col min="12292" max="12292" width="7.5546875" style="613" customWidth="1"/>
    <col min="12293" max="12293" width="12.109375" style="613" customWidth="1"/>
    <col min="12294" max="12294" width="14.33203125" style="613" customWidth="1"/>
    <col min="12295" max="12295" width="42.5546875" style="613" customWidth="1"/>
    <col min="12296" max="12539" width="8.88671875" style="613"/>
    <col min="12540" max="12540" width="15.88671875" style="613" customWidth="1"/>
    <col min="12541" max="12541" width="2.109375" style="613" customWidth="1"/>
    <col min="12542" max="12542" width="7.5546875" style="613" customWidth="1"/>
    <col min="12543" max="12543" width="12.109375" style="613" customWidth="1"/>
    <col min="12544" max="12544" width="14.33203125" style="613" customWidth="1"/>
    <col min="12545" max="12545" width="3.44140625" style="613" customWidth="1"/>
    <col min="12546" max="12546" width="17.33203125" style="613" customWidth="1"/>
    <col min="12547" max="12547" width="2.109375" style="613" customWidth="1"/>
    <col min="12548" max="12548" width="7.5546875" style="613" customWidth="1"/>
    <col min="12549" max="12549" width="12.109375" style="613" customWidth="1"/>
    <col min="12550" max="12550" width="14.33203125" style="613" customWidth="1"/>
    <col min="12551" max="12551" width="42.5546875" style="613" customWidth="1"/>
    <col min="12552" max="12795" width="8.88671875" style="613"/>
    <col min="12796" max="12796" width="15.88671875" style="613" customWidth="1"/>
    <col min="12797" max="12797" width="2.109375" style="613" customWidth="1"/>
    <col min="12798" max="12798" width="7.5546875" style="613" customWidth="1"/>
    <col min="12799" max="12799" width="12.109375" style="613" customWidth="1"/>
    <col min="12800" max="12800" width="14.33203125" style="613" customWidth="1"/>
    <col min="12801" max="12801" width="3.44140625" style="613" customWidth="1"/>
    <col min="12802" max="12802" width="17.33203125" style="613" customWidth="1"/>
    <col min="12803" max="12803" width="2.109375" style="613" customWidth="1"/>
    <col min="12804" max="12804" width="7.5546875" style="613" customWidth="1"/>
    <col min="12805" max="12805" width="12.109375" style="613" customWidth="1"/>
    <col min="12806" max="12806" width="14.33203125" style="613" customWidth="1"/>
    <col min="12807" max="12807" width="42.5546875" style="613" customWidth="1"/>
    <col min="12808" max="13051" width="8.88671875" style="613"/>
    <col min="13052" max="13052" width="15.88671875" style="613" customWidth="1"/>
    <col min="13053" max="13053" width="2.109375" style="613" customWidth="1"/>
    <col min="13054" max="13054" width="7.5546875" style="613" customWidth="1"/>
    <col min="13055" max="13055" width="12.109375" style="613" customWidth="1"/>
    <col min="13056" max="13056" width="14.33203125" style="613" customWidth="1"/>
    <col min="13057" max="13057" width="3.44140625" style="613" customWidth="1"/>
    <col min="13058" max="13058" width="17.33203125" style="613" customWidth="1"/>
    <col min="13059" max="13059" width="2.109375" style="613" customWidth="1"/>
    <col min="13060" max="13060" width="7.5546875" style="613" customWidth="1"/>
    <col min="13061" max="13061" width="12.109375" style="613" customWidth="1"/>
    <col min="13062" max="13062" width="14.33203125" style="613" customWidth="1"/>
    <col min="13063" max="13063" width="42.5546875" style="613" customWidth="1"/>
    <col min="13064" max="13307" width="8.88671875" style="613"/>
    <col min="13308" max="13308" width="15.88671875" style="613" customWidth="1"/>
    <col min="13309" max="13309" width="2.109375" style="613" customWidth="1"/>
    <col min="13310" max="13310" width="7.5546875" style="613" customWidth="1"/>
    <col min="13311" max="13311" width="12.109375" style="613" customWidth="1"/>
    <col min="13312" max="13312" width="14.33203125" style="613" customWidth="1"/>
    <col min="13313" max="13313" width="3.44140625" style="613" customWidth="1"/>
    <col min="13314" max="13314" width="17.33203125" style="613" customWidth="1"/>
    <col min="13315" max="13315" width="2.109375" style="613" customWidth="1"/>
    <col min="13316" max="13316" width="7.5546875" style="613" customWidth="1"/>
    <col min="13317" max="13317" width="12.109375" style="613" customWidth="1"/>
    <col min="13318" max="13318" width="14.33203125" style="613" customWidth="1"/>
    <col min="13319" max="13319" width="42.5546875" style="613" customWidth="1"/>
    <col min="13320" max="13563" width="8.88671875" style="613"/>
    <col min="13564" max="13564" width="15.88671875" style="613" customWidth="1"/>
    <col min="13565" max="13565" width="2.109375" style="613" customWidth="1"/>
    <col min="13566" max="13566" width="7.5546875" style="613" customWidth="1"/>
    <col min="13567" max="13567" width="12.109375" style="613" customWidth="1"/>
    <col min="13568" max="13568" width="14.33203125" style="613" customWidth="1"/>
    <col min="13569" max="13569" width="3.44140625" style="613" customWidth="1"/>
    <col min="13570" max="13570" width="17.33203125" style="613" customWidth="1"/>
    <col min="13571" max="13571" width="2.109375" style="613" customWidth="1"/>
    <col min="13572" max="13572" width="7.5546875" style="613" customWidth="1"/>
    <col min="13573" max="13573" width="12.109375" style="613" customWidth="1"/>
    <col min="13574" max="13574" width="14.33203125" style="613" customWidth="1"/>
    <col min="13575" max="13575" width="42.5546875" style="613" customWidth="1"/>
    <col min="13576" max="13819" width="8.88671875" style="613"/>
    <col min="13820" max="13820" width="15.88671875" style="613" customWidth="1"/>
    <col min="13821" max="13821" width="2.109375" style="613" customWidth="1"/>
    <col min="13822" max="13822" width="7.5546875" style="613" customWidth="1"/>
    <col min="13823" max="13823" width="12.109375" style="613" customWidth="1"/>
    <col min="13824" max="13824" width="14.33203125" style="613" customWidth="1"/>
    <col min="13825" max="13825" width="3.44140625" style="613" customWidth="1"/>
    <col min="13826" max="13826" width="17.33203125" style="613" customWidth="1"/>
    <col min="13827" max="13827" width="2.109375" style="613" customWidth="1"/>
    <col min="13828" max="13828" width="7.5546875" style="613" customWidth="1"/>
    <col min="13829" max="13829" width="12.109375" style="613" customWidth="1"/>
    <col min="13830" max="13830" width="14.33203125" style="613" customWidth="1"/>
    <col min="13831" max="13831" width="42.5546875" style="613" customWidth="1"/>
    <col min="13832" max="14075" width="8.88671875" style="613"/>
    <col min="14076" max="14076" width="15.88671875" style="613" customWidth="1"/>
    <col min="14077" max="14077" width="2.109375" style="613" customWidth="1"/>
    <col min="14078" max="14078" width="7.5546875" style="613" customWidth="1"/>
    <col min="14079" max="14079" width="12.109375" style="613" customWidth="1"/>
    <col min="14080" max="14080" width="14.33203125" style="613" customWidth="1"/>
    <col min="14081" max="14081" width="3.44140625" style="613" customWidth="1"/>
    <col min="14082" max="14082" width="17.33203125" style="613" customWidth="1"/>
    <col min="14083" max="14083" width="2.109375" style="613" customWidth="1"/>
    <col min="14084" max="14084" width="7.5546875" style="613" customWidth="1"/>
    <col min="14085" max="14085" width="12.109375" style="613" customWidth="1"/>
    <col min="14086" max="14086" width="14.33203125" style="613" customWidth="1"/>
    <col min="14087" max="14087" width="42.5546875" style="613" customWidth="1"/>
    <col min="14088" max="14331" width="8.88671875" style="613"/>
    <col min="14332" max="14332" width="15.88671875" style="613" customWidth="1"/>
    <col min="14333" max="14333" width="2.109375" style="613" customWidth="1"/>
    <col min="14334" max="14334" width="7.5546875" style="613" customWidth="1"/>
    <col min="14335" max="14335" width="12.109375" style="613" customWidth="1"/>
    <col min="14336" max="14336" width="14.33203125" style="613" customWidth="1"/>
    <col min="14337" max="14337" width="3.44140625" style="613" customWidth="1"/>
    <col min="14338" max="14338" width="17.33203125" style="613" customWidth="1"/>
    <col min="14339" max="14339" width="2.109375" style="613" customWidth="1"/>
    <col min="14340" max="14340" width="7.5546875" style="613" customWidth="1"/>
    <col min="14341" max="14341" width="12.109375" style="613" customWidth="1"/>
    <col min="14342" max="14342" width="14.33203125" style="613" customWidth="1"/>
    <col min="14343" max="14343" width="42.5546875" style="613" customWidth="1"/>
    <col min="14344" max="14587" width="8.88671875" style="613"/>
    <col min="14588" max="14588" width="15.88671875" style="613" customWidth="1"/>
    <col min="14589" max="14589" width="2.109375" style="613" customWidth="1"/>
    <col min="14590" max="14590" width="7.5546875" style="613" customWidth="1"/>
    <col min="14591" max="14591" width="12.109375" style="613" customWidth="1"/>
    <col min="14592" max="14592" width="14.33203125" style="613" customWidth="1"/>
    <col min="14593" max="14593" width="3.44140625" style="613" customWidth="1"/>
    <col min="14594" max="14594" width="17.33203125" style="613" customWidth="1"/>
    <col min="14595" max="14595" width="2.109375" style="613" customWidth="1"/>
    <col min="14596" max="14596" width="7.5546875" style="613" customWidth="1"/>
    <col min="14597" max="14597" width="12.109375" style="613" customWidth="1"/>
    <col min="14598" max="14598" width="14.33203125" style="613" customWidth="1"/>
    <col min="14599" max="14599" width="42.5546875" style="613" customWidth="1"/>
    <col min="14600" max="14843" width="8.88671875" style="613"/>
    <col min="14844" max="14844" width="15.88671875" style="613" customWidth="1"/>
    <col min="14845" max="14845" width="2.109375" style="613" customWidth="1"/>
    <col min="14846" max="14846" width="7.5546875" style="613" customWidth="1"/>
    <col min="14847" max="14847" width="12.109375" style="613" customWidth="1"/>
    <col min="14848" max="14848" width="14.33203125" style="613" customWidth="1"/>
    <col min="14849" max="14849" width="3.44140625" style="613" customWidth="1"/>
    <col min="14850" max="14850" width="17.33203125" style="613" customWidth="1"/>
    <col min="14851" max="14851" width="2.109375" style="613" customWidth="1"/>
    <col min="14852" max="14852" width="7.5546875" style="613" customWidth="1"/>
    <col min="14853" max="14853" width="12.109375" style="613" customWidth="1"/>
    <col min="14854" max="14854" width="14.33203125" style="613" customWidth="1"/>
    <col min="14855" max="14855" width="42.5546875" style="613" customWidth="1"/>
    <col min="14856" max="15099" width="8.88671875" style="613"/>
    <col min="15100" max="15100" width="15.88671875" style="613" customWidth="1"/>
    <col min="15101" max="15101" width="2.109375" style="613" customWidth="1"/>
    <col min="15102" max="15102" width="7.5546875" style="613" customWidth="1"/>
    <col min="15103" max="15103" width="12.109375" style="613" customWidth="1"/>
    <col min="15104" max="15104" width="14.33203125" style="613" customWidth="1"/>
    <col min="15105" max="15105" width="3.44140625" style="613" customWidth="1"/>
    <col min="15106" max="15106" width="17.33203125" style="613" customWidth="1"/>
    <col min="15107" max="15107" width="2.109375" style="613" customWidth="1"/>
    <col min="15108" max="15108" width="7.5546875" style="613" customWidth="1"/>
    <col min="15109" max="15109" width="12.109375" style="613" customWidth="1"/>
    <col min="15110" max="15110" width="14.33203125" style="613" customWidth="1"/>
    <col min="15111" max="15111" width="42.5546875" style="613" customWidth="1"/>
    <col min="15112" max="15355" width="8.88671875" style="613"/>
    <col min="15356" max="15356" width="15.88671875" style="613" customWidth="1"/>
    <col min="15357" max="15357" width="2.109375" style="613" customWidth="1"/>
    <col min="15358" max="15358" width="7.5546875" style="613" customWidth="1"/>
    <col min="15359" max="15359" width="12.109375" style="613" customWidth="1"/>
    <col min="15360" max="15360" width="14.33203125" style="613" customWidth="1"/>
    <col min="15361" max="15361" width="3.44140625" style="613" customWidth="1"/>
    <col min="15362" max="15362" width="17.33203125" style="613" customWidth="1"/>
    <col min="15363" max="15363" width="2.109375" style="613" customWidth="1"/>
    <col min="15364" max="15364" width="7.5546875" style="613" customWidth="1"/>
    <col min="15365" max="15365" width="12.109375" style="613" customWidth="1"/>
    <col min="15366" max="15366" width="14.33203125" style="613" customWidth="1"/>
    <col min="15367" max="15367" width="42.5546875" style="613" customWidth="1"/>
    <col min="15368" max="15611" width="8.88671875" style="613"/>
    <col min="15612" max="15612" width="15.88671875" style="613" customWidth="1"/>
    <col min="15613" max="15613" width="2.109375" style="613" customWidth="1"/>
    <col min="15614" max="15614" width="7.5546875" style="613" customWidth="1"/>
    <col min="15615" max="15615" width="12.109375" style="613" customWidth="1"/>
    <col min="15616" max="15616" width="14.33203125" style="613" customWidth="1"/>
    <col min="15617" max="15617" width="3.44140625" style="613" customWidth="1"/>
    <col min="15618" max="15618" width="17.33203125" style="613" customWidth="1"/>
    <col min="15619" max="15619" width="2.109375" style="613" customWidth="1"/>
    <col min="15620" max="15620" width="7.5546875" style="613" customWidth="1"/>
    <col min="15621" max="15621" width="12.109375" style="613" customWidth="1"/>
    <col min="15622" max="15622" width="14.33203125" style="613" customWidth="1"/>
    <col min="15623" max="15623" width="42.5546875" style="613" customWidth="1"/>
    <col min="15624" max="15867" width="8.88671875" style="613"/>
    <col min="15868" max="15868" width="15.88671875" style="613" customWidth="1"/>
    <col min="15869" max="15869" width="2.109375" style="613" customWidth="1"/>
    <col min="15870" max="15870" width="7.5546875" style="613" customWidth="1"/>
    <col min="15871" max="15871" width="12.109375" style="613" customWidth="1"/>
    <col min="15872" max="15872" width="14.33203125" style="613" customWidth="1"/>
    <col min="15873" max="15873" width="3.44140625" style="613" customWidth="1"/>
    <col min="15874" max="15874" width="17.33203125" style="613" customWidth="1"/>
    <col min="15875" max="15875" width="2.109375" style="613" customWidth="1"/>
    <col min="15876" max="15876" width="7.5546875" style="613" customWidth="1"/>
    <col min="15877" max="15877" width="12.109375" style="613" customWidth="1"/>
    <col min="15878" max="15878" width="14.33203125" style="613" customWidth="1"/>
    <col min="15879" max="15879" width="42.5546875" style="613" customWidth="1"/>
    <col min="15880" max="16123" width="8.88671875" style="613"/>
    <col min="16124" max="16124" width="15.88671875" style="613" customWidth="1"/>
    <col min="16125" max="16125" width="2.109375" style="613" customWidth="1"/>
    <col min="16126" max="16126" width="7.5546875" style="613" customWidth="1"/>
    <col min="16127" max="16127" width="12.109375" style="613" customWidth="1"/>
    <col min="16128" max="16128" width="14.33203125" style="613" customWidth="1"/>
    <col min="16129" max="16129" width="3.44140625" style="613" customWidth="1"/>
    <col min="16130" max="16130" width="17.33203125" style="613" customWidth="1"/>
    <col min="16131" max="16131" width="2.109375" style="613" customWidth="1"/>
    <col min="16132" max="16132" width="7.5546875" style="613" customWidth="1"/>
    <col min="16133" max="16133" width="12.109375" style="613" customWidth="1"/>
    <col min="16134" max="16134" width="14.33203125" style="613" customWidth="1"/>
    <col min="16135" max="16135" width="42.5546875" style="613" customWidth="1"/>
    <col min="16136" max="16384" width="8.88671875" style="613"/>
  </cols>
  <sheetData>
    <row r="1" spans="1:13" x14ac:dyDescent="0.3">
      <c r="A1" s="802" t="s">
        <v>1731</v>
      </c>
      <c r="B1" s="802"/>
      <c r="C1" s="802"/>
      <c r="D1" s="802"/>
      <c r="E1" s="802"/>
      <c r="F1" s="802"/>
      <c r="G1" s="802"/>
      <c r="H1" s="802"/>
      <c r="I1" s="802"/>
      <c r="J1" s="802"/>
      <c r="K1" s="802"/>
      <c r="L1" s="802"/>
      <c r="M1" s="802"/>
    </row>
    <row r="2" spans="1:13" x14ac:dyDescent="0.3">
      <c r="A2" s="802" t="s">
        <v>615</v>
      </c>
      <c r="B2" s="802"/>
      <c r="C2" s="802"/>
      <c r="D2" s="802"/>
      <c r="E2" s="802"/>
      <c r="F2" s="802"/>
      <c r="G2" s="802"/>
      <c r="H2" s="802"/>
      <c r="I2" s="802"/>
      <c r="J2" s="802"/>
      <c r="K2" s="802"/>
      <c r="L2" s="802"/>
      <c r="M2" s="802"/>
    </row>
    <row r="3" spans="1:13" x14ac:dyDescent="0.3">
      <c r="A3" s="802" t="s">
        <v>616</v>
      </c>
      <c r="B3" s="802"/>
      <c r="C3" s="802"/>
      <c r="D3" s="802"/>
      <c r="E3" s="802"/>
      <c r="F3" s="802"/>
      <c r="G3" s="802"/>
      <c r="H3" s="802"/>
      <c r="I3" s="802"/>
      <c r="J3" s="802"/>
      <c r="K3" s="802"/>
      <c r="L3" s="802"/>
    </row>
    <row r="4" spans="1:13" x14ac:dyDescent="0.3">
      <c r="A4" s="802"/>
      <c r="B4" s="802"/>
      <c r="C4" s="803"/>
      <c r="D4" s="804"/>
      <c r="E4" s="804"/>
      <c r="F4" s="802"/>
      <c r="G4" s="180"/>
      <c r="H4" s="180"/>
      <c r="I4" s="180"/>
      <c r="J4" s="180"/>
      <c r="K4" s="180"/>
      <c r="L4" s="180"/>
    </row>
    <row r="5" spans="1:13" x14ac:dyDescent="0.3">
      <c r="A5" s="802"/>
      <c r="B5" s="802"/>
      <c r="C5" s="803"/>
      <c r="D5" s="804" t="s">
        <v>617</v>
      </c>
      <c r="E5" s="804" t="s">
        <v>618</v>
      </c>
      <c r="F5" s="802"/>
      <c r="G5" s="180"/>
      <c r="H5" s="180"/>
      <c r="I5" s="180"/>
      <c r="J5" s="180"/>
      <c r="K5" s="180"/>
      <c r="L5" s="180"/>
      <c r="M5" s="802"/>
    </row>
    <row r="6" spans="1:13" x14ac:dyDescent="0.3">
      <c r="A6" s="802"/>
      <c r="B6" s="802"/>
      <c r="C6" s="803" t="s">
        <v>619</v>
      </c>
      <c r="D6" s="804" t="s">
        <v>620</v>
      </c>
      <c r="E6" s="804" t="s">
        <v>621</v>
      </c>
      <c r="F6" s="802"/>
      <c r="G6" s="180"/>
      <c r="H6" s="180"/>
      <c r="I6" s="180"/>
      <c r="J6" s="180"/>
      <c r="K6" s="180"/>
      <c r="L6" s="180"/>
      <c r="M6" s="802"/>
    </row>
    <row r="7" spans="1:13" x14ac:dyDescent="0.3">
      <c r="A7" s="802" t="s">
        <v>622</v>
      </c>
      <c r="B7" s="802"/>
      <c r="C7" s="803" t="s">
        <v>623</v>
      </c>
      <c r="D7" s="804" t="s">
        <v>624</v>
      </c>
      <c r="E7" s="804" t="s">
        <v>624</v>
      </c>
      <c r="F7" s="802"/>
      <c r="G7" s="180"/>
      <c r="H7" s="180"/>
      <c r="I7" s="180"/>
      <c r="J7" s="180"/>
      <c r="K7" s="180"/>
      <c r="L7" s="180"/>
      <c r="M7" s="802"/>
    </row>
    <row r="8" spans="1:13" hidden="1" x14ac:dyDescent="0.3">
      <c r="A8" s="802" t="s">
        <v>1761</v>
      </c>
      <c r="B8" s="802" t="s">
        <v>1762</v>
      </c>
      <c r="C8" s="805">
        <v>0.66</v>
      </c>
      <c r="D8" s="804">
        <v>2017</v>
      </c>
      <c r="E8" s="804">
        <v>2023</v>
      </c>
      <c r="F8" s="802"/>
      <c r="G8" s="180"/>
      <c r="H8" s="180"/>
      <c r="I8" s="180"/>
      <c r="J8" s="180"/>
      <c r="K8" s="180"/>
      <c r="L8" s="180"/>
    </row>
    <row r="9" spans="1:13" hidden="1" x14ac:dyDescent="0.3">
      <c r="A9" s="802" t="s">
        <v>1763</v>
      </c>
      <c r="B9" s="802" t="s">
        <v>1764</v>
      </c>
      <c r="C9" s="805">
        <v>0.79</v>
      </c>
      <c r="D9" s="804">
        <v>2015</v>
      </c>
      <c r="E9" s="804">
        <v>2023</v>
      </c>
      <c r="F9" s="802"/>
      <c r="G9" s="180"/>
      <c r="H9" s="180"/>
      <c r="I9" s="180"/>
      <c r="J9" s="180"/>
      <c r="K9" s="180"/>
      <c r="L9" s="180"/>
    </row>
    <row r="10" spans="1:13" hidden="1" x14ac:dyDescent="0.3">
      <c r="A10" s="802" t="s">
        <v>1765</v>
      </c>
      <c r="B10" s="802" t="s">
        <v>1766</v>
      </c>
      <c r="C10" s="805">
        <v>0.59699999999999998</v>
      </c>
      <c r="D10" s="804">
        <v>2021</v>
      </c>
      <c r="E10" s="804">
        <v>2027</v>
      </c>
      <c r="F10" s="802"/>
      <c r="G10" s="180"/>
      <c r="H10" s="180"/>
      <c r="I10" s="180"/>
      <c r="J10" s="180"/>
      <c r="K10" s="180"/>
      <c r="L10" s="180"/>
      <c r="M10" s="802"/>
    </row>
    <row r="11" spans="1:13" hidden="1" x14ac:dyDescent="0.3">
      <c r="A11" s="802" t="s">
        <v>1767</v>
      </c>
      <c r="B11" s="802" t="s">
        <v>478</v>
      </c>
      <c r="C11" s="805">
        <v>0.77700000000000002</v>
      </c>
      <c r="D11" s="804">
        <v>2018</v>
      </c>
      <c r="E11" s="804">
        <v>2026</v>
      </c>
      <c r="F11" s="802"/>
      <c r="G11" s="180"/>
      <c r="H11" s="180"/>
      <c r="I11" s="180"/>
      <c r="J11" s="180"/>
      <c r="K11" s="180"/>
      <c r="L11" s="180"/>
      <c r="M11" s="802"/>
    </row>
    <row r="12" spans="1:13" hidden="1" x14ac:dyDescent="0.3">
      <c r="A12" s="802" t="s">
        <v>1768</v>
      </c>
      <c r="B12" s="802" t="s">
        <v>1769</v>
      </c>
      <c r="C12" s="805">
        <v>0.51</v>
      </c>
      <c r="D12" s="804">
        <v>2019</v>
      </c>
      <c r="E12" s="804">
        <v>2023</v>
      </c>
      <c r="F12" s="802"/>
      <c r="G12" s="180"/>
      <c r="H12" s="180"/>
      <c r="I12" s="180"/>
      <c r="J12" s="180"/>
      <c r="K12" s="180"/>
      <c r="L12" s="180"/>
      <c r="M12" s="802"/>
    </row>
    <row r="13" spans="1:13" hidden="1" x14ac:dyDescent="0.3">
      <c r="A13" s="802" t="s">
        <v>1770</v>
      </c>
      <c r="B13" s="802" t="s">
        <v>1771</v>
      </c>
      <c r="C13" s="805">
        <v>0.55000000000000004</v>
      </c>
      <c r="D13" s="804">
        <v>2018</v>
      </c>
      <c r="E13" s="804">
        <v>2022</v>
      </c>
      <c r="F13" s="802"/>
      <c r="G13" s="180"/>
      <c r="H13" s="180"/>
      <c r="I13" s="180"/>
      <c r="J13" s="180"/>
      <c r="K13" s="180"/>
      <c r="L13" s="180"/>
      <c r="M13" s="802"/>
    </row>
    <row r="14" spans="1:13" hidden="1" x14ac:dyDescent="0.3">
      <c r="A14" s="802" t="s">
        <v>1772</v>
      </c>
      <c r="B14" s="802" t="s">
        <v>1773</v>
      </c>
      <c r="C14" s="805">
        <v>0.625</v>
      </c>
      <c r="D14" s="804">
        <v>2018</v>
      </c>
      <c r="E14" s="804">
        <v>2026</v>
      </c>
      <c r="F14" s="802"/>
      <c r="G14" s="180"/>
      <c r="H14" s="180"/>
      <c r="I14" s="180"/>
      <c r="J14" s="180"/>
      <c r="K14" s="180"/>
      <c r="L14" s="180"/>
      <c r="M14" s="802"/>
    </row>
    <row r="15" spans="1:13" hidden="1" x14ac:dyDescent="0.3">
      <c r="A15" s="802" t="s">
        <v>1774</v>
      </c>
      <c r="B15" s="802" t="s">
        <v>484</v>
      </c>
      <c r="C15" s="805">
        <v>0.86499999999999999</v>
      </c>
      <c r="D15" s="804">
        <v>2020</v>
      </c>
      <c r="E15" s="804">
        <v>2028</v>
      </c>
      <c r="F15" s="802"/>
      <c r="G15" s="180"/>
      <c r="H15" s="180"/>
      <c r="I15" s="180"/>
      <c r="J15" s="180"/>
      <c r="K15" s="180"/>
      <c r="L15" s="180"/>
      <c r="M15" s="802"/>
    </row>
    <row r="16" spans="1:13" hidden="1" x14ac:dyDescent="0.3">
      <c r="A16" s="802" t="s">
        <v>1775</v>
      </c>
      <c r="B16" s="802" t="s">
        <v>1776</v>
      </c>
      <c r="C16" s="805">
        <v>0.82</v>
      </c>
      <c r="D16" s="804">
        <v>2015</v>
      </c>
      <c r="E16" s="804">
        <v>2022</v>
      </c>
      <c r="F16" s="802"/>
      <c r="G16" s="180"/>
      <c r="H16" s="180"/>
      <c r="I16" s="180"/>
      <c r="J16" s="180"/>
      <c r="K16" s="180"/>
      <c r="L16" s="180"/>
      <c r="M16" s="802"/>
    </row>
    <row r="17" spans="1:13" hidden="1" x14ac:dyDescent="0.3">
      <c r="A17" s="802" t="s">
        <v>1777</v>
      </c>
      <c r="B17" s="802" t="s">
        <v>1778</v>
      </c>
      <c r="C17" s="805">
        <v>0.48499999999999999</v>
      </c>
      <c r="D17" s="804">
        <v>2019</v>
      </c>
      <c r="E17" s="804">
        <v>2023</v>
      </c>
      <c r="F17" s="802"/>
      <c r="G17" s="180"/>
      <c r="H17" s="180"/>
      <c r="I17" s="180"/>
      <c r="J17" s="180"/>
      <c r="K17" s="180"/>
      <c r="L17" s="180"/>
      <c r="M17" s="802"/>
    </row>
    <row r="18" spans="1:13" hidden="1" x14ac:dyDescent="0.3">
      <c r="A18" s="802" t="s">
        <v>1779</v>
      </c>
      <c r="B18" s="802" t="s">
        <v>1780</v>
      </c>
      <c r="C18" s="805">
        <v>0.48799999999999999</v>
      </c>
      <c r="D18" s="804">
        <v>2021</v>
      </c>
      <c r="E18" s="804">
        <v>2025</v>
      </c>
      <c r="F18" s="802"/>
      <c r="G18" s="180"/>
      <c r="H18" s="180"/>
      <c r="I18" s="180"/>
      <c r="J18" s="180"/>
      <c r="K18" s="180"/>
      <c r="L18" s="180"/>
      <c r="M18" s="802"/>
    </row>
    <row r="19" spans="1:13" hidden="1" x14ac:dyDescent="0.3">
      <c r="A19" s="802" t="s">
        <v>1781</v>
      </c>
      <c r="B19" s="802" t="s">
        <v>1782</v>
      </c>
      <c r="C19" s="805">
        <v>0.69499999999999995</v>
      </c>
      <c r="D19" s="804">
        <v>2019</v>
      </c>
      <c r="E19" s="804">
        <v>2023</v>
      </c>
      <c r="F19" s="802"/>
      <c r="G19" s="180"/>
      <c r="H19" s="180"/>
      <c r="I19" s="180"/>
      <c r="J19" s="180"/>
      <c r="K19" s="180"/>
      <c r="L19" s="180"/>
      <c r="M19" s="802"/>
    </row>
    <row r="20" spans="1:13" x14ac:dyDescent="0.3">
      <c r="A20" s="802" t="s">
        <v>1732</v>
      </c>
      <c r="B20" s="802" t="s">
        <v>1733</v>
      </c>
      <c r="C20" s="805">
        <v>0.74</v>
      </c>
      <c r="D20" s="804">
        <v>2020</v>
      </c>
      <c r="E20" s="804">
        <v>2024</v>
      </c>
      <c r="F20" s="802"/>
      <c r="G20" s="180"/>
      <c r="H20" s="180"/>
      <c r="I20" s="180"/>
      <c r="J20" s="180"/>
      <c r="K20" s="180"/>
      <c r="L20" s="180"/>
      <c r="M20" s="802"/>
    </row>
    <row r="21" spans="1:13" hidden="1" x14ac:dyDescent="0.3">
      <c r="A21" s="802" t="s">
        <v>1783</v>
      </c>
      <c r="B21" s="802" t="s">
        <v>1784</v>
      </c>
      <c r="C21" s="805">
        <v>0.63</v>
      </c>
      <c r="D21" s="804">
        <v>2021</v>
      </c>
      <c r="E21" s="804">
        <v>2029</v>
      </c>
      <c r="F21" s="802"/>
      <c r="G21" s="180"/>
      <c r="H21" s="180"/>
      <c r="I21" s="180"/>
      <c r="J21" s="180"/>
      <c r="K21" s="180"/>
      <c r="L21" s="180"/>
      <c r="M21" s="802"/>
    </row>
    <row r="22" spans="1:13" hidden="1" x14ac:dyDescent="0.3">
      <c r="A22" s="802" t="s">
        <v>1785</v>
      </c>
      <c r="B22" s="802" t="s">
        <v>1786</v>
      </c>
      <c r="C22" s="805">
        <v>0.87</v>
      </c>
      <c r="D22" s="804">
        <v>2015</v>
      </c>
      <c r="E22" s="804">
        <v>2023</v>
      </c>
      <c r="F22" s="802"/>
      <c r="G22" s="180"/>
      <c r="H22" s="180"/>
      <c r="I22" s="180"/>
      <c r="J22" s="180"/>
      <c r="K22" s="180"/>
      <c r="L22" s="180"/>
      <c r="M22" s="802"/>
    </row>
    <row r="23" spans="1:13" x14ac:dyDescent="0.3">
      <c r="A23" s="802" t="s">
        <v>1734</v>
      </c>
      <c r="B23" s="802" t="s">
        <v>1735</v>
      </c>
      <c r="C23" s="805">
        <v>0.33</v>
      </c>
      <c r="D23" s="804">
        <v>2020</v>
      </c>
      <c r="E23" s="804">
        <v>2024</v>
      </c>
      <c r="F23" s="802"/>
      <c r="G23" s="180"/>
      <c r="H23" s="180"/>
      <c r="I23" s="180"/>
      <c r="J23" s="180"/>
      <c r="K23" s="180"/>
      <c r="L23" s="180"/>
      <c r="M23" s="802"/>
    </row>
    <row r="24" spans="1:13" hidden="1" x14ac:dyDescent="0.3">
      <c r="A24" s="802" t="s">
        <v>1787</v>
      </c>
      <c r="B24" s="802" t="s">
        <v>858</v>
      </c>
      <c r="C24" s="805">
        <v>0.73499999999999999</v>
      </c>
      <c r="D24" s="804">
        <v>2016</v>
      </c>
      <c r="E24" s="804">
        <v>2023</v>
      </c>
      <c r="F24" s="802"/>
      <c r="G24" s="180"/>
      <c r="H24" s="180"/>
      <c r="I24" s="180"/>
      <c r="J24" s="180"/>
      <c r="K24" s="180"/>
      <c r="L24" s="180"/>
      <c r="M24" s="802"/>
    </row>
    <row r="25" spans="1:13" hidden="1" x14ac:dyDescent="0.3">
      <c r="A25" s="802" t="s">
        <v>1788</v>
      </c>
      <c r="B25" s="802" t="s">
        <v>1789</v>
      </c>
      <c r="C25" s="805">
        <v>0.57499999999999996</v>
      </c>
      <c r="D25" s="804">
        <v>2019</v>
      </c>
      <c r="E25" s="804">
        <v>2023</v>
      </c>
      <c r="F25" s="802"/>
      <c r="G25" s="180"/>
      <c r="H25" s="180"/>
      <c r="I25" s="180"/>
      <c r="J25" s="180"/>
      <c r="K25" s="180"/>
      <c r="L25" s="180"/>
      <c r="M25" s="802"/>
    </row>
    <row r="26" spans="1:13" hidden="1" x14ac:dyDescent="0.3">
      <c r="A26" s="802" t="s">
        <v>1790</v>
      </c>
      <c r="B26" s="802" t="s">
        <v>1791</v>
      </c>
      <c r="C26" s="805">
        <v>0.66500000000000004</v>
      </c>
      <c r="D26" s="804">
        <v>2021</v>
      </c>
      <c r="E26" s="804">
        <v>2025</v>
      </c>
      <c r="F26" s="802"/>
      <c r="G26" s="180"/>
      <c r="H26" s="180"/>
      <c r="I26" s="180"/>
      <c r="J26" s="180"/>
      <c r="K26" s="180"/>
      <c r="L26" s="180"/>
      <c r="M26" s="802"/>
    </row>
    <row r="27" spans="1:13" hidden="1" x14ac:dyDescent="0.3">
      <c r="A27" s="802" t="s">
        <v>1792</v>
      </c>
      <c r="B27" s="802" t="s">
        <v>859</v>
      </c>
      <c r="C27" s="805">
        <v>0.5</v>
      </c>
      <c r="D27" s="804">
        <v>2020</v>
      </c>
      <c r="E27" s="804">
        <v>2028</v>
      </c>
      <c r="F27" s="802"/>
      <c r="G27" s="180"/>
      <c r="H27" s="180"/>
      <c r="I27" s="180"/>
      <c r="J27" s="180"/>
      <c r="K27" s="180"/>
      <c r="L27" s="180"/>
      <c r="M27" s="802"/>
    </row>
    <row r="28" spans="1:13" hidden="1" x14ac:dyDescent="0.3">
      <c r="A28" s="802" t="s">
        <v>1793</v>
      </c>
      <c r="B28" s="802" t="s">
        <v>1794</v>
      </c>
      <c r="C28" s="805">
        <v>0.755</v>
      </c>
      <c r="D28" s="804">
        <v>2014</v>
      </c>
      <c r="E28" s="804">
        <v>2022</v>
      </c>
      <c r="G28" s="180"/>
      <c r="H28" s="180"/>
      <c r="I28" s="180"/>
      <c r="J28" s="180"/>
      <c r="K28" s="180"/>
      <c r="L28" s="180"/>
      <c r="M28" s="802"/>
    </row>
    <row r="29" spans="1:13" hidden="1" x14ac:dyDescent="0.3">
      <c r="A29" s="802" t="s">
        <v>1795</v>
      </c>
      <c r="B29" s="802" t="s">
        <v>1796</v>
      </c>
      <c r="C29" s="805">
        <v>0.43</v>
      </c>
      <c r="D29" s="804">
        <v>2018</v>
      </c>
      <c r="E29" s="804">
        <v>2026</v>
      </c>
      <c r="G29" s="180"/>
      <c r="H29" s="180"/>
      <c r="I29" s="180"/>
      <c r="J29" s="180"/>
      <c r="K29" s="180"/>
      <c r="L29" s="180"/>
      <c r="M29" s="802"/>
    </row>
    <row r="30" spans="1:13" hidden="1" x14ac:dyDescent="0.3">
      <c r="A30" s="802" t="s">
        <v>1797</v>
      </c>
      <c r="B30" s="802" t="s">
        <v>1798</v>
      </c>
      <c r="C30" s="805">
        <v>0.6875</v>
      </c>
      <c r="D30" s="804">
        <v>2021</v>
      </c>
      <c r="E30" s="804">
        <v>2025</v>
      </c>
      <c r="F30" s="802"/>
      <c r="G30" s="180"/>
      <c r="H30" s="180"/>
      <c r="I30" s="180"/>
      <c r="J30" s="180"/>
      <c r="K30" s="180"/>
      <c r="L30" s="180"/>
      <c r="M30" s="802"/>
    </row>
    <row r="31" spans="1:13" hidden="1" x14ac:dyDescent="0.3">
      <c r="A31" s="802" t="s">
        <v>1799</v>
      </c>
      <c r="B31" s="802" t="s">
        <v>860</v>
      </c>
      <c r="C31" s="805">
        <v>0.80500000000000005</v>
      </c>
      <c r="D31" s="804">
        <v>2021</v>
      </c>
      <c r="E31" s="804">
        <v>2029</v>
      </c>
      <c r="F31" s="802"/>
      <c r="G31" s="180"/>
      <c r="H31" s="180"/>
      <c r="I31" s="180"/>
      <c r="J31" s="180"/>
      <c r="K31" s="180"/>
      <c r="L31" s="180"/>
      <c r="M31" s="802"/>
    </row>
    <row r="32" spans="1:13" hidden="1" x14ac:dyDescent="0.3">
      <c r="A32" s="802" t="s">
        <v>1800</v>
      </c>
      <c r="B32" s="802" t="s">
        <v>1801</v>
      </c>
      <c r="C32" s="805">
        <v>0.56000000000000005</v>
      </c>
      <c r="D32" s="804">
        <v>2016</v>
      </c>
      <c r="E32" s="804">
        <v>2023</v>
      </c>
      <c r="F32" s="802"/>
      <c r="G32" s="180"/>
      <c r="H32" s="180"/>
      <c r="I32" s="180"/>
      <c r="J32" s="180"/>
      <c r="K32" s="180"/>
      <c r="L32" s="180"/>
      <c r="M32" s="802"/>
    </row>
    <row r="33" spans="1:13" hidden="1" x14ac:dyDescent="0.3">
      <c r="A33" s="802" t="s">
        <v>1802</v>
      </c>
      <c r="B33" s="802" t="s">
        <v>1803</v>
      </c>
      <c r="C33" s="805">
        <v>0.79900000000000004</v>
      </c>
      <c r="D33" s="804">
        <v>2017</v>
      </c>
      <c r="E33" s="804">
        <v>2025</v>
      </c>
      <c r="F33" s="802"/>
      <c r="G33" s="180"/>
      <c r="H33" s="180"/>
      <c r="I33" s="180"/>
      <c r="J33" s="180"/>
      <c r="K33" s="180"/>
      <c r="L33" s="180"/>
      <c r="M33" s="802"/>
    </row>
    <row r="34" spans="1:13" hidden="1" x14ac:dyDescent="0.3">
      <c r="A34" s="802" t="s">
        <v>1804</v>
      </c>
      <c r="B34" s="802" t="s">
        <v>1805</v>
      </c>
      <c r="C34" s="805">
        <v>0.46</v>
      </c>
      <c r="D34" s="804">
        <v>2021</v>
      </c>
      <c r="E34" s="804">
        <v>2029</v>
      </c>
      <c r="F34" s="802"/>
      <c r="G34" s="180"/>
      <c r="H34" s="180"/>
      <c r="I34" s="180"/>
      <c r="J34" s="180"/>
      <c r="K34" s="180"/>
      <c r="L34" s="180"/>
      <c r="M34" s="802"/>
    </row>
    <row r="35" spans="1:13" hidden="1" x14ac:dyDescent="0.3">
      <c r="A35" s="802" t="s">
        <v>1806</v>
      </c>
      <c r="B35" s="802" t="s">
        <v>1807</v>
      </c>
      <c r="C35" s="805">
        <v>0.40050000000000002</v>
      </c>
      <c r="D35" s="804">
        <v>2020</v>
      </c>
      <c r="E35" s="804">
        <v>2025</v>
      </c>
      <c r="F35" s="802"/>
      <c r="G35" s="180"/>
      <c r="H35" s="180"/>
      <c r="I35" s="180"/>
      <c r="J35" s="180"/>
      <c r="K35" s="180"/>
      <c r="L35" s="180"/>
      <c r="M35" s="802"/>
    </row>
    <row r="36" spans="1:13" hidden="1" x14ac:dyDescent="0.3">
      <c r="A36" s="802" t="s">
        <v>1808</v>
      </c>
      <c r="B36" s="802" t="s">
        <v>1809</v>
      </c>
      <c r="C36" s="805">
        <v>0.54</v>
      </c>
      <c r="D36" s="804">
        <v>2021</v>
      </c>
      <c r="E36" s="804">
        <v>2027</v>
      </c>
      <c r="F36" s="802"/>
      <c r="G36" s="180"/>
      <c r="H36" s="180"/>
      <c r="I36" s="180"/>
      <c r="J36" s="180"/>
      <c r="K36" s="180"/>
      <c r="L36" s="180"/>
      <c r="M36" s="802"/>
    </row>
    <row r="37" spans="1:13" hidden="1" x14ac:dyDescent="0.3">
      <c r="A37" s="802" t="s">
        <v>1810</v>
      </c>
      <c r="B37" s="802" t="s">
        <v>1811</v>
      </c>
      <c r="C37" s="805">
        <v>0.73299999999999998</v>
      </c>
      <c r="D37" s="804">
        <v>2021</v>
      </c>
      <c r="E37" s="804">
        <v>2025</v>
      </c>
      <c r="F37" s="802"/>
      <c r="G37" s="180"/>
      <c r="H37" s="180"/>
      <c r="I37" s="180"/>
      <c r="J37" s="180"/>
      <c r="K37" s="180"/>
      <c r="L37" s="180"/>
      <c r="M37" s="802"/>
    </row>
    <row r="38" spans="1:13" hidden="1" x14ac:dyDescent="0.3">
      <c r="A38" s="802" t="s">
        <v>1812</v>
      </c>
      <c r="B38" s="802" t="s">
        <v>1813</v>
      </c>
      <c r="C38" s="805">
        <v>0.73499999999999999</v>
      </c>
      <c r="D38" s="804">
        <v>2017</v>
      </c>
      <c r="E38" s="804">
        <v>2022</v>
      </c>
      <c r="F38" s="802"/>
      <c r="G38" s="180"/>
      <c r="H38" s="180"/>
      <c r="I38" s="180"/>
      <c r="J38" s="180"/>
      <c r="K38" s="180"/>
      <c r="L38" s="180"/>
      <c r="M38" s="802"/>
    </row>
    <row r="39" spans="1:13" hidden="1" x14ac:dyDescent="0.3">
      <c r="A39" s="802" t="s">
        <v>1814</v>
      </c>
      <c r="B39" s="802" t="s">
        <v>1815</v>
      </c>
      <c r="C39" s="805">
        <v>0.72219999999999995</v>
      </c>
      <c r="D39" s="804">
        <v>2019</v>
      </c>
      <c r="E39" s="804">
        <v>2026</v>
      </c>
      <c r="F39" s="802"/>
      <c r="G39" s="180"/>
      <c r="H39" s="180"/>
      <c r="I39" s="180"/>
      <c r="J39" s="180"/>
      <c r="K39" s="180"/>
      <c r="L39" s="180"/>
      <c r="M39" s="802"/>
    </row>
    <row r="40" spans="1:13" x14ac:dyDescent="0.3">
      <c r="A40" s="802" t="s">
        <v>1736</v>
      </c>
      <c r="B40" s="802" t="s">
        <v>501</v>
      </c>
      <c r="C40" s="805">
        <v>0.95</v>
      </c>
      <c r="D40" s="804">
        <v>2017</v>
      </c>
      <c r="E40" s="804">
        <v>2024</v>
      </c>
      <c r="F40" s="802"/>
      <c r="G40" s="180"/>
      <c r="H40" s="180"/>
      <c r="I40" s="180"/>
      <c r="J40" s="180"/>
      <c r="K40" s="180"/>
      <c r="L40" s="180"/>
      <c r="M40" s="802"/>
    </row>
    <row r="41" spans="1:13" hidden="1" x14ac:dyDescent="0.3">
      <c r="A41" s="802" t="s">
        <v>1816</v>
      </c>
      <c r="B41" s="802" t="s">
        <v>1817</v>
      </c>
      <c r="C41" s="805">
        <v>0.67779999999999996</v>
      </c>
      <c r="D41" s="804">
        <v>2021</v>
      </c>
      <c r="E41" s="804">
        <v>2025</v>
      </c>
      <c r="F41" s="802"/>
      <c r="G41" s="180"/>
      <c r="H41" s="180"/>
      <c r="I41" s="180"/>
      <c r="J41" s="180"/>
      <c r="K41" s="180"/>
      <c r="L41" s="180"/>
      <c r="M41" s="802"/>
    </row>
    <row r="42" spans="1:13" x14ac:dyDescent="0.3">
      <c r="A42" s="802" t="s">
        <v>1737</v>
      </c>
      <c r="B42" s="802" t="s">
        <v>1738</v>
      </c>
      <c r="C42" s="805">
        <v>0.79500000000000004</v>
      </c>
      <c r="D42" s="804">
        <v>2018</v>
      </c>
      <c r="E42" s="804">
        <v>2024</v>
      </c>
      <c r="F42" s="802"/>
      <c r="G42" s="180"/>
      <c r="H42" s="180"/>
      <c r="I42" s="180"/>
      <c r="J42" s="180"/>
      <c r="K42" s="180"/>
      <c r="L42" s="180"/>
      <c r="M42" s="802"/>
    </row>
    <row r="43" spans="1:13" hidden="1" x14ac:dyDescent="0.3">
      <c r="A43" s="802" t="s">
        <v>1818</v>
      </c>
      <c r="B43" s="802" t="s">
        <v>1819</v>
      </c>
      <c r="C43" s="805">
        <v>0.83</v>
      </c>
      <c r="D43" s="804">
        <v>2019</v>
      </c>
      <c r="E43" s="804">
        <v>2023</v>
      </c>
      <c r="F43" s="802"/>
      <c r="G43" s="180"/>
      <c r="H43" s="180"/>
      <c r="I43" s="180"/>
      <c r="J43" s="180"/>
      <c r="K43" s="180"/>
      <c r="L43" s="180"/>
      <c r="M43" s="802"/>
    </row>
    <row r="44" spans="1:13" hidden="1" x14ac:dyDescent="0.3">
      <c r="A44" s="802" t="s">
        <v>1820</v>
      </c>
      <c r="B44" s="802" t="s">
        <v>1821</v>
      </c>
      <c r="C44" s="805">
        <v>0.79</v>
      </c>
      <c r="D44" s="804">
        <v>2017</v>
      </c>
      <c r="E44" s="804">
        <v>2025</v>
      </c>
      <c r="F44" s="802"/>
      <c r="G44" s="180"/>
      <c r="H44" s="180"/>
      <c r="I44" s="180"/>
      <c r="J44" s="180"/>
      <c r="K44" s="180"/>
      <c r="L44" s="180"/>
      <c r="M44" s="802"/>
    </row>
    <row r="45" spans="1:13" hidden="1" x14ac:dyDescent="0.3">
      <c r="A45" s="802" t="s">
        <v>1822</v>
      </c>
      <c r="B45" s="802" t="s">
        <v>1823</v>
      </c>
      <c r="C45" s="805">
        <v>0.65</v>
      </c>
      <c r="D45" s="804">
        <v>2019</v>
      </c>
      <c r="E45" s="804">
        <v>2023</v>
      </c>
      <c r="F45" s="802"/>
      <c r="G45" s="180"/>
      <c r="H45" s="180"/>
      <c r="I45" s="180"/>
      <c r="J45" s="180"/>
      <c r="K45" s="180"/>
      <c r="L45" s="180"/>
      <c r="M45" s="802"/>
    </row>
    <row r="46" spans="1:13" x14ac:dyDescent="0.3">
      <c r="A46" s="802" t="s">
        <v>1739</v>
      </c>
      <c r="B46" s="802" t="s">
        <v>1740</v>
      </c>
      <c r="C46" s="805">
        <v>0.84</v>
      </c>
      <c r="D46" s="804">
        <v>2018</v>
      </c>
      <c r="E46" s="804">
        <v>2024</v>
      </c>
      <c r="F46" s="802"/>
      <c r="G46" s="180"/>
      <c r="H46" s="180"/>
      <c r="I46" s="180"/>
      <c r="J46" s="180"/>
      <c r="K46" s="180"/>
      <c r="L46" s="180"/>
      <c r="M46" s="802"/>
    </row>
    <row r="47" spans="1:13" hidden="1" x14ac:dyDescent="0.3">
      <c r="A47" s="802" t="s">
        <v>1824</v>
      </c>
      <c r="B47" s="802" t="s">
        <v>1825</v>
      </c>
      <c r="C47" s="805">
        <v>0.78600000000000003</v>
      </c>
      <c r="D47" s="804">
        <v>2021</v>
      </c>
      <c r="E47" s="804">
        <v>2029</v>
      </c>
      <c r="F47" s="802"/>
      <c r="G47" s="180"/>
      <c r="H47" s="180"/>
      <c r="I47" s="180"/>
      <c r="J47" s="180"/>
      <c r="K47" s="180"/>
      <c r="L47" s="180"/>
      <c r="M47" s="802"/>
    </row>
    <row r="48" spans="1:13" hidden="1" x14ac:dyDescent="0.3">
      <c r="A48" s="802" t="s">
        <v>1826</v>
      </c>
      <c r="B48" s="802" t="s">
        <v>1827</v>
      </c>
      <c r="C48" s="805">
        <v>0.73050000000000004</v>
      </c>
      <c r="D48" s="804">
        <v>2017</v>
      </c>
      <c r="E48" s="804">
        <v>2022</v>
      </c>
      <c r="F48" s="802"/>
      <c r="G48" s="180"/>
      <c r="H48" s="180"/>
      <c r="I48" s="180"/>
      <c r="J48" s="180"/>
      <c r="K48" s="180"/>
      <c r="L48" s="180"/>
      <c r="M48" s="802"/>
    </row>
    <row r="49" spans="1:13" x14ac:dyDescent="0.3">
      <c r="A49" s="802" t="s">
        <v>1741</v>
      </c>
      <c r="B49" s="802" t="s">
        <v>1742</v>
      </c>
      <c r="C49" s="805">
        <v>0.76</v>
      </c>
      <c r="D49" s="804">
        <v>2020</v>
      </c>
      <c r="E49" s="804">
        <v>2024</v>
      </c>
      <c r="F49" s="802"/>
      <c r="G49" s="180"/>
      <c r="H49" s="180"/>
      <c r="I49" s="180"/>
      <c r="J49" s="180"/>
      <c r="K49" s="180"/>
      <c r="L49" s="180"/>
      <c r="M49" s="802"/>
    </row>
    <row r="50" spans="1:13" hidden="1" x14ac:dyDescent="0.3">
      <c r="A50" s="802" t="s">
        <v>1828</v>
      </c>
      <c r="B50" s="802" t="s">
        <v>1829</v>
      </c>
      <c r="C50" s="805">
        <v>0.75</v>
      </c>
      <c r="D50" s="804">
        <v>2017</v>
      </c>
      <c r="E50" s="804">
        <v>2022</v>
      </c>
      <c r="F50" s="802"/>
      <c r="G50" s="180"/>
      <c r="H50" s="180"/>
      <c r="I50" s="180"/>
      <c r="J50" s="180"/>
      <c r="K50" s="180"/>
      <c r="L50" s="180"/>
      <c r="M50" s="802"/>
    </row>
    <row r="51" spans="1:13" hidden="1" x14ac:dyDescent="0.3">
      <c r="A51" s="802" t="s">
        <v>1830</v>
      </c>
      <c r="B51" s="802" t="s">
        <v>1831</v>
      </c>
      <c r="C51" s="805">
        <v>0.53500000000000003</v>
      </c>
      <c r="D51" s="804">
        <v>2021</v>
      </c>
      <c r="E51" s="804">
        <v>2025</v>
      </c>
      <c r="F51" s="802"/>
      <c r="G51" s="180"/>
      <c r="H51" s="180"/>
      <c r="I51" s="180"/>
      <c r="J51" s="180"/>
      <c r="K51" s="180"/>
      <c r="L51" s="180"/>
      <c r="M51" s="802"/>
    </row>
    <row r="52" spans="1:13" hidden="1" x14ac:dyDescent="0.3">
      <c r="A52" s="802" t="s">
        <v>1832</v>
      </c>
      <c r="B52" s="802" t="s">
        <v>1833</v>
      </c>
      <c r="C52" s="805">
        <v>0.56100000000000005</v>
      </c>
      <c r="D52" s="804">
        <v>2019</v>
      </c>
      <c r="E52" s="804">
        <v>2023</v>
      </c>
      <c r="F52" s="802"/>
      <c r="G52" s="180"/>
      <c r="H52" s="180"/>
      <c r="I52" s="180"/>
      <c r="J52" s="180"/>
      <c r="K52" s="180"/>
      <c r="L52" s="180"/>
      <c r="M52" s="802"/>
    </row>
    <row r="53" spans="1:13" hidden="1" x14ac:dyDescent="0.3">
      <c r="A53" s="802" t="s">
        <v>1834</v>
      </c>
      <c r="B53" s="802" t="s">
        <v>1835</v>
      </c>
      <c r="C53" s="805">
        <v>0.84</v>
      </c>
      <c r="D53" s="804">
        <v>2019</v>
      </c>
      <c r="E53" s="804">
        <v>2027</v>
      </c>
      <c r="F53" s="802"/>
      <c r="G53" s="180"/>
      <c r="H53" s="180"/>
      <c r="I53" s="180"/>
      <c r="J53" s="180"/>
      <c r="K53" s="180"/>
      <c r="L53" s="180"/>
      <c r="M53" s="802"/>
    </row>
    <row r="54" spans="1:13" hidden="1" x14ac:dyDescent="0.3">
      <c r="A54" s="802" t="s">
        <v>1836</v>
      </c>
      <c r="B54" s="802" t="s">
        <v>1837</v>
      </c>
      <c r="C54" s="805">
        <v>0.75</v>
      </c>
      <c r="D54" s="804">
        <v>2014</v>
      </c>
      <c r="E54" s="804">
        <v>2022</v>
      </c>
      <c r="F54" s="802"/>
      <c r="G54" s="180"/>
      <c r="H54" s="180"/>
      <c r="I54" s="180"/>
      <c r="J54" s="180"/>
      <c r="K54" s="180"/>
      <c r="L54" s="180"/>
      <c r="M54" s="802"/>
    </row>
    <row r="55" spans="1:13" hidden="1" x14ac:dyDescent="0.3">
      <c r="A55" s="802" t="s">
        <v>1838</v>
      </c>
      <c r="B55" s="802" t="s">
        <v>523</v>
      </c>
      <c r="C55" s="805">
        <v>0.79500000000000004</v>
      </c>
      <c r="D55" s="804">
        <v>2017</v>
      </c>
      <c r="E55" s="804">
        <v>2023</v>
      </c>
      <c r="F55" s="802"/>
      <c r="G55" s="180"/>
      <c r="H55" s="180"/>
      <c r="I55" s="180"/>
      <c r="J55" s="180"/>
      <c r="K55" s="180"/>
      <c r="L55" s="180"/>
      <c r="M55" s="802"/>
    </row>
    <row r="56" spans="1:13" hidden="1" x14ac:dyDescent="0.3">
      <c r="A56" s="802" t="s">
        <v>1839</v>
      </c>
      <c r="B56" s="802" t="s">
        <v>1840</v>
      </c>
      <c r="C56" s="805">
        <v>0.53749999999999998</v>
      </c>
      <c r="D56" s="804">
        <v>2019</v>
      </c>
      <c r="E56" s="804">
        <v>2023</v>
      </c>
      <c r="F56" s="802"/>
      <c r="G56" s="180"/>
      <c r="H56" s="180"/>
      <c r="I56" s="180"/>
      <c r="J56" s="180"/>
      <c r="K56" s="180"/>
      <c r="L56" s="180"/>
      <c r="M56" s="802"/>
    </row>
    <row r="57" spans="1:13" hidden="1" x14ac:dyDescent="0.3">
      <c r="A57" s="802" t="s">
        <v>1841</v>
      </c>
      <c r="B57" s="802" t="s">
        <v>1842</v>
      </c>
      <c r="C57" s="805">
        <v>0.36</v>
      </c>
      <c r="D57" s="804">
        <v>2021</v>
      </c>
      <c r="E57" s="804">
        <v>2025</v>
      </c>
      <c r="F57" s="802"/>
      <c r="G57" s="180"/>
      <c r="H57" s="180"/>
      <c r="I57" s="180"/>
      <c r="J57" s="180"/>
      <c r="K57" s="180"/>
      <c r="L57" s="180"/>
      <c r="M57" s="802"/>
    </row>
    <row r="58" spans="1:13" hidden="1" x14ac:dyDescent="0.3">
      <c r="A58" s="802" t="s">
        <v>1843</v>
      </c>
      <c r="B58" s="802" t="s">
        <v>1844</v>
      </c>
      <c r="C58" s="803">
        <v>0.73</v>
      </c>
      <c r="D58" s="804">
        <v>2019</v>
      </c>
      <c r="E58" s="804">
        <v>2025</v>
      </c>
      <c r="F58" s="802"/>
      <c r="G58" s="180"/>
      <c r="H58" s="180"/>
      <c r="I58" s="180"/>
      <c r="J58" s="180"/>
      <c r="K58" s="180"/>
      <c r="L58" s="180"/>
      <c r="M58" s="802"/>
    </row>
    <row r="59" spans="1:13" hidden="1" x14ac:dyDescent="0.3">
      <c r="A59" s="802" t="s">
        <v>1845</v>
      </c>
      <c r="B59" s="802" t="s">
        <v>1846</v>
      </c>
      <c r="C59" s="803">
        <v>0.75</v>
      </c>
      <c r="D59" s="804">
        <v>2014</v>
      </c>
      <c r="E59" s="804">
        <v>2022</v>
      </c>
      <c r="F59" s="802"/>
      <c r="G59" s="180"/>
      <c r="H59" s="180"/>
      <c r="I59" s="180"/>
      <c r="J59" s="180"/>
      <c r="K59" s="180"/>
      <c r="L59" s="180"/>
      <c r="M59" s="802"/>
    </row>
    <row r="60" spans="1:13" hidden="1" x14ac:dyDescent="0.3">
      <c r="A60" s="802" t="s">
        <v>1847</v>
      </c>
      <c r="B60" s="802" t="s">
        <v>1848</v>
      </c>
      <c r="C60" s="803">
        <v>0.76</v>
      </c>
      <c r="D60" s="804">
        <v>2019</v>
      </c>
      <c r="E60" s="804">
        <v>2023</v>
      </c>
      <c r="F60" s="802"/>
      <c r="G60" s="180"/>
      <c r="H60" s="180"/>
      <c r="I60" s="180"/>
      <c r="J60" s="180"/>
      <c r="K60" s="180"/>
      <c r="L60" s="180"/>
      <c r="M60" s="802"/>
    </row>
    <row r="61" spans="1:13" hidden="1" x14ac:dyDescent="0.3">
      <c r="A61" s="802" t="s">
        <v>1849</v>
      </c>
      <c r="B61" s="802" t="s">
        <v>1850</v>
      </c>
      <c r="C61" s="803">
        <v>0.84499999999999997</v>
      </c>
      <c r="D61" s="804">
        <v>2017</v>
      </c>
      <c r="E61" s="804">
        <v>2025</v>
      </c>
      <c r="F61" s="802"/>
      <c r="G61" s="180"/>
      <c r="H61" s="180"/>
      <c r="I61" s="180"/>
      <c r="J61" s="180"/>
      <c r="K61" s="180"/>
      <c r="L61" s="180"/>
      <c r="M61" s="802"/>
    </row>
    <row r="62" spans="1:13" hidden="1" x14ac:dyDescent="0.3">
      <c r="A62" s="802" t="s">
        <v>1851</v>
      </c>
      <c r="B62" s="802" t="s">
        <v>1852</v>
      </c>
      <c r="C62" s="803">
        <v>0.61899999999999999</v>
      </c>
      <c r="D62" s="804">
        <v>2019</v>
      </c>
      <c r="E62" s="804">
        <v>2023</v>
      </c>
      <c r="F62" s="802"/>
      <c r="G62" s="180"/>
      <c r="H62" s="180"/>
      <c r="I62" s="180"/>
      <c r="J62" s="180"/>
      <c r="K62" s="180"/>
      <c r="L62" s="180"/>
      <c r="M62" s="802"/>
    </row>
    <row r="63" spans="1:13" hidden="1" x14ac:dyDescent="0.3">
      <c r="A63" s="802" t="s">
        <v>1853</v>
      </c>
      <c r="B63" s="802" t="s">
        <v>1854</v>
      </c>
      <c r="C63" s="803">
        <v>0.4</v>
      </c>
      <c r="D63" s="804">
        <v>2019</v>
      </c>
      <c r="E63" s="804">
        <v>2023</v>
      </c>
      <c r="F63" s="802"/>
      <c r="G63" s="180"/>
      <c r="H63" s="180"/>
      <c r="I63" s="180"/>
      <c r="J63" s="180"/>
      <c r="K63" s="180"/>
      <c r="L63" s="180"/>
      <c r="M63" s="802"/>
    </row>
    <row r="64" spans="1:13" hidden="1" x14ac:dyDescent="0.3">
      <c r="A64" s="802" t="s">
        <v>1855</v>
      </c>
      <c r="B64" s="802" t="s">
        <v>1856</v>
      </c>
      <c r="C64" s="803">
        <v>0.5</v>
      </c>
      <c r="D64" s="804">
        <v>2020</v>
      </c>
      <c r="E64" s="804">
        <v>2028</v>
      </c>
      <c r="F64" s="802"/>
      <c r="G64" s="180"/>
      <c r="H64" s="180"/>
      <c r="I64" s="180"/>
      <c r="J64" s="180"/>
      <c r="K64" s="180"/>
      <c r="L64" s="180"/>
      <c r="M64" s="802"/>
    </row>
    <row r="65" spans="1:13" hidden="1" x14ac:dyDescent="0.3">
      <c r="A65" s="802" t="s">
        <v>1857</v>
      </c>
      <c r="B65" s="802" t="s">
        <v>861</v>
      </c>
      <c r="C65" s="803">
        <v>0.81</v>
      </c>
      <c r="D65" s="804">
        <v>2017</v>
      </c>
      <c r="E65" s="804">
        <v>2025</v>
      </c>
      <c r="F65" s="802"/>
      <c r="G65" s="180"/>
      <c r="H65" s="180"/>
      <c r="I65" s="180"/>
      <c r="J65" s="180"/>
      <c r="K65" s="180"/>
      <c r="L65" s="180"/>
      <c r="M65" s="802"/>
    </row>
    <row r="66" spans="1:13" hidden="1" x14ac:dyDescent="0.3">
      <c r="A66" s="802" t="s">
        <v>1858</v>
      </c>
      <c r="B66" s="802" t="s">
        <v>1859</v>
      </c>
      <c r="C66" s="803">
        <v>0.57750000000000001</v>
      </c>
      <c r="D66" s="804">
        <v>2019</v>
      </c>
      <c r="E66" s="804">
        <v>2023</v>
      </c>
      <c r="F66" s="802"/>
      <c r="G66" s="180"/>
      <c r="H66" s="180"/>
      <c r="I66" s="180"/>
      <c r="J66" s="180"/>
      <c r="K66" s="180"/>
      <c r="L66" s="180"/>
      <c r="M66" s="802"/>
    </row>
    <row r="67" spans="1:13" hidden="1" x14ac:dyDescent="0.3">
      <c r="A67" s="802" t="s">
        <v>1860</v>
      </c>
      <c r="B67" s="802" t="s">
        <v>1861</v>
      </c>
      <c r="C67" s="803">
        <v>0.6169</v>
      </c>
      <c r="D67" s="804">
        <v>2019</v>
      </c>
      <c r="E67" s="804">
        <v>2023</v>
      </c>
      <c r="F67" s="802"/>
      <c r="G67" s="180"/>
      <c r="H67" s="180"/>
      <c r="I67" s="180"/>
      <c r="J67" s="180"/>
      <c r="K67" s="180"/>
      <c r="L67" s="180"/>
      <c r="M67" s="802"/>
    </row>
    <row r="68" spans="1:13" hidden="1" x14ac:dyDescent="0.3">
      <c r="A68" s="802" t="s">
        <v>1862</v>
      </c>
      <c r="B68" s="802" t="s">
        <v>1863</v>
      </c>
      <c r="C68" s="803">
        <v>0.57999999999999996</v>
      </c>
      <c r="D68" s="804">
        <v>2018</v>
      </c>
      <c r="E68" s="804">
        <v>2022</v>
      </c>
      <c r="F68" s="802"/>
      <c r="G68" s="180"/>
      <c r="H68" s="180"/>
      <c r="I68" s="180"/>
      <c r="J68" s="180"/>
      <c r="K68" s="180"/>
      <c r="L68" s="180"/>
      <c r="M68" s="802"/>
    </row>
    <row r="69" spans="1:13" hidden="1" x14ac:dyDescent="0.3">
      <c r="A69" s="802" t="s">
        <v>1864</v>
      </c>
      <c r="B69" s="802" t="s">
        <v>1865</v>
      </c>
      <c r="C69" s="803">
        <v>0.61499999999999999</v>
      </c>
      <c r="D69" s="804">
        <v>2020</v>
      </c>
      <c r="E69" s="804">
        <v>2028</v>
      </c>
      <c r="F69" s="802"/>
      <c r="G69" s="180"/>
      <c r="H69" s="180"/>
      <c r="I69" s="180"/>
      <c r="J69" s="180"/>
      <c r="K69" s="180"/>
      <c r="L69" s="180"/>
      <c r="M69" s="802"/>
    </row>
    <row r="70" spans="1:13" hidden="1" x14ac:dyDescent="0.3">
      <c r="A70" s="802" t="s">
        <v>1866</v>
      </c>
      <c r="B70" s="802" t="s">
        <v>1867</v>
      </c>
      <c r="C70" s="803">
        <v>0.51</v>
      </c>
      <c r="D70" s="804">
        <v>2019</v>
      </c>
      <c r="E70" s="804">
        <v>2023</v>
      </c>
      <c r="F70" s="802"/>
      <c r="G70" s="180"/>
      <c r="H70" s="180"/>
      <c r="I70" s="180"/>
      <c r="J70" s="180"/>
      <c r="K70" s="180"/>
      <c r="L70" s="180"/>
      <c r="M70" s="802"/>
    </row>
    <row r="71" spans="1:13" x14ac:dyDescent="0.3">
      <c r="A71" s="802" t="s">
        <v>1743</v>
      </c>
      <c r="B71" s="802" t="s">
        <v>1744</v>
      </c>
      <c r="C71" s="803">
        <v>0.67</v>
      </c>
      <c r="D71" s="804">
        <v>2017</v>
      </c>
      <c r="E71" s="804">
        <v>2024</v>
      </c>
      <c r="F71" s="802"/>
      <c r="G71" s="180"/>
      <c r="H71" s="180"/>
      <c r="I71" s="180"/>
      <c r="J71" s="180"/>
      <c r="K71" s="180"/>
      <c r="L71" s="180"/>
      <c r="M71" s="802"/>
    </row>
    <row r="72" spans="1:13" hidden="1" x14ac:dyDescent="0.3">
      <c r="A72" s="802" t="s">
        <v>1868</v>
      </c>
      <c r="B72" s="802" t="s">
        <v>1869</v>
      </c>
      <c r="C72" s="803">
        <v>0.47499999999999998</v>
      </c>
      <c r="D72" s="804">
        <v>2021</v>
      </c>
      <c r="E72" s="804">
        <v>2025</v>
      </c>
      <c r="F72" s="802"/>
      <c r="G72" s="180"/>
      <c r="H72" s="180"/>
      <c r="I72" s="180"/>
      <c r="J72" s="180"/>
      <c r="K72" s="180"/>
      <c r="L72" s="180"/>
      <c r="M72" s="802"/>
    </row>
    <row r="73" spans="1:13" hidden="1" x14ac:dyDescent="0.3">
      <c r="A73" s="613" t="s">
        <v>1870</v>
      </c>
      <c r="B73" s="613" t="s">
        <v>532</v>
      </c>
      <c r="C73" s="806">
        <v>0.90500000000000003</v>
      </c>
      <c r="D73" s="614">
        <v>2015</v>
      </c>
      <c r="E73" s="614">
        <v>2023</v>
      </c>
      <c r="G73" s="180"/>
      <c r="H73" s="180"/>
      <c r="I73" s="180"/>
      <c r="J73" s="180"/>
      <c r="K73" s="180"/>
      <c r="L73" s="180"/>
    </row>
    <row r="74" spans="1:13" hidden="1" x14ac:dyDescent="0.3">
      <c r="A74" s="613" t="s">
        <v>1871</v>
      </c>
      <c r="B74" s="613" t="s">
        <v>1872</v>
      </c>
      <c r="C74" s="806">
        <v>0.70499999999999996</v>
      </c>
      <c r="D74" s="614">
        <v>2018</v>
      </c>
      <c r="E74" s="614">
        <v>2022</v>
      </c>
      <c r="G74" s="180"/>
      <c r="H74" s="180"/>
      <c r="I74" s="180"/>
      <c r="J74" s="180"/>
      <c r="K74" s="180"/>
      <c r="L74" s="180"/>
    </row>
    <row r="75" spans="1:13" hidden="1" x14ac:dyDescent="0.3">
      <c r="A75" s="613" t="s">
        <v>1873</v>
      </c>
      <c r="B75" s="613" t="s">
        <v>1874</v>
      </c>
      <c r="C75" s="806">
        <v>0.81869999999999998</v>
      </c>
      <c r="D75" s="614">
        <v>2021</v>
      </c>
      <c r="E75" s="614">
        <v>2025</v>
      </c>
      <c r="G75" s="180"/>
      <c r="H75" s="180"/>
      <c r="I75" s="180"/>
      <c r="J75" s="180"/>
      <c r="K75" s="180"/>
      <c r="L75" s="180"/>
    </row>
    <row r="76" spans="1:13" hidden="1" x14ac:dyDescent="0.3">
      <c r="A76" s="613" t="s">
        <v>1875</v>
      </c>
      <c r="B76" s="613" t="s">
        <v>1876</v>
      </c>
      <c r="C76" s="806">
        <v>0.625</v>
      </c>
      <c r="D76" s="614">
        <v>2020</v>
      </c>
      <c r="E76" s="614">
        <v>2028</v>
      </c>
      <c r="G76" s="180"/>
      <c r="H76" s="180"/>
      <c r="I76" s="180"/>
      <c r="J76" s="180"/>
      <c r="K76" s="180"/>
      <c r="L76" s="180"/>
    </row>
    <row r="77" spans="1:13" hidden="1" x14ac:dyDescent="0.3">
      <c r="A77" s="613" t="s">
        <v>1877</v>
      </c>
      <c r="B77" s="613" t="s">
        <v>1878</v>
      </c>
      <c r="C77" s="806">
        <v>0.77</v>
      </c>
      <c r="D77" s="614">
        <v>2014</v>
      </c>
      <c r="E77" s="614">
        <v>2022</v>
      </c>
      <c r="G77" s="180"/>
      <c r="H77" s="180"/>
      <c r="I77" s="180"/>
      <c r="J77" s="180"/>
      <c r="K77" s="180"/>
      <c r="L77" s="180"/>
    </row>
    <row r="78" spans="1:13" hidden="1" x14ac:dyDescent="0.3">
      <c r="A78" s="613" t="s">
        <v>1879</v>
      </c>
      <c r="B78" s="613" t="s">
        <v>535</v>
      </c>
      <c r="C78" s="806">
        <v>0.64500000000000002</v>
      </c>
      <c r="D78" s="614">
        <v>2019</v>
      </c>
      <c r="E78" s="614">
        <v>2027</v>
      </c>
      <c r="G78" s="180"/>
      <c r="H78" s="180"/>
      <c r="I78" s="180"/>
      <c r="J78" s="180"/>
      <c r="K78" s="180"/>
      <c r="L78" s="180"/>
    </row>
    <row r="79" spans="1:13" x14ac:dyDescent="0.3">
      <c r="A79" s="613" t="s">
        <v>1745</v>
      </c>
      <c r="B79" s="613" t="s">
        <v>1746</v>
      </c>
      <c r="C79" s="806">
        <v>0.61</v>
      </c>
      <c r="D79" s="614">
        <v>2016</v>
      </c>
      <c r="E79" s="614">
        <v>2024</v>
      </c>
      <c r="G79" s="180"/>
      <c r="H79" s="180"/>
      <c r="I79" s="180"/>
      <c r="J79" s="180"/>
      <c r="K79" s="180"/>
      <c r="L79" s="180"/>
    </row>
    <row r="80" spans="1:13" hidden="1" x14ac:dyDescent="0.3">
      <c r="A80" s="613" t="s">
        <v>1880</v>
      </c>
      <c r="B80" s="613" t="s">
        <v>1881</v>
      </c>
      <c r="C80" s="806">
        <v>0.72</v>
      </c>
      <c r="D80" s="614">
        <v>2021</v>
      </c>
      <c r="E80" s="614">
        <v>2025</v>
      </c>
      <c r="G80" s="180"/>
      <c r="H80" s="180"/>
      <c r="I80" s="180"/>
      <c r="J80" s="180"/>
      <c r="K80" s="180"/>
      <c r="L80" s="180"/>
    </row>
    <row r="81" spans="1:12" x14ac:dyDescent="0.3">
      <c r="A81" s="613" t="s">
        <v>1747</v>
      </c>
      <c r="B81" s="613" t="s">
        <v>1748</v>
      </c>
      <c r="C81" s="806">
        <v>0.68410000000000004</v>
      </c>
      <c r="D81" s="614">
        <v>2020</v>
      </c>
      <c r="E81" s="614">
        <v>2024</v>
      </c>
      <c r="G81" s="180"/>
      <c r="H81" s="180"/>
      <c r="I81" s="180"/>
      <c r="J81" s="180"/>
      <c r="K81" s="180"/>
      <c r="L81" s="180"/>
    </row>
    <row r="82" spans="1:12" hidden="1" x14ac:dyDescent="0.3">
      <c r="A82" s="613" t="s">
        <v>1882</v>
      </c>
      <c r="B82" s="613" t="s">
        <v>1883</v>
      </c>
      <c r="C82" s="806">
        <v>0.51429999999999998</v>
      </c>
      <c r="D82" s="614">
        <v>2021</v>
      </c>
      <c r="E82" s="614">
        <v>2025</v>
      </c>
      <c r="G82" s="180"/>
      <c r="H82" s="180"/>
      <c r="I82" s="180"/>
      <c r="J82" s="180"/>
      <c r="K82" s="180"/>
      <c r="L82" s="180"/>
    </row>
    <row r="83" spans="1:12" hidden="1" x14ac:dyDescent="0.3">
      <c r="A83" s="613" t="s">
        <v>1884</v>
      </c>
      <c r="B83" s="613" t="s">
        <v>1885</v>
      </c>
      <c r="C83" s="806">
        <v>0.63270000000000004</v>
      </c>
      <c r="D83" s="614">
        <v>2019</v>
      </c>
      <c r="E83" s="614">
        <v>2023</v>
      </c>
      <c r="G83" s="180"/>
      <c r="H83" s="180"/>
      <c r="I83" s="180"/>
      <c r="J83" s="180"/>
      <c r="K83" s="180"/>
      <c r="L83" s="180"/>
    </row>
    <row r="84" spans="1:12" x14ac:dyDescent="0.3">
      <c r="A84" s="613" t="s">
        <v>1749</v>
      </c>
      <c r="B84" s="613" t="s">
        <v>1750</v>
      </c>
      <c r="C84" s="806">
        <v>0.83</v>
      </c>
      <c r="D84" s="614">
        <v>2016</v>
      </c>
      <c r="E84" s="614">
        <v>2024</v>
      </c>
      <c r="G84" s="180"/>
      <c r="H84" s="180"/>
      <c r="I84" s="180"/>
      <c r="J84" s="180"/>
      <c r="K84" s="180"/>
      <c r="L84" s="180"/>
    </row>
    <row r="85" spans="1:12" x14ac:dyDescent="0.3">
      <c r="A85" s="613" t="s">
        <v>1751</v>
      </c>
      <c r="B85" s="613" t="s">
        <v>1752</v>
      </c>
      <c r="C85" s="806">
        <v>0.77</v>
      </c>
      <c r="D85" s="614">
        <v>2018</v>
      </c>
      <c r="E85" s="614">
        <v>2024</v>
      </c>
      <c r="G85" s="180"/>
      <c r="H85" s="180"/>
      <c r="I85" s="180"/>
      <c r="J85" s="180"/>
      <c r="K85" s="180"/>
      <c r="L85" s="180"/>
    </row>
    <row r="86" spans="1:12" x14ac:dyDescent="0.3">
      <c r="A86" s="613" t="s">
        <v>1753</v>
      </c>
      <c r="B86" s="613" t="s">
        <v>1754</v>
      </c>
      <c r="C86" s="806">
        <v>0.69499999999999995</v>
      </c>
      <c r="D86" s="614">
        <v>2019</v>
      </c>
      <c r="E86" s="614">
        <v>2024</v>
      </c>
      <c r="G86" s="180"/>
      <c r="H86" s="180"/>
      <c r="I86" s="180"/>
      <c r="J86" s="180"/>
      <c r="K86" s="180"/>
      <c r="L86" s="180"/>
    </row>
    <row r="87" spans="1:12" hidden="1" x14ac:dyDescent="0.3">
      <c r="A87" s="613" t="s">
        <v>1886</v>
      </c>
      <c r="B87" s="613" t="s">
        <v>1887</v>
      </c>
      <c r="C87" s="806">
        <v>0.65749999999999997</v>
      </c>
      <c r="D87" s="614">
        <v>2019</v>
      </c>
      <c r="E87" s="614">
        <v>2023</v>
      </c>
      <c r="G87" s="180"/>
      <c r="H87" s="180"/>
      <c r="I87" s="180"/>
      <c r="J87" s="180"/>
      <c r="K87" s="180"/>
      <c r="L87" s="180"/>
    </row>
    <row r="88" spans="1:12" hidden="1" x14ac:dyDescent="0.3">
      <c r="A88" s="613" t="s">
        <v>1888</v>
      </c>
      <c r="B88" s="613" t="s">
        <v>1889</v>
      </c>
      <c r="C88" s="806">
        <v>0.59699999999999998</v>
      </c>
      <c r="D88" s="614">
        <v>2019</v>
      </c>
      <c r="E88" s="614">
        <v>2023</v>
      </c>
      <c r="G88" s="180"/>
      <c r="H88" s="180"/>
      <c r="I88" s="180"/>
      <c r="J88" s="180"/>
      <c r="K88" s="180"/>
      <c r="L88" s="180"/>
    </row>
    <row r="89" spans="1:12" hidden="1" x14ac:dyDescent="0.3">
      <c r="A89" s="613" t="s">
        <v>1890</v>
      </c>
      <c r="B89" s="613" t="s">
        <v>1891</v>
      </c>
      <c r="C89" s="806">
        <v>0.82499999999999996</v>
      </c>
      <c r="D89" s="614">
        <v>2019</v>
      </c>
      <c r="E89" s="614">
        <v>2027</v>
      </c>
      <c r="G89" s="180"/>
      <c r="H89" s="180"/>
      <c r="I89" s="180"/>
      <c r="J89" s="180"/>
      <c r="K89" s="180"/>
      <c r="L89" s="180"/>
    </row>
    <row r="90" spans="1:12" hidden="1" x14ac:dyDescent="0.3">
      <c r="A90" s="613" t="s">
        <v>1892</v>
      </c>
      <c r="B90" s="613" t="s">
        <v>549</v>
      </c>
      <c r="C90" s="806">
        <v>1</v>
      </c>
      <c r="D90" s="614">
        <v>2019</v>
      </c>
      <c r="E90" s="614">
        <v>2027</v>
      </c>
      <c r="G90" s="180"/>
      <c r="H90" s="180"/>
      <c r="I90" s="180"/>
      <c r="J90" s="180"/>
      <c r="K90" s="180"/>
      <c r="L90" s="180"/>
    </row>
    <row r="91" spans="1:12" hidden="1" x14ac:dyDescent="0.3">
      <c r="A91" s="613" t="s">
        <v>1893</v>
      </c>
      <c r="B91" s="613" t="s">
        <v>1894</v>
      </c>
      <c r="C91" s="806">
        <v>0.61</v>
      </c>
      <c r="D91" s="614">
        <v>2021</v>
      </c>
      <c r="E91" s="614">
        <v>2025</v>
      </c>
      <c r="G91" s="180"/>
      <c r="H91" s="180"/>
      <c r="I91" s="180"/>
      <c r="J91" s="180"/>
      <c r="K91" s="180"/>
      <c r="L91" s="180"/>
    </row>
    <row r="92" spans="1:12" hidden="1" x14ac:dyDescent="0.3">
      <c r="A92" s="613" t="s">
        <v>1895</v>
      </c>
      <c r="B92" s="613" t="s">
        <v>1896</v>
      </c>
      <c r="C92" s="806">
        <v>0.66</v>
      </c>
      <c r="D92" s="614">
        <v>2021</v>
      </c>
      <c r="E92" s="614">
        <v>2025</v>
      </c>
      <c r="G92" s="180"/>
      <c r="H92" s="180"/>
      <c r="I92" s="180"/>
      <c r="J92" s="180"/>
      <c r="K92" s="180"/>
      <c r="L92" s="180"/>
    </row>
    <row r="93" spans="1:12" hidden="1" x14ac:dyDescent="0.3">
      <c r="A93" s="613" t="s">
        <v>1897</v>
      </c>
      <c r="B93" s="613" t="s">
        <v>1898</v>
      </c>
      <c r="C93" s="806">
        <v>0.55200000000000005</v>
      </c>
      <c r="D93" s="614">
        <v>2021</v>
      </c>
      <c r="E93" s="614">
        <v>2025</v>
      </c>
      <c r="G93" s="180"/>
      <c r="H93" s="180"/>
      <c r="I93" s="180"/>
      <c r="J93" s="180"/>
      <c r="K93" s="180"/>
      <c r="L93" s="180"/>
    </row>
    <row r="94" spans="1:12" hidden="1" x14ac:dyDescent="0.3">
      <c r="A94" s="613" t="s">
        <v>1899</v>
      </c>
      <c r="B94" s="613" t="s">
        <v>1900</v>
      </c>
      <c r="C94" s="806">
        <v>0.36</v>
      </c>
      <c r="D94" s="614">
        <v>2021</v>
      </c>
      <c r="E94" s="614">
        <v>2029</v>
      </c>
      <c r="G94" s="180"/>
      <c r="H94" s="180"/>
      <c r="I94" s="180"/>
      <c r="J94" s="180"/>
      <c r="K94" s="180"/>
      <c r="L94" s="180"/>
    </row>
    <row r="95" spans="1:12" hidden="1" x14ac:dyDescent="0.3">
      <c r="A95" s="613" t="s">
        <v>1901</v>
      </c>
      <c r="B95" s="613" t="s">
        <v>1902</v>
      </c>
      <c r="C95" s="806">
        <v>0.60329999999999995</v>
      </c>
      <c r="D95" s="614">
        <v>2021</v>
      </c>
      <c r="E95" s="614">
        <v>2025</v>
      </c>
      <c r="G95" s="180"/>
      <c r="H95" s="180"/>
      <c r="I95" s="180"/>
      <c r="J95" s="180"/>
      <c r="K95" s="180"/>
      <c r="L95" s="180"/>
    </row>
    <row r="96" spans="1:12" hidden="1" x14ac:dyDescent="0.3">
      <c r="A96" s="613" t="s">
        <v>1903</v>
      </c>
      <c r="B96" s="613" t="s">
        <v>558</v>
      </c>
      <c r="C96" s="806">
        <v>0.95</v>
      </c>
      <c r="D96" s="614">
        <v>2017</v>
      </c>
      <c r="E96" s="614">
        <v>2025</v>
      </c>
      <c r="G96" s="180"/>
      <c r="H96" s="180"/>
      <c r="I96" s="180"/>
      <c r="J96" s="180"/>
      <c r="K96" s="180"/>
      <c r="L96" s="180"/>
    </row>
    <row r="97" spans="1:12" hidden="1" x14ac:dyDescent="0.3">
      <c r="A97" s="613" t="s">
        <v>1904</v>
      </c>
      <c r="B97" s="613" t="s">
        <v>1905</v>
      </c>
      <c r="C97" s="806">
        <v>0.58799999999999997</v>
      </c>
      <c r="D97" s="614">
        <v>2021</v>
      </c>
      <c r="E97" s="614">
        <v>2025</v>
      </c>
      <c r="G97" s="180"/>
      <c r="H97" s="180"/>
      <c r="I97" s="180"/>
      <c r="J97" s="180"/>
      <c r="K97" s="180"/>
      <c r="L97" s="180"/>
    </row>
    <row r="98" spans="1:12" x14ac:dyDescent="0.3">
      <c r="A98" s="613" t="s">
        <v>1755</v>
      </c>
      <c r="B98" s="613" t="s">
        <v>1756</v>
      </c>
      <c r="C98" s="806">
        <v>0.89</v>
      </c>
      <c r="D98" s="614">
        <v>2016</v>
      </c>
      <c r="E98" s="614">
        <v>2024</v>
      </c>
    </row>
    <row r="99" spans="1:12" x14ac:dyDescent="0.3">
      <c r="A99" s="613" t="s">
        <v>1757</v>
      </c>
      <c r="B99" s="613" t="s">
        <v>1758</v>
      </c>
      <c r="C99" s="806">
        <v>0.6</v>
      </c>
      <c r="D99" s="614">
        <v>2020</v>
      </c>
      <c r="E99" s="614">
        <v>2024</v>
      </c>
    </row>
    <row r="100" spans="1:12" hidden="1" x14ac:dyDescent="0.3">
      <c r="A100" s="613" t="s">
        <v>1906</v>
      </c>
      <c r="B100" s="613" t="s">
        <v>1907</v>
      </c>
      <c r="C100" s="806">
        <v>0.81</v>
      </c>
      <c r="D100" s="614">
        <v>2017</v>
      </c>
      <c r="E100" s="614">
        <v>2025</v>
      </c>
    </row>
    <row r="101" spans="1:12" hidden="1" x14ac:dyDescent="0.3">
      <c r="A101" s="613" t="s">
        <v>1908</v>
      </c>
      <c r="B101" s="613" t="s">
        <v>1909</v>
      </c>
      <c r="C101" s="806">
        <v>0.85</v>
      </c>
      <c r="D101" s="614">
        <v>2021</v>
      </c>
      <c r="E101" s="614">
        <v>2029</v>
      </c>
    </row>
    <row r="102" spans="1:12" hidden="1" x14ac:dyDescent="0.3">
      <c r="A102" s="613" t="s">
        <v>1910</v>
      </c>
      <c r="B102" s="613" t="s">
        <v>1911</v>
      </c>
      <c r="C102" s="806">
        <v>0.40300000000000002</v>
      </c>
      <c r="D102" s="614">
        <v>2014</v>
      </c>
      <c r="E102" s="614">
        <v>2022</v>
      </c>
    </row>
    <row r="103" spans="1:12" hidden="1" x14ac:dyDescent="0.3">
      <c r="A103" s="613" t="s">
        <v>1912</v>
      </c>
      <c r="B103" s="613" t="s">
        <v>1913</v>
      </c>
      <c r="C103" s="806">
        <v>0.70750000000000002</v>
      </c>
      <c r="D103" s="614">
        <v>2019</v>
      </c>
      <c r="E103" s="614">
        <v>2027</v>
      </c>
    </row>
    <row r="104" spans="1:12" hidden="1" x14ac:dyDescent="0.3">
      <c r="A104" s="613" t="s">
        <v>1914</v>
      </c>
      <c r="B104" s="613" t="s">
        <v>1915</v>
      </c>
      <c r="C104" s="806">
        <v>0.66</v>
      </c>
      <c r="D104" s="614">
        <v>2019</v>
      </c>
      <c r="E104" s="614">
        <v>2023</v>
      </c>
    </row>
    <row r="105" spans="1:12" x14ac:dyDescent="0.3">
      <c r="A105" s="613" t="s">
        <v>1759</v>
      </c>
      <c r="B105" s="613" t="s">
        <v>1760</v>
      </c>
      <c r="C105" s="806">
        <v>0.73</v>
      </c>
      <c r="D105" s="614">
        <v>2016</v>
      </c>
      <c r="E105" s="614">
        <v>2024</v>
      </c>
    </row>
    <row r="106" spans="1:12" hidden="1" x14ac:dyDescent="0.3">
      <c r="A106" s="613" t="s">
        <v>1916</v>
      </c>
      <c r="B106" s="613" t="s">
        <v>1917</v>
      </c>
      <c r="C106" s="806">
        <v>0.66</v>
      </c>
      <c r="D106" s="614">
        <v>2017</v>
      </c>
      <c r="E106" s="614">
        <v>2023</v>
      </c>
    </row>
    <row r="107" spans="1:12" x14ac:dyDescent="0.3">
      <c r="A107" s="613" t="s">
        <v>1918</v>
      </c>
      <c r="B107" s="613" t="s">
        <v>1919</v>
      </c>
      <c r="C107" s="806">
        <v>0.6</v>
      </c>
      <c r="D107" s="614">
        <v>2016</v>
      </c>
      <c r="E107" s="614">
        <v>2024</v>
      </c>
    </row>
    <row r="109" spans="1:12" x14ac:dyDescent="0.3">
      <c r="C109" s="806">
        <f>SUM(C8:C108)</f>
        <v>67.168499999999995</v>
      </c>
    </row>
  </sheetData>
  <sheetProtection algorithmName="SHA-512" hashValue="7gnlxkCtkjB8fMAbkd+dShpbZ1V/S/0/+H/XPxNAOCgS1FXiHj9wAaQW9ybHiaLRk7sRvnbUA0gnKkKRJ2JOLQ==" saltValue="kW6bFXL75o3BbEjrLWOPrQ==" spinCount="100000" sheet="1" objects="1" scenarios="1"/>
  <autoFilter ref="A7:E107" xr:uid="{C4C859C7-D101-4FF8-B13C-F4FADB068718}">
    <filterColumn colId="4">
      <filters>
        <filter val="2024"/>
      </filters>
    </filterColumn>
  </autoFilter>
  <sortState xmlns:xlrd2="http://schemas.microsoft.com/office/spreadsheetml/2017/richdata2" ref="A7:D106">
    <sortCondition ref="D7:D10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4" customWidth="1"/>
    <col min="4" max="4" width="20.88671875" style="3" bestFit="1" customWidth="1"/>
    <col min="5" max="5" width="17.5546875" style="3" customWidth="1"/>
    <col min="6" max="6" width="22.6640625" style="3" customWidth="1"/>
    <col min="7" max="7" width="17.44140625" style="277" customWidth="1"/>
    <col min="8" max="8" width="9.6640625" style="3" customWidth="1"/>
    <col min="9" max="9" width="1" style="309" customWidth="1"/>
    <col min="10" max="10" width="18.109375" style="5" customWidth="1"/>
    <col min="11" max="11" width="36.88671875" style="9" customWidth="1"/>
    <col min="12" max="12" width="26.33203125" style="371" customWidth="1"/>
    <col min="13" max="13" width="8.44140625" customWidth="1"/>
    <col min="14" max="14" width="18.109375" style="3" customWidth="1"/>
    <col min="15" max="15" width="17.88671875" style="3" customWidth="1"/>
    <col min="16" max="16" width="9.109375" style="188" customWidth="1"/>
    <col min="17" max="17" width="10.33203125" style="279"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415</v>
      </c>
      <c r="D1" s="13">
        <f>L51-(L38+L39-L43-L44-L199)-L47</f>
        <v>0</v>
      </c>
      <c r="I1" s="278"/>
      <c r="J1" s="42"/>
      <c r="K1" s="14" t="s">
        <v>46</v>
      </c>
      <c r="L1" s="56"/>
      <c r="S1" s="3">
        <v>100</v>
      </c>
      <c r="T1" s="3">
        <v>1</v>
      </c>
    </row>
    <row r="2" spans="1:28" ht="44.4" x14ac:dyDescent="0.4">
      <c r="C2" s="67" t="str">
        <f>'Unit Data from Audit Worksheet'!D2</f>
        <v>Select Unit Name from Drop Down List</v>
      </c>
      <c r="D2" s="135">
        <v>2023</v>
      </c>
      <c r="E2" s="135">
        <v>2023</v>
      </c>
      <c r="F2" s="12"/>
      <c r="G2" s="63"/>
      <c r="H2" s="12"/>
      <c r="I2" s="278"/>
      <c r="J2" s="37" t="s">
        <v>42</v>
      </c>
      <c r="K2" s="8" t="s">
        <v>41</v>
      </c>
      <c r="L2" s="61" t="s">
        <v>30</v>
      </c>
      <c r="S2" s="3">
        <v>200</v>
      </c>
      <c r="T2" s="3">
        <v>2</v>
      </c>
      <c r="X2" s="311" t="s">
        <v>894</v>
      </c>
      <c r="Y2" s="311" t="s">
        <v>893</v>
      </c>
    </row>
    <row r="3" spans="1:28" ht="31.2" x14ac:dyDescent="0.3">
      <c r="A3" s="280" t="s">
        <v>42</v>
      </c>
      <c r="B3" s="281"/>
      <c r="C3" s="40" t="s">
        <v>1</v>
      </c>
      <c r="D3" s="15" t="s">
        <v>43</v>
      </c>
      <c r="E3" s="15" t="s">
        <v>44</v>
      </c>
      <c r="F3" s="16" t="s">
        <v>48</v>
      </c>
      <c r="G3" s="68" t="s">
        <v>312</v>
      </c>
      <c r="H3" s="16" t="s">
        <v>347</v>
      </c>
      <c r="I3" s="278"/>
      <c r="J3" s="282"/>
      <c r="K3" s="136"/>
      <c r="L3" s="283"/>
      <c r="O3" s="3" t="s">
        <v>281</v>
      </c>
      <c r="Q3" s="79" t="s">
        <v>313</v>
      </c>
      <c r="S3" s="3">
        <v>300</v>
      </c>
      <c r="T3" s="3">
        <v>3</v>
      </c>
      <c r="Y3" s="3" t="s">
        <v>663</v>
      </c>
    </row>
    <row r="4" spans="1:28" ht="25.95" customHeight="1" x14ac:dyDescent="0.35">
      <c r="A4" s="284"/>
      <c r="B4" s="285"/>
      <c r="C4" s="44"/>
      <c r="D4" s="7"/>
      <c r="E4" s="7"/>
      <c r="F4" s="7"/>
      <c r="G4" s="64"/>
      <c r="H4" s="7"/>
      <c r="I4" s="278"/>
      <c r="J4" s="39">
        <v>999</v>
      </c>
      <c r="K4" s="11" t="s">
        <v>278</v>
      </c>
      <c r="L4" s="727" t="e">
        <f>'Unit Data from Audit Worksheet'!D3</f>
        <v>#N/A</v>
      </c>
      <c r="S4" s="3">
        <v>400</v>
      </c>
      <c r="T4" s="3">
        <v>4</v>
      </c>
      <c r="X4" s="286"/>
      <c r="Y4" s="286"/>
    </row>
    <row r="5" spans="1:28" ht="57" customHeight="1" x14ac:dyDescent="0.3">
      <c r="A5" s="287">
        <f>'Unit Data from Audit Worksheet'!A9</f>
        <v>333</v>
      </c>
      <c r="B5" s="48" t="str">
        <f>'Unit Data from Audit Worksheet'!C9</f>
        <v>Net Position-Governmental Activities</v>
      </c>
      <c r="C5" s="288" t="str">
        <f>'Unit Data from Audit Worksheet'!D9</f>
        <v xml:space="preserve"> All unrestricted Cash and investments.  
Exclude: restricted cash 
                   cash held by a third party. </v>
      </c>
      <c r="D5" s="134"/>
      <c r="E5" s="142">
        <f>'Unit Data from Audit Worksheet'!F9</f>
        <v>0</v>
      </c>
      <c r="F5" s="224">
        <f>IF(L5&lt;0,"Error: Number is normally positive.",)</f>
        <v>0</v>
      </c>
      <c r="G5" s="65"/>
      <c r="H5" s="223"/>
      <c r="I5" s="32"/>
      <c r="J5" s="36">
        <v>333</v>
      </c>
      <c r="K5" s="45" t="s">
        <v>176</v>
      </c>
      <c r="L5" s="289">
        <f>IF(D5="",E5,D5)</f>
        <v>0</v>
      </c>
      <c r="P5" s="195"/>
      <c r="X5" s="552">
        <v>333</v>
      </c>
      <c r="Y5" s="286">
        <v>333</v>
      </c>
      <c r="AA5" s="3">
        <f>A5-J5</f>
        <v>0</v>
      </c>
      <c r="AB5" s="286">
        <f>E5-L5</f>
        <v>0</v>
      </c>
    </row>
    <row r="6" spans="1:28" ht="39.75" customHeight="1" x14ac:dyDescent="0.3">
      <c r="A6" s="212">
        <f>'Unit Data from Audit Worksheet'!A10</f>
        <v>500</v>
      </c>
      <c r="B6" s="225" t="str">
        <f>'Unit Data from Audit Worksheet'!C10</f>
        <v>Net Position-Governmental Activities</v>
      </c>
      <c r="C6" s="211" t="str">
        <f>'Unit Data from Audit Worksheet'!D10</f>
        <v xml:space="preserve"> All restricted Cash and investments</v>
      </c>
      <c r="D6" s="134"/>
      <c r="E6" s="231">
        <f>'Unit Data from Audit Worksheet'!F10</f>
        <v>0</v>
      </c>
      <c r="F6" s="224">
        <f>IF(L6&lt;0,"Error: Number is normally positive.",)</f>
        <v>0</v>
      </c>
      <c r="G6" s="226"/>
      <c r="H6" s="223"/>
      <c r="I6" s="32"/>
      <c r="J6" s="222">
        <v>500</v>
      </c>
      <c r="K6" s="221" t="s">
        <v>175</v>
      </c>
      <c r="L6" s="289">
        <f>IF(D6="",E6,D6)</f>
        <v>0</v>
      </c>
      <c r="P6" s="196"/>
      <c r="X6" s="552">
        <v>500</v>
      </c>
      <c r="Y6" s="286">
        <v>500</v>
      </c>
      <c r="AA6" s="386">
        <f t="shared" ref="AA6:AA71" si="0">A6-J6</f>
        <v>0</v>
      </c>
      <c r="AB6" s="286">
        <f t="shared" ref="AB6:AB71" si="1">E6-L6</f>
        <v>0</v>
      </c>
    </row>
    <row r="7" spans="1:28" ht="43.5" customHeight="1" x14ac:dyDescent="0.3">
      <c r="A7" s="212">
        <f>'Unit Data from Audit Worksheet'!A11</f>
        <v>385</v>
      </c>
      <c r="B7" s="225" t="str">
        <f>'Unit Data from Audit Worksheet'!C11</f>
        <v>Net Position-Governmental Activities</v>
      </c>
      <c r="C7" s="211" t="str">
        <f>'Unit Data from Audit Worksheet'!D11</f>
        <v>Total Assets and deferred outflows</v>
      </c>
      <c r="D7" s="134"/>
      <c r="E7" s="231">
        <f>'Unit Data from Audit Worksheet'!F11</f>
        <v>0</v>
      </c>
      <c r="F7" s="126">
        <f>IF((L5+L6)&gt;L7,"Error: Please review accts (333 + 500) &gt; 385",)</f>
        <v>0</v>
      </c>
      <c r="G7" s="226" t="str">
        <f>IF(Q7=1," Included in error count"," ")</f>
        <v xml:space="preserve"> </v>
      </c>
      <c r="H7" s="223"/>
      <c r="I7" s="32"/>
      <c r="J7" s="69">
        <v>385</v>
      </c>
      <c r="K7" s="70" t="s">
        <v>107</v>
      </c>
      <c r="L7" s="290">
        <f>IF(D7="",E7,D7)+IF(D9="",E9,D9)</f>
        <v>0</v>
      </c>
      <c r="N7" s="71" t="s">
        <v>299</v>
      </c>
      <c r="P7" s="196"/>
      <c r="X7" s="552">
        <v>385</v>
      </c>
      <c r="Y7" s="286">
        <v>385</v>
      </c>
      <c r="AA7" s="386">
        <f t="shared" si="0"/>
        <v>0</v>
      </c>
      <c r="AB7" s="286">
        <f t="shared" si="1"/>
        <v>0</v>
      </c>
    </row>
    <row r="8" spans="1:28" ht="90.75" customHeight="1" x14ac:dyDescent="0.3">
      <c r="A8" s="212">
        <f>'Unit Data from Audit Worksheet'!A12</f>
        <v>575</v>
      </c>
      <c r="B8" s="225" t="str">
        <f>'Unit Data from Audit Worksheet'!C12</f>
        <v>Net Position-Governmental Activities</v>
      </c>
      <c r="C8" s="211" t="str">
        <f>'Unit Data from Audit Worksheet'!D12</f>
        <v>Record any positive Internal balances on the net position statements that appear in the Asset Section of the Net Position Statement</v>
      </c>
      <c r="D8" s="134"/>
      <c r="E8" s="231">
        <f>'Unit Data from Audit Worksheet'!F12</f>
        <v>0</v>
      </c>
      <c r="F8" s="224">
        <f>IF(L8&lt;0,"Error: Number is normally positive.",)</f>
        <v>0</v>
      </c>
      <c r="G8" s="226"/>
      <c r="H8" s="223"/>
      <c r="I8" s="32"/>
      <c r="J8" s="222">
        <v>575</v>
      </c>
      <c r="K8" s="228" t="s">
        <v>302</v>
      </c>
      <c r="L8" s="289">
        <f>IF(D8="",E8,D8)</f>
        <v>0</v>
      </c>
      <c r="N8" s="57"/>
      <c r="P8" s="196"/>
      <c r="X8" s="552">
        <v>575</v>
      </c>
      <c r="Y8" s="286">
        <v>575</v>
      </c>
      <c r="AA8" s="386">
        <f t="shared" si="0"/>
        <v>0</v>
      </c>
      <c r="AB8" s="286">
        <f t="shared" si="1"/>
        <v>0</v>
      </c>
    </row>
    <row r="9" spans="1:28" ht="103.5" customHeight="1" x14ac:dyDescent="0.3">
      <c r="A9" s="212">
        <f>'Unit Data from Audit Worksheet'!A13</f>
        <v>576</v>
      </c>
      <c r="B9" s="225" t="str">
        <f>'Unit Data from Audit Worksheet'!C13</f>
        <v>Net Position-Governmental Activities</v>
      </c>
      <c r="C9" s="291" t="str">
        <f>'Unit Data from Audit Worksheet'!D13</f>
        <v>Record any negative Internal balances on the net position statements that appear in the Asset Section of the Net Position Statement.
Enter as a positive</v>
      </c>
      <c r="D9" s="102"/>
      <c r="E9" s="145">
        <f>'Unit Data from Audit Worksheet'!F13</f>
        <v>0</v>
      </c>
      <c r="F9" s="220">
        <f>IF(E9&lt;0,"Error: Enter as positive.",)</f>
        <v>0</v>
      </c>
      <c r="G9" s="104"/>
      <c r="H9" s="105"/>
      <c r="I9" s="32"/>
      <c r="J9" s="97">
        <v>576</v>
      </c>
      <c r="K9" s="228" t="s">
        <v>303</v>
      </c>
      <c r="L9" s="289">
        <f>IF(D9="",E9,D9)</f>
        <v>0</v>
      </c>
      <c r="N9" s="57"/>
      <c r="P9" s="197"/>
      <c r="X9" s="552">
        <v>576</v>
      </c>
      <c r="Y9" s="286">
        <v>576</v>
      </c>
      <c r="AA9" s="386">
        <f t="shared" si="0"/>
        <v>0</v>
      </c>
      <c r="AB9" s="286">
        <f t="shared" si="1"/>
        <v>0</v>
      </c>
    </row>
    <row r="10" spans="1:28" s="18" customFormat="1" ht="100.5" customHeight="1" x14ac:dyDescent="0.3">
      <c r="A10" s="212">
        <f>'Unit Data from Audit Worksheet'!A14</f>
        <v>626</v>
      </c>
      <c r="B10" s="217" t="str">
        <f>'Unit Data from Audit Worksheet'!C14</f>
        <v>Net Position-Governmental Activities</v>
      </c>
      <c r="C10" s="216"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69">
        <f>'Unit Data from Audit Worksheet'!F14</f>
        <v>0</v>
      </c>
      <c r="F10"/>
      <c r="G10"/>
      <c r="H10"/>
      <c r="I10" s="32"/>
      <c r="J10" s="647">
        <v>626</v>
      </c>
      <c r="K10" s="648" t="s">
        <v>372</v>
      </c>
      <c r="L10" s="649">
        <f>IF(D10="",E10,D10)+IF(D9="",E9,D9)</f>
        <v>0</v>
      </c>
      <c r="M10"/>
      <c r="N10" s="167" t="s">
        <v>299</v>
      </c>
      <c r="O10" s="292"/>
      <c r="P10" s="198"/>
      <c r="Q10" s="293"/>
      <c r="R10" s="3"/>
      <c r="X10" s="552">
        <v>626</v>
      </c>
      <c r="Y10" s="294">
        <v>626</v>
      </c>
      <c r="AA10" s="386">
        <f t="shared" si="0"/>
        <v>0</v>
      </c>
      <c r="AB10" s="286">
        <f t="shared" si="1"/>
        <v>0</v>
      </c>
    </row>
    <row r="11" spans="1:28" s="18" customFormat="1" ht="86.25" customHeight="1" x14ac:dyDescent="0.3">
      <c r="A11" s="212">
        <f>'Unit Data from Audit Worksheet'!A15</f>
        <v>627</v>
      </c>
      <c r="B11" s="217" t="str">
        <f>'Unit Data from Audit Worksheet'!C15</f>
        <v>Net Position-Governmental Activities</v>
      </c>
      <c r="C11" s="216"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4">
        <f>'Unit Data from Audit Worksheet'!F15</f>
        <v>0</v>
      </c>
      <c r="F11" s="668"/>
      <c r="G11" s="667"/>
      <c r="H11" s="668"/>
      <c r="I11" s="32"/>
      <c r="J11" s="218">
        <v>627</v>
      </c>
      <c r="K11" s="193" t="s">
        <v>364</v>
      </c>
      <c r="L11" s="295">
        <f t="shared" ref="L11:L16" si="2">IF(D11="",E11,D11)</f>
        <v>0</v>
      </c>
      <c r="M11"/>
      <c r="N11" s="166"/>
      <c r="O11" s="292"/>
      <c r="P11" s="198"/>
      <c r="Q11" s="293"/>
      <c r="R11" s="3"/>
      <c r="X11" s="552">
        <v>627</v>
      </c>
      <c r="Y11" s="294">
        <v>627</v>
      </c>
      <c r="AA11" s="386">
        <f t="shared" si="0"/>
        <v>0</v>
      </c>
      <c r="AB11" s="286">
        <f t="shared" si="1"/>
        <v>0</v>
      </c>
    </row>
    <row r="12" spans="1:28" s="18" customFormat="1" ht="86.25" customHeight="1" x14ac:dyDescent="0.3">
      <c r="A12" s="212">
        <f>'Unit Data from Audit Worksheet'!A16</f>
        <v>628</v>
      </c>
      <c r="B12" s="217" t="str">
        <f>'Unit Data from Audit Worksheet'!C16</f>
        <v>Net Position-Governmental Activities</v>
      </c>
      <c r="C12" s="216"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4">
        <f>'Unit Data from Audit Worksheet'!F16</f>
        <v>0</v>
      </c>
      <c r="F12" s="219"/>
      <c r="G12" s="207"/>
      <c r="H12" s="219"/>
      <c r="I12" s="32"/>
      <c r="J12" s="218">
        <v>628</v>
      </c>
      <c r="K12" s="193" t="s">
        <v>369</v>
      </c>
      <c r="L12" s="295">
        <f t="shared" si="2"/>
        <v>0</v>
      </c>
      <c r="M12"/>
      <c r="N12" s="166"/>
      <c r="O12" s="292"/>
      <c r="P12" s="198"/>
      <c r="Q12" s="293"/>
      <c r="R12" s="3"/>
      <c r="X12" s="552">
        <v>628</v>
      </c>
      <c r="Y12" s="294">
        <v>628</v>
      </c>
      <c r="AA12" s="386">
        <f t="shared" si="0"/>
        <v>0</v>
      </c>
      <c r="AB12" s="286">
        <f t="shared" si="1"/>
        <v>0</v>
      </c>
    </row>
    <row r="13" spans="1:28" s="18" customFormat="1" ht="93" customHeight="1" x14ac:dyDescent="0.3">
      <c r="A13" s="212">
        <f>'Unit Data from Audit Worksheet'!A17</f>
        <v>629</v>
      </c>
      <c r="B13" s="217" t="str">
        <f>'Unit Data from Audit Worksheet'!C17</f>
        <v>Net Position-Governmental Activities</v>
      </c>
      <c r="C13" s="216" t="str">
        <f>'Unit Data from Audit Worksheet'!D17</f>
        <v>Please enter any pension liabilities that are classified as current liabilities and included in account 626 above (amounts entered should agree to the current amount included in the changes to long-term debt note)</v>
      </c>
      <c r="D13" s="102"/>
      <c r="E13" s="234">
        <f>'Unit Data from Audit Worksheet'!F17</f>
        <v>0</v>
      </c>
      <c r="F13" s="219"/>
      <c r="G13" s="207"/>
      <c r="H13" s="219"/>
      <c r="I13" s="32"/>
      <c r="J13" s="218">
        <v>629</v>
      </c>
      <c r="K13" s="193" t="s">
        <v>368</v>
      </c>
      <c r="L13" s="295">
        <f t="shared" si="2"/>
        <v>0</v>
      </c>
      <c r="M13"/>
      <c r="N13" s="166"/>
      <c r="O13" s="292"/>
      <c r="P13" s="198"/>
      <c r="Q13" s="293"/>
      <c r="R13" s="3"/>
      <c r="X13" s="552">
        <v>629</v>
      </c>
      <c r="Y13" s="294">
        <v>629</v>
      </c>
      <c r="AA13" s="386">
        <f t="shared" si="0"/>
        <v>0</v>
      </c>
      <c r="AB13" s="286">
        <f t="shared" si="1"/>
        <v>0</v>
      </c>
    </row>
    <row r="14" spans="1:28" s="18" customFormat="1" ht="67.5" customHeight="1" x14ac:dyDescent="0.3">
      <c r="A14" s="212">
        <f>'Unit Data from Audit Worksheet'!A18</f>
        <v>630</v>
      </c>
      <c r="B14" s="217" t="str">
        <f>'Unit Data from Audit Worksheet'!C18</f>
        <v>Net Position-Governmental Activities</v>
      </c>
      <c r="C14" s="216" t="str">
        <f>'Unit Data from Audit Worksheet'!D18</f>
        <v>Please enter any current liabilities that are payable from restricted assets and included in account 626 above</v>
      </c>
      <c r="D14" s="102"/>
      <c r="E14" s="234">
        <f>'Unit Data from Audit Worksheet'!F18</f>
        <v>0</v>
      </c>
      <c r="F14" s="219"/>
      <c r="G14" s="207"/>
      <c r="H14" s="219"/>
      <c r="I14" s="32"/>
      <c r="J14" s="218">
        <v>630</v>
      </c>
      <c r="K14" s="193" t="s">
        <v>367</v>
      </c>
      <c r="L14" s="295">
        <f t="shared" si="2"/>
        <v>0</v>
      </c>
      <c r="M14"/>
      <c r="N14" s="166"/>
      <c r="O14" s="292"/>
      <c r="P14" s="198"/>
      <c r="Q14" s="293"/>
      <c r="R14" s="3"/>
      <c r="X14" s="552">
        <v>630</v>
      </c>
      <c r="Y14" s="294">
        <v>630</v>
      </c>
      <c r="AA14" s="386">
        <f t="shared" si="0"/>
        <v>0</v>
      </c>
      <c r="AB14" s="286">
        <f t="shared" si="1"/>
        <v>0</v>
      </c>
    </row>
    <row r="15" spans="1:28" s="18" customFormat="1" ht="102.75" customHeight="1" x14ac:dyDescent="0.3">
      <c r="A15" s="212">
        <f>'Unit Data from Audit Worksheet'!A19</f>
        <v>631</v>
      </c>
      <c r="B15" s="225" t="str">
        <f>'Unit Data from Audit Worksheet'!C19</f>
        <v>Net Position-Governmental Activities</v>
      </c>
      <c r="C15" s="208" t="str">
        <f>'Unit Data from Audit Worksheet'!D19</f>
        <v>Please enter any OPEB liabilities that are classified as current liabilities and included in account 626 above (amounts entered should agree to the current amount included in the changes to long-term debt note)</v>
      </c>
      <c r="D15" s="102"/>
      <c r="E15" s="234">
        <f>'Unit Data from Audit Worksheet'!F19</f>
        <v>0</v>
      </c>
      <c r="F15" s="219"/>
      <c r="G15" s="207"/>
      <c r="H15" s="219"/>
      <c r="I15" s="32"/>
      <c r="J15" s="218">
        <v>631</v>
      </c>
      <c r="K15" s="193" t="s">
        <v>366</v>
      </c>
      <c r="L15" s="295">
        <f t="shared" si="2"/>
        <v>0</v>
      </c>
      <c r="M15"/>
      <c r="N15" s="166"/>
      <c r="O15" s="292"/>
      <c r="P15" s="198"/>
      <c r="Q15" s="293"/>
      <c r="R15" s="3"/>
      <c r="X15" s="552">
        <v>631</v>
      </c>
      <c r="Y15" s="294">
        <v>631</v>
      </c>
      <c r="AA15" s="386">
        <f t="shared" si="0"/>
        <v>0</v>
      </c>
      <c r="AB15" s="286">
        <f t="shared" si="1"/>
        <v>0</v>
      </c>
    </row>
    <row r="16" spans="1:28" s="18" customFormat="1" ht="119.25" customHeight="1" x14ac:dyDescent="0.3">
      <c r="A16" s="212">
        <f>'Unit Data from Audit Worksheet'!A20</f>
        <v>632</v>
      </c>
      <c r="B16" s="225" t="str">
        <f>'Unit Data from Audit Worksheet'!C20</f>
        <v>Net Position-Governmental Activities</v>
      </c>
      <c r="C16" s="208"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4">
        <f>'Unit Data from Audit Worksheet'!F20</f>
        <v>0</v>
      </c>
      <c r="F16" s="219"/>
      <c r="G16" s="207"/>
      <c r="H16" s="219"/>
      <c r="I16" s="32"/>
      <c r="J16" s="218">
        <v>632</v>
      </c>
      <c r="K16" s="193" t="s">
        <v>365</v>
      </c>
      <c r="L16" s="295">
        <f t="shared" si="2"/>
        <v>0</v>
      </c>
      <c r="M16"/>
      <c r="N16" s="166"/>
      <c r="O16" s="292"/>
      <c r="P16" s="198"/>
      <c r="Q16" s="293"/>
      <c r="R16" s="3"/>
      <c r="X16" s="552">
        <v>632</v>
      </c>
      <c r="Y16" s="294">
        <v>632</v>
      </c>
      <c r="AA16" s="386">
        <f t="shared" si="0"/>
        <v>0</v>
      </c>
      <c r="AB16" s="286">
        <f t="shared" si="1"/>
        <v>0</v>
      </c>
    </row>
    <row r="17" spans="1:28" ht="30.6" x14ac:dyDescent="0.3">
      <c r="A17" s="551">
        <f>'Unit Data from Audit Worksheet'!A21</f>
        <v>338</v>
      </c>
      <c r="B17" s="225" t="str">
        <f>'Unit Data from Audit Worksheet'!C21</f>
        <v>Net Position-Governmental Activities</v>
      </c>
      <c r="C17" s="211" t="str">
        <f>'Unit Data from Audit Worksheet'!D21</f>
        <v>Total Liabilities and total deferred inflows</v>
      </c>
      <c r="D17" s="102"/>
      <c r="E17" s="142">
        <f>'Unit Data from Audit Worksheet'!F21</f>
        <v>0</v>
      </c>
      <c r="F17" s="126" t="str">
        <f>IF(L10&gt;L17,"Please review accounts 626 greater than 338","")</f>
        <v/>
      </c>
      <c r="G17" s="65"/>
      <c r="H17" s="223"/>
      <c r="I17" s="32"/>
      <c r="J17" s="106">
        <v>338</v>
      </c>
      <c r="K17" s="107" t="s">
        <v>108</v>
      </c>
      <c r="L17" s="290">
        <f>IF(D17="",E17,D17)+IF(D9="",E9,D9)</f>
        <v>0</v>
      </c>
      <c r="N17" s="71" t="s">
        <v>299</v>
      </c>
      <c r="P17" s="195"/>
      <c r="X17" s="552">
        <v>338</v>
      </c>
      <c r="Y17" s="286">
        <v>338</v>
      </c>
      <c r="AA17" s="386">
        <f t="shared" si="0"/>
        <v>0</v>
      </c>
      <c r="AB17" s="286">
        <f t="shared" si="1"/>
        <v>0</v>
      </c>
    </row>
    <row r="18" spans="1:28" ht="100.5" customHeight="1" x14ac:dyDescent="0.3">
      <c r="A18" s="212">
        <f>'Unit Data from Audit Worksheet'!A22</f>
        <v>335</v>
      </c>
      <c r="B18" s="225" t="str">
        <f>'Unit Data from Audit Worksheet'!C22</f>
        <v>Net Position-Governmental Activities</v>
      </c>
      <c r="C18" s="211" t="str">
        <f>'Unit Data from Audit Worksheet'!D22</f>
        <v>Unearned revenues that were included in current liabilities in your audit report or entered in acct # 626 above. 
Exclude - unearned revenues that are listed in deferred inflows.</v>
      </c>
      <c r="D18" s="102"/>
      <c r="E18" s="231">
        <f>'Unit Data from Audit Worksheet'!F22</f>
        <v>0</v>
      </c>
      <c r="F18" s="224">
        <f>IF(L18&lt;0,"Error: Enter as a positive.",)</f>
        <v>0</v>
      </c>
      <c r="G18" s="226"/>
      <c r="H18" s="223"/>
      <c r="I18" s="32"/>
      <c r="J18" s="222">
        <v>335</v>
      </c>
      <c r="K18" s="221" t="s">
        <v>109</v>
      </c>
      <c r="L18" s="289">
        <f>IF(D18="",E18,D18)</f>
        <v>0</v>
      </c>
      <c r="P18" s="196"/>
      <c r="X18" s="552">
        <v>335</v>
      </c>
      <c r="Y18" s="286">
        <v>335</v>
      </c>
      <c r="AA18" s="386">
        <f t="shared" si="0"/>
        <v>0</v>
      </c>
      <c r="AB18" s="286">
        <f t="shared" si="1"/>
        <v>0</v>
      </c>
    </row>
    <row r="19" spans="1:28" ht="20.399999999999999" x14ac:dyDescent="0.3">
      <c r="A19" s="212">
        <f>'Unit Data from Audit Worksheet'!A23</f>
        <v>252</v>
      </c>
      <c r="B19" s="225" t="str">
        <f>'Unit Data from Audit Worksheet'!C23</f>
        <v>Net Position-Governmental Activities</v>
      </c>
      <c r="C19" s="211" t="str">
        <f>'Unit Data from Audit Worksheet'!D23</f>
        <v xml:space="preserve"> Total Net investment in capital assets</v>
      </c>
      <c r="D19" s="102"/>
      <c r="E19" s="231">
        <f>'Unit Data from Audit Worksheet'!F23</f>
        <v>0</v>
      </c>
      <c r="F19" s="224"/>
      <c r="G19" s="226"/>
      <c r="H19" s="223"/>
      <c r="I19" s="32"/>
      <c r="J19" s="222">
        <v>252</v>
      </c>
      <c r="K19" s="221" t="s">
        <v>95</v>
      </c>
      <c r="L19" s="289">
        <f t="shared" ref="L19:L37" si="3">IF(D19="",E19,D19)</f>
        <v>0</v>
      </c>
      <c r="O19" s="296" t="e">
        <f>'Unit Data from Audit Worksheet'!E23</f>
        <v>#N/A</v>
      </c>
      <c r="P19" s="196"/>
      <c r="X19" s="552">
        <v>252</v>
      </c>
      <c r="Y19" s="286">
        <v>252</v>
      </c>
      <c r="AA19" s="386">
        <f t="shared" si="0"/>
        <v>0</v>
      </c>
      <c r="AB19" s="286">
        <f t="shared" si="1"/>
        <v>0</v>
      </c>
    </row>
    <row r="20" spans="1:28" ht="20.399999999999999" x14ac:dyDescent="0.3">
      <c r="A20" s="212">
        <f>'Unit Data from Audit Worksheet'!A24</f>
        <v>253</v>
      </c>
      <c r="B20" s="225" t="str">
        <f>'Unit Data from Audit Worksheet'!C24</f>
        <v>Net Position-Governmental Activities</v>
      </c>
      <c r="C20" s="211" t="str">
        <f>'Unit Data from Audit Worksheet'!D24</f>
        <v xml:space="preserve"> Total Net Position, Restricted</v>
      </c>
      <c r="D20" s="102"/>
      <c r="E20" s="231">
        <f>'Unit Data from Audit Worksheet'!F24</f>
        <v>0</v>
      </c>
      <c r="F20" s="224"/>
      <c r="G20" s="226"/>
      <c r="H20" s="223"/>
      <c r="I20" s="32"/>
      <c r="J20" s="222">
        <v>253</v>
      </c>
      <c r="K20" s="221" t="s">
        <v>96</v>
      </c>
      <c r="L20" s="289">
        <f t="shared" si="3"/>
        <v>0</v>
      </c>
      <c r="O20" s="296" t="e">
        <f>'Unit Data from Audit Worksheet'!E24</f>
        <v>#N/A</v>
      </c>
      <c r="P20" s="196"/>
      <c r="X20" s="552">
        <v>253</v>
      </c>
      <c r="Y20" s="286">
        <v>253</v>
      </c>
      <c r="AA20" s="386">
        <f t="shared" si="0"/>
        <v>0</v>
      </c>
      <c r="AB20" s="286">
        <f t="shared" si="1"/>
        <v>0</v>
      </c>
    </row>
    <row r="21" spans="1:28" ht="73.5" customHeight="1" x14ac:dyDescent="0.3">
      <c r="A21" s="212">
        <f>'Unit Data from Audit Worksheet'!A25</f>
        <v>254</v>
      </c>
      <c r="B21" s="225" t="str">
        <f>'Unit Data from Audit Worksheet'!C25</f>
        <v>Net Position-Governmental Activities</v>
      </c>
      <c r="C21" s="211" t="str">
        <f>'Unit Data from Audit Worksheet'!D25</f>
        <v>Total Net Position, Unrestricted - enter negative unrestricted net position as a negative)</v>
      </c>
      <c r="D21" s="102"/>
      <c r="E21" s="231">
        <f>'Unit Data from Audit Worksheet'!F25</f>
        <v>0</v>
      </c>
      <c r="F21" s="224">
        <f>IF((L7-L17-L19-L20-L21)=0,,"Error: Total assets and deferred outflows less total liabilities and deferred inflows do not equal total net position accts 385-338-252-253-254")</f>
        <v>0</v>
      </c>
      <c r="G21" s="83">
        <f>+L7-L17-L19-L20-L21</f>
        <v>0</v>
      </c>
      <c r="H21" s="223"/>
      <c r="I21" s="32"/>
      <c r="J21" s="222">
        <v>254</v>
      </c>
      <c r="K21" s="221" t="s">
        <v>97</v>
      </c>
      <c r="L21" s="289">
        <f t="shared" si="3"/>
        <v>0</v>
      </c>
      <c r="O21" s="296" t="e">
        <f>'Unit Data from Audit Worksheet'!E25</f>
        <v>#N/A</v>
      </c>
      <c r="P21" s="196"/>
      <c r="X21" s="552">
        <v>254</v>
      </c>
      <c r="Y21" s="286">
        <v>254</v>
      </c>
      <c r="AA21" s="386">
        <f t="shared" si="0"/>
        <v>0</v>
      </c>
      <c r="AB21" s="286">
        <f t="shared" si="1"/>
        <v>0</v>
      </c>
    </row>
    <row r="22" spans="1:28" ht="51.75" customHeight="1" x14ac:dyDescent="0.3">
      <c r="A22" s="212">
        <f>'Unit Data from Audit Worksheet'!A27</f>
        <v>502</v>
      </c>
      <c r="B22" s="225" t="str">
        <f>'Unit Data from Audit Worksheet'!C27</f>
        <v>Net Position-Business Activities</v>
      </c>
      <c r="C22" s="211" t="str">
        <f>'Unit Data from Audit Worksheet'!D27</f>
        <v xml:space="preserve">All unrestricted Cash and investments. 
Exclude restricted cash and cash held by a third party. </v>
      </c>
      <c r="D22" s="102"/>
      <c r="E22" s="231">
        <f>'Unit Data from Audit Worksheet'!F27</f>
        <v>0</v>
      </c>
      <c r="F22" s="224">
        <f>IF(L22&lt;0,"Error: Number is normally positive.",)</f>
        <v>0</v>
      </c>
      <c r="G22" s="226"/>
      <c r="H22" s="223"/>
      <c r="I22" s="32"/>
      <c r="J22" s="222">
        <v>502</v>
      </c>
      <c r="K22" s="221" t="s">
        <v>177</v>
      </c>
      <c r="L22" s="289">
        <f t="shared" si="3"/>
        <v>0</v>
      </c>
      <c r="P22" s="196"/>
      <c r="X22" s="552">
        <v>502</v>
      </c>
      <c r="Y22" s="286">
        <v>502</v>
      </c>
      <c r="AA22" s="386">
        <f t="shared" si="0"/>
        <v>0</v>
      </c>
      <c r="AB22" s="286">
        <f t="shared" si="1"/>
        <v>0</v>
      </c>
    </row>
    <row r="23" spans="1:28" ht="40.5" customHeight="1" x14ac:dyDescent="0.3">
      <c r="A23" s="212">
        <f>'Unit Data from Audit Worksheet'!A28</f>
        <v>503</v>
      </c>
      <c r="B23" s="225" t="str">
        <f>'Unit Data from Audit Worksheet'!C28</f>
        <v>Net Position-Business Activities</v>
      </c>
      <c r="C23" s="211" t="str">
        <f>'Unit Data from Audit Worksheet'!D28</f>
        <v>All restricted Cash and investments</v>
      </c>
      <c r="D23" s="102"/>
      <c r="E23" s="231">
        <f>'Unit Data from Audit Worksheet'!F28</f>
        <v>0</v>
      </c>
      <c r="F23" s="224">
        <f>IF(L23&lt;0,"Error: Number is normally positive.",)</f>
        <v>0</v>
      </c>
      <c r="G23" s="226"/>
      <c r="H23" s="223"/>
      <c r="I23" s="32"/>
      <c r="J23" s="222">
        <v>503</v>
      </c>
      <c r="K23" s="221" t="s">
        <v>178</v>
      </c>
      <c r="L23" s="289">
        <f t="shared" si="3"/>
        <v>0</v>
      </c>
      <c r="P23" s="196"/>
      <c r="X23" s="552">
        <v>503</v>
      </c>
      <c r="Y23" s="286">
        <v>503</v>
      </c>
      <c r="AA23" s="386">
        <f t="shared" si="0"/>
        <v>0</v>
      </c>
      <c r="AB23" s="286">
        <f t="shared" si="1"/>
        <v>0</v>
      </c>
    </row>
    <row r="24" spans="1:28" ht="39" customHeight="1" x14ac:dyDescent="0.3">
      <c r="A24" s="212">
        <f>'Unit Data from Audit Worksheet'!A30</f>
        <v>344</v>
      </c>
      <c r="B24" s="225" t="str">
        <f>'Unit Data from Audit Worksheet'!C30</f>
        <v>Statement of Activities - Governmental</v>
      </c>
      <c r="C24" s="211" t="str">
        <f>'Unit Data from Audit Worksheet'!D30</f>
        <v xml:space="preserve">Total Interest expense on Long-Term Debt </v>
      </c>
      <c r="D24" s="102"/>
      <c r="E24" s="231">
        <f>'Unit Data from Audit Worksheet'!F30</f>
        <v>0</v>
      </c>
      <c r="F24" s="224">
        <f>IF(L24&lt;0,"Error: Enter as a positive.",)</f>
        <v>0</v>
      </c>
      <c r="G24" s="226"/>
      <c r="H24" s="223"/>
      <c r="I24" s="32"/>
      <c r="J24" s="222">
        <v>344</v>
      </c>
      <c r="K24" s="221" t="s">
        <v>179</v>
      </c>
      <c r="L24" s="289">
        <f t="shared" si="3"/>
        <v>0</v>
      </c>
      <c r="P24" s="196"/>
      <c r="X24" s="552">
        <v>344</v>
      </c>
      <c r="Y24" s="286">
        <v>344</v>
      </c>
      <c r="AA24" s="386">
        <f t="shared" si="0"/>
        <v>0</v>
      </c>
      <c r="AB24" s="286">
        <f t="shared" si="1"/>
        <v>0</v>
      </c>
    </row>
    <row r="25" spans="1:28" ht="39" customHeight="1" x14ac:dyDescent="0.3">
      <c r="A25" s="212">
        <f>'Unit Data from Audit Worksheet'!A31</f>
        <v>388</v>
      </c>
      <c r="B25" s="225" t="str">
        <f>'Unit Data from Audit Worksheet'!C31</f>
        <v>Statement of Activities - Governmental</v>
      </c>
      <c r="C25" s="211" t="str">
        <f>'Unit Data from Audit Worksheet'!D31</f>
        <v>Total Expenses</v>
      </c>
      <c r="D25" s="102"/>
      <c r="E25" s="231">
        <f>'Unit Data from Audit Worksheet'!F31</f>
        <v>0</v>
      </c>
      <c r="F25" s="224">
        <f t="shared" ref="F25:F30" si="4">IF(L25&lt;0,"Error: Number is normally positive.",)</f>
        <v>0</v>
      </c>
      <c r="G25" s="226"/>
      <c r="H25" s="223"/>
      <c r="I25" s="32"/>
      <c r="J25" s="222">
        <v>388</v>
      </c>
      <c r="K25" s="221" t="s">
        <v>180</v>
      </c>
      <c r="L25" s="289">
        <f t="shared" si="3"/>
        <v>0</v>
      </c>
      <c r="P25" s="196"/>
      <c r="X25" s="552">
        <v>388</v>
      </c>
      <c r="Y25" s="286">
        <v>388</v>
      </c>
      <c r="AA25" s="386">
        <f t="shared" si="0"/>
        <v>0</v>
      </c>
      <c r="AB25" s="286">
        <f t="shared" si="1"/>
        <v>0</v>
      </c>
    </row>
    <row r="26" spans="1:28" ht="39" customHeight="1" x14ac:dyDescent="0.3">
      <c r="A26" s="212">
        <f>'Unit Data from Audit Worksheet'!A32</f>
        <v>339</v>
      </c>
      <c r="B26" s="225" t="str">
        <f>'Unit Data from Audit Worksheet'!C32</f>
        <v>Statement of Activities - Governmental</v>
      </c>
      <c r="C26" s="211" t="str">
        <f>'Unit Data from Audit Worksheet'!D32</f>
        <v xml:space="preserve">Charges for services </v>
      </c>
      <c r="D26" s="102"/>
      <c r="E26" s="231">
        <f>'Unit Data from Audit Worksheet'!F32</f>
        <v>0</v>
      </c>
      <c r="F26" s="224">
        <f t="shared" si="4"/>
        <v>0</v>
      </c>
      <c r="G26" s="226"/>
      <c r="H26" s="223"/>
      <c r="I26" s="32"/>
      <c r="J26" s="222">
        <v>339</v>
      </c>
      <c r="K26" s="221" t="s">
        <v>181</v>
      </c>
      <c r="L26" s="289">
        <f t="shared" si="3"/>
        <v>0</v>
      </c>
      <c r="P26" s="196"/>
      <c r="X26" s="552">
        <v>339</v>
      </c>
      <c r="Y26" s="286">
        <v>339</v>
      </c>
      <c r="AA26" s="386">
        <f t="shared" si="0"/>
        <v>0</v>
      </c>
      <c r="AB26" s="286">
        <f t="shared" si="1"/>
        <v>0</v>
      </c>
    </row>
    <row r="27" spans="1:28" ht="39" customHeight="1" x14ac:dyDescent="0.3">
      <c r="A27" s="212">
        <f>'Unit Data from Audit Worksheet'!A33</f>
        <v>504</v>
      </c>
      <c r="B27" s="225" t="str">
        <f>'Unit Data from Audit Worksheet'!C33</f>
        <v>Statement of Activities - Governmental</v>
      </c>
      <c r="C27" s="211" t="str">
        <f>'Unit Data from Audit Worksheet'!D33</f>
        <v>Operating grants and contributions</v>
      </c>
      <c r="D27" s="102"/>
      <c r="E27" s="231">
        <f>'Unit Data from Audit Worksheet'!F33</f>
        <v>0</v>
      </c>
      <c r="F27" s="224">
        <f t="shared" si="4"/>
        <v>0</v>
      </c>
      <c r="G27" s="226"/>
      <c r="H27" s="223"/>
      <c r="I27" s="32"/>
      <c r="J27" s="222">
        <v>504</v>
      </c>
      <c r="K27" s="221" t="s">
        <v>182</v>
      </c>
      <c r="L27" s="289">
        <f t="shared" si="3"/>
        <v>0</v>
      </c>
      <c r="P27" s="196"/>
      <c r="X27" s="552">
        <v>504</v>
      </c>
      <c r="Y27" s="286">
        <v>504</v>
      </c>
      <c r="AA27" s="386">
        <f t="shared" si="0"/>
        <v>0</v>
      </c>
      <c r="AB27" s="286">
        <f t="shared" si="1"/>
        <v>0</v>
      </c>
    </row>
    <row r="28" spans="1:28" ht="39" customHeight="1" x14ac:dyDescent="0.3">
      <c r="A28" s="212">
        <f>'Unit Data from Audit Worksheet'!A34</f>
        <v>505</v>
      </c>
      <c r="B28" s="225" t="str">
        <f>'Unit Data from Audit Worksheet'!C34</f>
        <v>Statement of Activities - Governmental</v>
      </c>
      <c r="C28" s="211" t="str">
        <f>'Unit Data from Audit Worksheet'!D34</f>
        <v>Capital grants and contributions</v>
      </c>
      <c r="D28" s="102"/>
      <c r="E28" s="231">
        <f>'Unit Data from Audit Worksheet'!F34</f>
        <v>0</v>
      </c>
      <c r="F28" s="224">
        <f t="shared" si="4"/>
        <v>0</v>
      </c>
      <c r="G28" s="226"/>
      <c r="H28" s="223"/>
      <c r="I28" s="32"/>
      <c r="J28" s="222">
        <v>505</v>
      </c>
      <c r="K28" s="221" t="s">
        <v>183</v>
      </c>
      <c r="L28" s="289">
        <f t="shared" si="3"/>
        <v>0</v>
      </c>
      <c r="P28" s="196"/>
      <c r="X28" s="552">
        <v>505</v>
      </c>
      <c r="Y28" s="286">
        <v>505</v>
      </c>
      <c r="AA28" s="386">
        <f t="shared" si="0"/>
        <v>0</v>
      </c>
      <c r="AB28" s="286">
        <f t="shared" si="1"/>
        <v>0</v>
      </c>
    </row>
    <row r="29" spans="1:28" ht="82.5" customHeight="1" x14ac:dyDescent="0.3">
      <c r="A29" s="212">
        <f>'Unit Data from Audit Worksheet'!A35</f>
        <v>341</v>
      </c>
      <c r="B29" s="225" t="str">
        <f>'Unit Data from Audit Worksheet'!C35</f>
        <v>Statement of Activities - Governmental</v>
      </c>
      <c r="C29" s="211" t="str">
        <f>'Unit Data from Audit Worksheet'!D35</f>
        <v>Total General revenues
Exclude: transfers-in or out,
                 special items,
                 extraordinary amounts</v>
      </c>
      <c r="D29" s="102"/>
      <c r="E29" s="231">
        <f>'Unit Data from Audit Worksheet'!F35</f>
        <v>0</v>
      </c>
      <c r="F29" s="224">
        <f t="shared" si="4"/>
        <v>0</v>
      </c>
      <c r="G29" s="226"/>
      <c r="H29" s="223"/>
      <c r="I29" s="32"/>
      <c r="J29" s="222">
        <v>341</v>
      </c>
      <c r="K29" s="221" t="s">
        <v>184</v>
      </c>
      <c r="L29" s="289">
        <f t="shared" si="3"/>
        <v>0</v>
      </c>
      <c r="P29" s="196"/>
      <c r="X29" s="552">
        <v>341</v>
      </c>
      <c r="Y29" s="286">
        <v>341</v>
      </c>
      <c r="AA29" s="386">
        <f t="shared" si="0"/>
        <v>0</v>
      </c>
      <c r="AB29" s="286">
        <f t="shared" si="1"/>
        <v>0</v>
      </c>
    </row>
    <row r="30" spans="1:28" ht="82.5" customHeight="1" x14ac:dyDescent="0.3">
      <c r="A30" s="212">
        <f>'Unit Data from Audit Worksheet'!A36</f>
        <v>386</v>
      </c>
      <c r="B30" s="225" t="str">
        <f>'Unit Data from Audit Worksheet'!C36</f>
        <v>Statement of Activities - Governmental</v>
      </c>
      <c r="C30" s="211" t="str">
        <f>'Unit Data from Audit Worksheet'!D36</f>
        <v>Total Transfers in    (Preference is that transfers-in  are not netted against transfers-out)</v>
      </c>
      <c r="D30" s="102"/>
      <c r="E30" s="231">
        <f>'Unit Data from Audit Worksheet'!F36</f>
        <v>0</v>
      </c>
      <c r="F30" s="224">
        <f t="shared" si="4"/>
        <v>0</v>
      </c>
      <c r="G30" s="226"/>
      <c r="H30" s="223"/>
      <c r="I30" s="32"/>
      <c r="J30" s="222">
        <v>386</v>
      </c>
      <c r="K30" s="221" t="s">
        <v>185</v>
      </c>
      <c r="L30" s="289">
        <f t="shared" si="3"/>
        <v>0</v>
      </c>
      <c r="P30" s="196"/>
      <c r="X30" s="552">
        <v>386</v>
      </c>
      <c r="Y30" s="286">
        <v>386</v>
      </c>
      <c r="AA30" s="386">
        <f t="shared" si="0"/>
        <v>0</v>
      </c>
      <c r="AB30" s="286">
        <f t="shared" si="1"/>
        <v>0</v>
      </c>
    </row>
    <row r="31" spans="1:28" ht="82.5" customHeight="1" x14ac:dyDescent="0.3">
      <c r="A31" s="212">
        <f>'Unit Data from Audit Worksheet'!A37</f>
        <v>387</v>
      </c>
      <c r="B31" s="225" t="str">
        <f>'Unit Data from Audit Worksheet'!C37</f>
        <v>Statement of Activities - Governmental</v>
      </c>
      <c r="C31" s="211" t="str">
        <f>'Unit Data from Audit Worksheet'!D37</f>
        <v>Total Transfers out    (Preference is that transfers-in  are not netted against transfers-out)</v>
      </c>
      <c r="D31" s="102"/>
      <c r="E31" s="231">
        <f>'Unit Data from Audit Worksheet'!F37</f>
        <v>0</v>
      </c>
      <c r="F31" s="224">
        <f>IF(L31&lt;0,"Error: Enter as a positive.",)</f>
        <v>0</v>
      </c>
      <c r="G31" s="226"/>
      <c r="H31" s="223"/>
      <c r="I31" s="32"/>
      <c r="J31" s="222">
        <v>387</v>
      </c>
      <c r="K31" s="221" t="s">
        <v>186</v>
      </c>
      <c r="L31" s="289">
        <f t="shared" si="3"/>
        <v>0</v>
      </c>
      <c r="P31" s="196"/>
      <c r="X31" s="552">
        <v>387</v>
      </c>
      <c r="Y31" s="286">
        <v>387</v>
      </c>
      <c r="AA31" s="386">
        <f t="shared" si="0"/>
        <v>0</v>
      </c>
      <c r="AB31" s="286">
        <f t="shared" si="1"/>
        <v>0</v>
      </c>
    </row>
    <row r="32" spans="1:28" ht="82.5" customHeight="1" x14ac:dyDescent="0.3">
      <c r="A32" s="212">
        <f>'Unit Data from Audit Worksheet'!A38</f>
        <v>389</v>
      </c>
      <c r="B32" s="225" t="str">
        <f>'Unit Data from Audit Worksheet'!C38</f>
        <v>Statement of Activities - Governmental</v>
      </c>
      <c r="C32" s="211" t="str">
        <f>'Unit Data from Audit Worksheet'!D38</f>
        <v>Total Special and Extraordinary items.    (Amounts that increase net position are recorded as positive and amounts that decrease net position are recorded as negative)</v>
      </c>
      <c r="D32" s="102"/>
      <c r="E32" s="231">
        <f>'Unit Data from Audit Worksheet'!F38</f>
        <v>0</v>
      </c>
      <c r="F32" s="224"/>
      <c r="G32" s="226"/>
      <c r="H32" s="223"/>
      <c r="I32" s="32"/>
      <c r="J32" s="222">
        <v>389</v>
      </c>
      <c r="K32" s="221" t="s">
        <v>187</v>
      </c>
      <c r="L32" s="289">
        <f t="shared" si="3"/>
        <v>0</v>
      </c>
      <c r="N32" s="297"/>
      <c r="P32" s="196"/>
      <c r="X32" s="552">
        <v>389</v>
      </c>
      <c r="Y32" s="286">
        <v>389</v>
      </c>
      <c r="AA32" s="386">
        <f t="shared" si="0"/>
        <v>0</v>
      </c>
      <c r="AB32" s="286">
        <f t="shared" si="1"/>
        <v>0</v>
      </c>
    </row>
    <row r="33" spans="1:28" ht="79.5" customHeight="1" x14ac:dyDescent="0.3">
      <c r="A33" s="212">
        <f>'Unit Data from Audit Worksheet'!A39</f>
        <v>255</v>
      </c>
      <c r="B33" s="225" t="str">
        <f>'Unit Data from Audit Worksheet'!C39</f>
        <v>Statement of Activities - Governmental</v>
      </c>
      <c r="C33" s="211" t="str">
        <f>'Unit Data from Audit Worksheet'!D39</f>
        <v>Total Change in net position - (Increase in net position is recorded as a positive and a decrease in net position is recorded as a negative)</v>
      </c>
      <c r="D33" s="102"/>
      <c r="E33" s="231">
        <f>'Unit Data from Audit Worksheet'!F39</f>
        <v>0</v>
      </c>
      <c r="F33" s="224">
        <f>IF((L26+L27+L28+L29+L30-L31+L32-L25-L33)=0,,"Total revenues less total expenses do not equal total change in net position. Acct 339+504+505+341+386-387+389-388-255=0")</f>
        <v>0</v>
      </c>
      <c r="G33" s="84">
        <f>L26+L27+L28+L29+L30-L31+L32-L25-L33</f>
        <v>0</v>
      </c>
      <c r="H33" s="223"/>
      <c r="I33" s="32"/>
      <c r="J33" s="222">
        <v>255</v>
      </c>
      <c r="K33" s="221" t="s">
        <v>188</v>
      </c>
      <c r="L33" s="289">
        <f t="shared" si="3"/>
        <v>0</v>
      </c>
      <c r="O33" s="296" t="e">
        <f>'Unit Data from Audit Worksheet'!E39</f>
        <v>#N/A</v>
      </c>
      <c r="P33" s="196"/>
      <c r="X33" s="552">
        <v>255</v>
      </c>
      <c r="Y33" s="286">
        <v>255</v>
      </c>
      <c r="AA33" s="386">
        <f t="shared" si="0"/>
        <v>0</v>
      </c>
      <c r="AB33" s="286">
        <f t="shared" si="1"/>
        <v>0</v>
      </c>
    </row>
    <row r="34" spans="1:28" ht="89.25" customHeight="1" x14ac:dyDescent="0.3">
      <c r="A34" s="212">
        <f>'Unit Data from Audit Worksheet'!A40</f>
        <v>376</v>
      </c>
      <c r="B34" s="225" t="str">
        <f>'Unit Data from Audit Worksheet'!C40</f>
        <v>Statement of Activities - Governmental</v>
      </c>
      <c r="C34" s="211" t="str">
        <f>'Unit Data from Audit Worksheet'!D40</f>
        <v>Any adjustment to beginning net position including rounding, prior period adjustments and restatements.   (Increases to net position are positive; decreases to net position are negative)</v>
      </c>
      <c r="D34" s="102"/>
      <c r="E34" s="231">
        <f>'Unit Data from Audit Worksheet'!F40</f>
        <v>0</v>
      </c>
      <c r="F34" s="80" t="e">
        <f>IF(L19+L20+L21-L33-L34=O19+O20+O21,,"Beginning Balance does not agree with our records acct (252+253+254-255-376=PY252+PY253+PY254)")</f>
        <v>#N/A</v>
      </c>
      <c r="G34" s="85" t="e">
        <f>L19+L20+L21-L33-L34-(O19+O20+O21)</f>
        <v>#N/A</v>
      </c>
      <c r="H34" s="223" t="e">
        <f>'Unit Data from Audit Worksheet'!I40</f>
        <v>#N/A</v>
      </c>
      <c r="I34" s="32"/>
      <c r="J34" s="222">
        <v>376</v>
      </c>
      <c r="K34" s="221" t="s">
        <v>100</v>
      </c>
      <c r="L34" s="289">
        <f t="shared" si="3"/>
        <v>0</v>
      </c>
      <c r="O34" s="296" t="e">
        <f>'Unit Data from Audit Worksheet'!E40</f>
        <v>#N/A</v>
      </c>
      <c r="P34" s="196"/>
      <c r="R34" s="384"/>
      <c r="S34" s="384"/>
      <c r="T34" s="384"/>
      <c r="U34" s="384"/>
      <c r="V34" s="384"/>
      <c r="W34" s="384"/>
      <c r="X34" s="552">
        <v>376</v>
      </c>
      <c r="Y34" s="286">
        <v>376</v>
      </c>
      <c r="Z34" s="384"/>
      <c r="AA34" s="386">
        <f t="shared" si="0"/>
        <v>0</v>
      </c>
      <c r="AB34" s="286">
        <f t="shared" si="1"/>
        <v>0</v>
      </c>
    </row>
    <row r="35" spans="1:28" ht="157.5" customHeight="1" x14ac:dyDescent="0.3">
      <c r="A35" s="212">
        <f>'Unit Data from Audit Worksheet'!A41</f>
        <v>597</v>
      </c>
      <c r="B35" s="225" t="str">
        <f>'Unit Data from Audit Worksheet'!C41</f>
        <v>Statement of Activities                               (all governmental and business funds)</v>
      </c>
      <c r="C35" s="211"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1">
        <f>'Unit Data from Audit Worksheet'!F41</f>
        <v>0</v>
      </c>
      <c r="F35" s="224">
        <f>IF(L35&lt;0,"Error: Number is normally positive.",)</f>
        <v>0</v>
      </c>
      <c r="G35" s="226"/>
      <c r="H35" s="223"/>
      <c r="I35" s="32"/>
      <c r="J35" s="222">
        <v>597</v>
      </c>
      <c r="K35" s="221" t="s">
        <v>338</v>
      </c>
      <c r="L35" s="289">
        <f t="shared" si="3"/>
        <v>0</v>
      </c>
      <c r="O35" s="296"/>
      <c r="P35" s="196"/>
      <c r="R35" s="384"/>
      <c r="S35" s="384"/>
      <c r="T35" s="384"/>
      <c r="U35" s="384"/>
      <c r="V35" s="384"/>
      <c r="W35" s="384"/>
      <c r="X35" s="552">
        <v>597</v>
      </c>
      <c r="Y35" s="286">
        <v>597</v>
      </c>
      <c r="Z35" s="384"/>
      <c r="AA35" s="386">
        <f t="shared" si="0"/>
        <v>0</v>
      </c>
      <c r="AB35" s="286">
        <f t="shared" si="1"/>
        <v>0</v>
      </c>
    </row>
    <row r="36" spans="1:28" ht="90" customHeight="1" x14ac:dyDescent="0.3">
      <c r="A36" s="212">
        <f>'Unit Data from Audit Worksheet'!A43</f>
        <v>592</v>
      </c>
      <c r="B36" s="225" t="str">
        <f>'Unit Data from Audit Worksheet'!C43</f>
        <v>Statement of Activities - Business Activities</v>
      </c>
      <c r="C36" s="211" t="str">
        <f>'Unit Data from Audit Worksheet'!D43</f>
        <v>Total Change in net position Business Type 
(Increase in net position is recorded as a positive and a decrease in net position is recorded as a negative)</v>
      </c>
      <c r="D36" s="102"/>
      <c r="E36" s="231">
        <f>'Unit Data from Audit Worksheet'!F43</f>
        <v>0</v>
      </c>
      <c r="F36" s="224"/>
      <c r="G36" s="226"/>
      <c r="H36" s="223"/>
      <c r="I36" s="32"/>
      <c r="J36" s="222">
        <v>592</v>
      </c>
      <c r="K36" s="221" t="s">
        <v>330</v>
      </c>
      <c r="L36" s="289">
        <f t="shared" si="3"/>
        <v>0</v>
      </c>
      <c r="O36" s="296"/>
      <c r="P36" s="196"/>
      <c r="R36" s="384"/>
      <c r="S36" s="384"/>
      <c r="T36" s="384"/>
      <c r="U36" s="384"/>
      <c r="V36" s="384"/>
      <c r="W36" s="384"/>
      <c r="X36" s="552">
        <v>592</v>
      </c>
      <c r="Y36" s="286">
        <v>592</v>
      </c>
      <c r="Z36" s="384"/>
      <c r="AA36" s="386">
        <f t="shared" si="0"/>
        <v>0</v>
      </c>
      <c r="AB36" s="286">
        <f t="shared" si="1"/>
        <v>0</v>
      </c>
    </row>
    <row r="37" spans="1:28" ht="66" customHeight="1" x14ac:dyDescent="0.3">
      <c r="A37" s="212">
        <f>'Unit Data from Audit Worksheet'!A44</f>
        <v>591</v>
      </c>
      <c r="B37" s="225" t="str">
        <f>'Unit Data from Audit Worksheet'!C44</f>
        <v>Statement of Activities - Business Activities</v>
      </c>
      <c r="C37" s="211" t="str">
        <f>'Unit Data from Audit Worksheet'!D44</f>
        <v>Total Expenses - Exclude Transfers</v>
      </c>
      <c r="D37" s="102"/>
      <c r="E37" s="231">
        <f>'Unit Data from Audit Worksheet'!F44</f>
        <v>0</v>
      </c>
      <c r="F37" s="224">
        <f>IF(L37&lt;0,"Error: Enter as a positive.",)</f>
        <v>0</v>
      </c>
      <c r="G37" s="226"/>
      <c r="H37" s="223"/>
      <c r="I37" s="32"/>
      <c r="J37" s="222">
        <v>591</v>
      </c>
      <c r="K37" s="221" t="s">
        <v>329</v>
      </c>
      <c r="L37" s="289">
        <f t="shared" si="3"/>
        <v>0</v>
      </c>
      <c r="O37" s="296"/>
      <c r="P37" s="196"/>
      <c r="R37" s="384"/>
      <c r="S37" s="384"/>
      <c r="T37" s="384"/>
      <c r="U37" s="384"/>
      <c r="V37" s="384"/>
      <c r="W37" s="384"/>
      <c r="X37" s="552">
        <v>591</v>
      </c>
      <c r="Y37" s="286">
        <v>591</v>
      </c>
      <c r="Z37" s="384"/>
      <c r="AA37" s="386">
        <f t="shared" si="0"/>
        <v>0</v>
      </c>
      <c r="AB37" s="286">
        <f t="shared" si="1"/>
        <v>0</v>
      </c>
    </row>
    <row r="38" spans="1:28" ht="54" customHeight="1" x14ac:dyDescent="0.3">
      <c r="A38" s="212">
        <f>'Unit Data from Audit Worksheet'!A46</f>
        <v>506</v>
      </c>
      <c r="B38" s="47" t="str">
        <f>'Unit Data from Audit Worksheet'!C46</f>
        <v>General Fund-Balance Sheet</v>
      </c>
      <c r="C38" s="298"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3"/>
      <c r="I38" s="32"/>
      <c r="J38" s="35">
        <v>506</v>
      </c>
      <c r="K38" s="221" t="s">
        <v>189</v>
      </c>
      <c r="L38" s="299">
        <f t="shared" ref="L38:L51" si="5">IF(D38="",E38,D38)</f>
        <v>0</v>
      </c>
      <c r="P38" s="197"/>
      <c r="X38" s="552">
        <v>506</v>
      </c>
      <c r="Y38" s="286">
        <v>506</v>
      </c>
      <c r="AA38" s="386">
        <f t="shared" si="0"/>
        <v>0</v>
      </c>
      <c r="AB38" s="286">
        <f t="shared" si="1"/>
        <v>0</v>
      </c>
    </row>
    <row r="39" spans="1:28" ht="45.75" customHeight="1" x14ac:dyDescent="0.3">
      <c r="A39" s="212">
        <f>'Unit Data from Audit Worksheet'!A47</f>
        <v>536</v>
      </c>
      <c r="B39" s="47" t="str">
        <f>'Unit Data from Audit Worksheet'!C47</f>
        <v>General Fund-Balance Sheet</v>
      </c>
      <c r="C39" s="298" t="str">
        <f>'Unit Data from Audit Worksheet'!D47</f>
        <v>All restricted cash and investments</v>
      </c>
      <c r="D39" s="102"/>
      <c r="E39" s="144">
        <f>'Unit Data from Audit Worksheet'!F47</f>
        <v>0</v>
      </c>
      <c r="F39" s="31">
        <f>IF(L39&lt;0,"Error: Number is normally positive.",)</f>
        <v>0</v>
      </c>
      <c r="G39" s="66"/>
      <c r="H39" s="223"/>
      <c r="I39" s="32"/>
      <c r="J39" s="35">
        <v>536</v>
      </c>
      <c r="K39" s="221" t="s">
        <v>190</v>
      </c>
      <c r="L39" s="299">
        <f t="shared" si="5"/>
        <v>0</v>
      </c>
      <c r="P39" s="198"/>
      <c r="Q39" s="293"/>
      <c r="S39" s="292"/>
      <c r="T39" s="292"/>
      <c r="U39" s="292"/>
      <c r="V39" s="292"/>
      <c r="W39" s="18"/>
      <c r="X39" s="552">
        <v>536</v>
      </c>
      <c r="Y39" s="286">
        <v>536</v>
      </c>
      <c r="Z39" s="18"/>
      <c r="AA39" s="386">
        <f t="shared" si="0"/>
        <v>0</v>
      </c>
      <c r="AB39" s="286">
        <f t="shared" si="1"/>
        <v>0</v>
      </c>
    </row>
    <row r="40" spans="1:28" ht="56.25" customHeight="1" x14ac:dyDescent="0.3">
      <c r="A40" s="212">
        <f>'Unit Data from Audit Worksheet'!A48</f>
        <v>586</v>
      </c>
      <c r="B40" s="225" t="str">
        <f>'Unit Data from Audit Worksheet'!C48</f>
        <v>General Fund-Balance Sheet</v>
      </c>
      <c r="C40" s="211" t="str">
        <f>'Unit Data from Audit Worksheet'!D48</f>
        <v>Advance To: Interfund loan receivable-portion of repayment plan longer than 12 months</v>
      </c>
      <c r="D40" s="134"/>
      <c r="E40" s="231">
        <f>'Unit Data from Audit Worksheet'!F48</f>
        <v>0</v>
      </c>
      <c r="F40" s="224"/>
      <c r="G40" s="226"/>
      <c r="H40" s="223"/>
      <c r="I40" s="32"/>
      <c r="J40" s="222">
        <v>586</v>
      </c>
      <c r="K40" s="211" t="s">
        <v>315</v>
      </c>
      <c r="L40" s="289">
        <f t="shared" si="5"/>
        <v>0</v>
      </c>
      <c r="P40" s="198"/>
      <c r="Q40" s="293"/>
      <c r="S40" s="292"/>
      <c r="T40" s="292"/>
      <c r="U40" s="292"/>
      <c r="V40" s="292"/>
      <c r="W40" s="18"/>
      <c r="X40" s="552">
        <v>586</v>
      </c>
      <c r="Y40" s="286">
        <v>586</v>
      </c>
      <c r="Z40" s="18"/>
      <c r="AA40" s="386">
        <f t="shared" si="0"/>
        <v>0</v>
      </c>
      <c r="AB40" s="286">
        <f t="shared" si="1"/>
        <v>0</v>
      </c>
    </row>
    <row r="41" spans="1:28" ht="28.8" x14ac:dyDescent="0.3">
      <c r="A41" s="212">
        <f>'Unit Data from Audit Worksheet'!A49</f>
        <v>379</v>
      </c>
      <c r="B41" s="225" t="str">
        <f>'Unit Data from Audit Worksheet'!C49</f>
        <v>General Fund-Balance Sheet</v>
      </c>
      <c r="C41" s="211" t="str">
        <f>'Unit Data from Audit Worksheet'!D49</f>
        <v>Total Assets and deferred outflows</v>
      </c>
      <c r="D41" s="134"/>
      <c r="E41" s="231">
        <f>'Unit Data from Audit Worksheet'!F49</f>
        <v>0</v>
      </c>
      <c r="F41" s="77">
        <f>IF((L38+L39)&gt;L41,"Error: Please review accts (506+536)&gt;379",)</f>
        <v>0</v>
      </c>
      <c r="G41" s="226"/>
      <c r="H41" s="223"/>
      <c r="I41" s="32"/>
      <c r="J41" s="222">
        <v>379</v>
      </c>
      <c r="K41" s="221" t="s">
        <v>110</v>
      </c>
      <c r="L41" s="289">
        <f t="shared" si="5"/>
        <v>0</v>
      </c>
      <c r="P41" s="195"/>
      <c r="X41" s="552">
        <v>379</v>
      </c>
      <c r="Y41" s="286">
        <v>379</v>
      </c>
      <c r="AA41" s="386">
        <f t="shared" si="0"/>
        <v>0</v>
      </c>
      <c r="AB41" s="286">
        <f t="shared" si="1"/>
        <v>0</v>
      </c>
    </row>
    <row r="42" spans="1:28" ht="106.5" customHeight="1" x14ac:dyDescent="0.3">
      <c r="A42" s="212">
        <f>'Unit Data from Audit Worksheet'!A50</f>
        <v>368</v>
      </c>
      <c r="B42" s="225" t="str">
        <f>'Unit Data from Audit Worksheet'!C50</f>
        <v>General Fund-Balance Sheet</v>
      </c>
      <c r="C42" s="211"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31">
        <f>'Unit Data from Audit Worksheet'!F50</f>
        <v>0</v>
      </c>
      <c r="F42" s="224">
        <f>IF(L42&lt;0,"Error: Enter as a positive.",)</f>
        <v>0</v>
      </c>
      <c r="G42" s="226"/>
      <c r="H42" s="223"/>
      <c r="I42" s="32"/>
      <c r="J42" s="222">
        <v>368</v>
      </c>
      <c r="K42" s="221" t="s">
        <v>191</v>
      </c>
      <c r="L42" s="289">
        <f t="shared" si="5"/>
        <v>0</v>
      </c>
      <c r="P42" s="196"/>
      <c r="S42" s="18"/>
      <c r="T42" s="18"/>
      <c r="U42" s="18"/>
      <c r="V42" s="18"/>
      <c r="X42" s="552">
        <v>368</v>
      </c>
      <c r="Y42" s="286">
        <v>368</v>
      </c>
      <c r="Z42" s="18"/>
      <c r="AA42" s="386">
        <f t="shared" si="0"/>
        <v>0</v>
      </c>
      <c r="AB42" s="286">
        <f t="shared" si="1"/>
        <v>0</v>
      </c>
    </row>
    <row r="43" spans="1:28" ht="90.75" customHeight="1" x14ac:dyDescent="0.3">
      <c r="A43" s="212">
        <f>'Unit Data from Audit Worksheet'!A51</f>
        <v>4</v>
      </c>
      <c r="B43" s="47" t="str">
        <f>'Unit Data from Audit Worksheet'!C51</f>
        <v>General Fund-Balance Sheet</v>
      </c>
      <c r="C43" s="298"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3"/>
      <c r="I43" s="32"/>
      <c r="J43" s="35">
        <v>4</v>
      </c>
      <c r="K43" s="221" t="s">
        <v>111</v>
      </c>
      <c r="L43" s="299">
        <f t="shared" si="5"/>
        <v>0</v>
      </c>
      <c r="P43" s="196"/>
      <c r="S43" s="18"/>
      <c r="T43" s="18"/>
      <c r="U43" s="18"/>
      <c r="V43" s="18"/>
      <c r="X43" s="552">
        <v>4</v>
      </c>
      <c r="Y43" s="286">
        <v>4</v>
      </c>
      <c r="Z43" s="18"/>
      <c r="AA43" s="386">
        <f t="shared" si="0"/>
        <v>0</v>
      </c>
      <c r="AB43" s="286">
        <f t="shared" si="1"/>
        <v>0</v>
      </c>
    </row>
    <row r="44" spans="1:28" ht="131.25" customHeight="1" x14ac:dyDescent="0.3">
      <c r="A44" s="212">
        <f>'Unit Data from Audit Worksheet'!A52</f>
        <v>5</v>
      </c>
      <c r="B44" s="47" t="str">
        <f>'Unit Data from Audit Worksheet'!C52</f>
        <v>General Fund-Balance Sheet</v>
      </c>
      <c r="C44" s="298"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3"/>
      <c r="I44" s="32"/>
      <c r="J44" s="35">
        <v>5</v>
      </c>
      <c r="K44" s="221" t="s">
        <v>112</v>
      </c>
      <c r="L44" s="299">
        <f t="shared" si="5"/>
        <v>0</v>
      </c>
      <c r="P44" s="196"/>
      <c r="S44" s="18"/>
      <c r="T44" s="18"/>
      <c r="U44" s="18"/>
      <c r="V44" s="18"/>
      <c r="X44" s="552">
        <v>5</v>
      </c>
      <c r="Y44" s="286">
        <v>5</v>
      </c>
      <c r="Z44" s="18"/>
      <c r="AA44" s="386">
        <f t="shared" si="0"/>
        <v>0</v>
      </c>
      <c r="AB44" s="286">
        <f t="shared" si="1"/>
        <v>0</v>
      </c>
    </row>
    <row r="45" spans="1:28" ht="104.25" customHeight="1" x14ac:dyDescent="0.3">
      <c r="A45" s="212">
        <f>'Unit Data from Audit Worksheet'!A53</f>
        <v>380</v>
      </c>
      <c r="B45" s="225" t="str">
        <f>'Unit Data from Audit Worksheet'!C53</f>
        <v>General Fund-Balance Sheet</v>
      </c>
      <c r="C45" s="211"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31">
        <f>'Unit Data from Audit Worksheet'!F53</f>
        <v>0</v>
      </c>
      <c r="F45" s="224">
        <f t="shared" si="6"/>
        <v>0</v>
      </c>
      <c r="G45" s="226"/>
      <c r="H45" s="223"/>
      <c r="I45" s="32"/>
      <c r="J45" s="222">
        <v>380</v>
      </c>
      <c r="K45" s="221" t="s">
        <v>113</v>
      </c>
      <c r="L45" s="289">
        <f t="shared" si="5"/>
        <v>0</v>
      </c>
      <c r="P45" s="196"/>
      <c r="X45" s="552">
        <v>380</v>
      </c>
      <c r="Y45" s="286">
        <v>380</v>
      </c>
      <c r="AA45" s="386">
        <f t="shared" si="0"/>
        <v>0</v>
      </c>
      <c r="AB45" s="286">
        <f t="shared" si="1"/>
        <v>0</v>
      </c>
    </row>
    <row r="46" spans="1:28" ht="41.25" customHeight="1" x14ac:dyDescent="0.3">
      <c r="A46" s="212">
        <f>'Unit Data from Audit Worksheet'!A54</f>
        <v>391</v>
      </c>
      <c r="B46" s="225" t="str">
        <f>'Unit Data from Audit Worksheet'!C54</f>
        <v>General Fund-Balance Sheet</v>
      </c>
      <c r="C46" s="211" t="str">
        <f>'Unit Data from Audit Worksheet'!D54</f>
        <v xml:space="preserve">Fund balance, Restricted for Stabilization by State Statute </v>
      </c>
      <c r="D46" s="134"/>
      <c r="E46" s="231">
        <f>'Unit Data from Audit Worksheet'!F54</f>
        <v>0</v>
      </c>
      <c r="F46" s="224">
        <f t="shared" si="6"/>
        <v>0</v>
      </c>
      <c r="G46" s="226"/>
      <c r="H46" s="223"/>
      <c r="I46" s="32"/>
      <c r="J46" s="222">
        <v>391</v>
      </c>
      <c r="K46" s="221" t="s">
        <v>192</v>
      </c>
      <c r="L46" s="289">
        <f t="shared" si="5"/>
        <v>0</v>
      </c>
      <c r="P46" s="196"/>
      <c r="X46" s="552">
        <v>391</v>
      </c>
      <c r="Y46" s="286">
        <v>391</v>
      </c>
      <c r="AA46" s="386">
        <f t="shared" si="0"/>
        <v>0</v>
      </c>
      <c r="AB46" s="286">
        <f t="shared" si="1"/>
        <v>0</v>
      </c>
    </row>
    <row r="47" spans="1:28" ht="28.8" x14ac:dyDescent="0.3">
      <c r="A47" s="212">
        <f>'Unit Data from Audit Worksheet'!A55</f>
        <v>7</v>
      </c>
      <c r="B47" s="47" t="str">
        <f>'Unit Data from Audit Worksheet'!C55</f>
        <v>General Fund-Balance Sheet</v>
      </c>
      <c r="C47" s="298" t="str">
        <f>'Unit Data from Audit Worksheet'!D55</f>
        <v>Fund balance, Nonspendable-  inventory/prepaids/etc.</v>
      </c>
      <c r="D47" s="134"/>
      <c r="E47" s="144">
        <f>'Unit Data from Audit Worksheet'!F55</f>
        <v>0</v>
      </c>
      <c r="F47" s="31">
        <f t="shared" si="6"/>
        <v>0</v>
      </c>
      <c r="G47" s="66"/>
      <c r="H47" s="223"/>
      <c r="I47" s="32"/>
      <c r="J47" s="35">
        <v>7</v>
      </c>
      <c r="K47" s="221" t="s">
        <v>193</v>
      </c>
      <c r="L47" s="299">
        <f t="shared" si="5"/>
        <v>0</v>
      </c>
      <c r="P47" s="196"/>
      <c r="X47" s="552">
        <v>7</v>
      </c>
      <c r="Y47" s="286">
        <v>7</v>
      </c>
      <c r="AA47" s="386">
        <f t="shared" si="0"/>
        <v>0</v>
      </c>
      <c r="AB47" s="286">
        <f t="shared" si="1"/>
        <v>0</v>
      </c>
    </row>
    <row r="48" spans="1:28" ht="89.25" customHeight="1" x14ac:dyDescent="0.3">
      <c r="A48" s="300">
        <f>'Unit Data from Audit Worksheet'!A56</f>
        <v>11</v>
      </c>
      <c r="B48" s="109" t="str">
        <f>'Unit Data from Audit Worksheet'!C56</f>
        <v>General Fund-Balance Sheet</v>
      </c>
      <c r="C48" s="291"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9">
        <f t="shared" si="5"/>
        <v>0</v>
      </c>
      <c r="P48" s="196"/>
      <c r="X48" s="552">
        <v>11</v>
      </c>
      <c r="Y48" s="286">
        <v>11</v>
      </c>
      <c r="AA48" s="386">
        <f t="shared" si="0"/>
        <v>0</v>
      </c>
      <c r="AB48" s="286">
        <f t="shared" si="1"/>
        <v>0</v>
      </c>
    </row>
    <row r="49" spans="1:28" s="18" customFormat="1" ht="48.75" customHeight="1" x14ac:dyDescent="0.3">
      <c r="A49" s="190">
        <f>'Unit Data from Audit Worksheet'!A57</f>
        <v>645</v>
      </c>
      <c r="B49" s="235" t="str">
        <f>'Unit Data from Audit Worksheet'!C57</f>
        <v>General Fund-Balance Sheet</v>
      </c>
      <c r="C49" s="190" t="str">
        <f>'Unit Data from Audit Worksheet'!D57</f>
        <v>Fund balance, Assigned (total of all assigned components)</v>
      </c>
      <c r="D49" s="108"/>
      <c r="E49" s="234">
        <f>'Unit Data from Audit Worksheet'!F57</f>
        <v>0</v>
      </c>
      <c r="F49" s="219">
        <f>IF(L49&lt;0,"Error: Enter as a positive.",)</f>
        <v>0</v>
      </c>
      <c r="G49" s="207"/>
      <c r="H49" s="219"/>
      <c r="I49" s="301"/>
      <c r="J49" s="218">
        <v>645</v>
      </c>
      <c r="K49" s="190" t="s">
        <v>383</v>
      </c>
      <c r="L49" s="302">
        <f t="shared" si="5"/>
        <v>0</v>
      </c>
      <c r="M49"/>
      <c r="N49" s="292"/>
      <c r="O49" s="292"/>
      <c r="P49" s="196"/>
      <c r="Q49" s="279"/>
      <c r="R49" s="3"/>
      <c r="S49" s="3"/>
      <c r="T49" s="3"/>
      <c r="U49" s="3"/>
      <c r="V49" s="3"/>
      <c r="W49" s="3"/>
      <c r="X49" s="552">
        <v>645</v>
      </c>
      <c r="Y49" s="286">
        <v>645</v>
      </c>
      <c r="Z49" s="3"/>
      <c r="AA49" s="386">
        <f t="shared" si="0"/>
        <v>0</v>
      </c>
      <c r="AB49" s="286">
        <f t="shared" si="1"/>
        <v>0</v>
      </c>
    </row>
    <row r="50" spans="1:28" s="18" customFormat="1" ht="45.75" customHeight="1" x14ac:dyDescent="0.3">
      <c r="A50" s="190">
        <f>'Unit Data from Audit Worksheet'!A58</f>
        <v>646</v>
      </c>
      <c r="B50" s="235" t="str">
        <f>'Unit Data from Audit Worksheet'!C58</f>
        <v>General Fund-Balance Sheet</v>
      </c>
      <c r="C50" s="190" t="str">
        <f>'Unit Data from Audit Worksheet'!D58</f>
        <v>Fund Balance, Unassigned</v>
      </c>
      <c r="D50" s="108"/>
      <c r="E50" s="234">
        <f>'Unit Data from Audit Worksheet'!F58</f>
        <v>0</v>
      </c>
      <c r="F50" s="219">
        <f>IF(L50&lt;0,"Error: Enter as a positive.",)</f>
        <v>0</v>
      </c>
      <c r="G50" s="207"/>
      <c r="H50" s="219"/>
      <c r="I50" s="301"/>
      <c r="J50" s="218">
        <v>646</v>
      </c>
      <c r="K50" s="190" t="s">
        <v>384</v>
      </c>
      <c r="L50" s="302">
        <f t="shared" si="5"/>
        <v>0</v>
      </c>
      <c r="M50"/>
      <c r="N50" s="292"/>
      <c r="O50" s="292"/>
      <c r="P50" s="196"/>
      <c r="Q50" s="279"/>
      <c r="R50" s="3"/>
      <c r="S50" s="3"/>
      <c r="T50" s="3"/>
      <c r="U50" s="3"/>
      <c r="V50" s="3"/>
      <c r="W50" s="3"/>
      <c r="X50" s="552">
        <v>646</v>
      </c>
      <c r="Y50" s="286">
        <v>646</v>
      </c>
      <c r="Z50" s="3"/>
      <c r="AA50" s="386">
        <f t="shared" si="0"/>
        <v>0</v>
      </c>
      <c r="AB50" s="286">
        <f t="shared" si="1"/>
        <v>0</v>
      </c>
    </row>
    <row r="51" spans="1:28" ht="55.5" customHeight="1" x14ac:dyDescent="0.3">
      <c r="A51" s="287">
        <f>'Unit Data from Audit Worksheet'!A59</f>
        <v>9</v>
      </c>
      <c r="B51" s="110" t="str">
        <f>'Unit Data from Audit Worksheet'!C59</f>
        <v>General Fund-Balance Sheet</v>
      </c>
      <c r="C51" s="303"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3"/>
      <c r="I51" s="32"/>
      <c r="J51" s="113">
        <v>9</v>
      </c>
      <c r="K51" s="45" t="s">
        <v>195</v>
      </c>
      <c r="L51" s="299">
        <f t="shared" si="5"/>
        <v>0</v>
      </c>
      <c r="O51" s="296" t="e">
        <f>'Unit Data from Audit Worksheet'!E59</f>
        <v>#N/A</v>
      </c>
      <c r="P51" s="196"/>
      <c r="X51" s="552">
        <v>9</v>
      </c>
      <c r="Y51" s="286">
        <v>9</v>
      </c>
      <c r="AA51" s="386">
        <f t="shared" si="0"/>
        <v>0</v>
      </c>
      <c r="AB51" s="286">
        <f t="shared" si="1"/>
        <v>0</v>
      </c>
    </row>
    <row r="52" spans="1:28" s="18" customFormat="1" ht="73.5" customHeight="1" x14ac:dyDescent="0.3">
      <c r="A52" s="212">
        <f>'Unit Data from Audit Worksheet'!A60</f>
        <v>540</v>
      </c>
      <c r="B52" s="225" t="str">
        <f>'Unit Data from Audit Worksheet'!C60</f>
        <v>General Fund - Budget Actual Statement</v>
      </c>
      <c r="C52" s="211" t="str">
        <f>'Unit Data from Audit Worksheet'!D60</f>
        <v>Amount of the General Fund Balance appropriated in next year's budget. As reported on the General Fund Balance Sheet.</v>
      </c>
      <c r="D52" s="134"/>
      <c r="E52" s="231">
        <f>'Unit Data from Audit Worksheet'!F60</f>
        <v>0</v>
      </c>
      <c r="F52" s="224">
        <f t="shared" si="6"/>
        <v>0</v>
      </c>
      <c r="G52" s="226"/>
      <c r="H52" s="223"/>
      <c r="I52" s="32"/>
      <c r="J52" s="222">
        <v>540</v>
      </c>
      <c r="K52" s="221" t="s">
        <v>253</v>
      </c>
      <c r="L52" s="289">
        <f t="shared" ref="L52:L79" si="7">IF(D52="",E52,D52)</f>
        <v>0</v>
      </c>
      <c r="M52"/>
      <c r="P52" s="196"/>
      <c r="Q52" s="279"/>
      <c r="R52" s="3"/>
      <c r="S52" s="3"/>
      <c r="T52" s="3"/>
      <c r="U52" s="3"/>
      <c r="V52" s="3"/>
      <c r="W52" s="3"/>
      <c r="X52" s="552">
        <v>540</v>
      </c>
      <c r="Y52" s="286">
        <v>540</v>
      </c>
      <c r="Z52" s="3"/>
      <c r="AA52" s="386">
        <f t="shared" si="0"/>
        <v>0</v>
      </c>
      <c r="AB52" s="286">
        <f t="shared" si="1"/>
        <v>0</v>
      </c>
    </row>
    <row r="53" spans="1:28" s="18" customFormat="1" ht="73.5" customHeight="1" x14ac:dyDescent="0.3">
      <c r="A53" s="212">
        <f>'Unit Data from Audit Worksheet'!A61</f>
        <v>1052</v>
      </c>
      <c r="B53" s="225" t="str">
        <f>'Unit Data from Audit Worksheet'!C61</f>
        <v>General Fund-Rev, Exp. Change in Fund Balance</v>
      </c>
      <c r="C53" s="211" t="str">
        <f>'Unit Data from Audit Worksheet'!D61</f>
        <v>Mark to Market unrealized losses in the General Fund. (enter as a negative number)</v>
      </c>
      <c r="D53" s="134"/>
      <c r="E53" s="231">
        <f>'Unit Data from Audit Worksheet'!F61</f>
        <v>0</v>
      </c>
      <c r="F53" s="224"/>
      <c r="G53" s="226"/>
      <c r="H53" s="223"/>
      <c r="I53" s="32"/>
      <c r="J53" s="222">
        <v>1052</v>
      </c>
      <c r="K53" s="221" t="s">
        <v>1611</v>
      </c>
      <c r="L53" s="295">
        <f t="shared" si="7"/>
        <v>0</v>
      </c>
      <c r="M53"/>
      <c r="P53" s="196"/>
      <c r="Q53" s="279"/>
      <c r="R53" s="386"/>
      <c r="S53" s="386"/>
      <c r="T53" s="386"/>
      <c r="U53" s="386"/>
      <c r="V53" s="386"/>
      <c r="W53" s="386"/>
      <c r="X53" s="552"/>
      <c r="Y53" s="286"/>
      <c r="Z53" s="386"/>
      <c r="AA53" s="386">
        <f t="shared" si="0"/>
        <v>0</v>
      </c>
      <c r="AB53" s="286"/>
    </row>
    <row r="54" spans="1:28" s="18" customFormat="1" ht="73.5" customHeight="1" x14ac:dyDescent="0.3">
      <c r="A54" s="212">
        <f>'Unit Data from Audit Worksheet'!A63</f>
        <v>984</v>
      </c>
      <c r="B54" s="225" t="str">
        <f>'Unit Data from Audit Worksheet'!C63</f>
        <v>General Fund - Budget Actual Statement</v>
      </c>
      <c r="C54" s="211" t="str">
        <f>'Unit Data from Audit Worksheet'!D63</f>
        <v>Amount of Ad valorem tax collected (including motor vehicle and prior years) reported on budget actual statement</v>
      </c>
      <c r="D54" s="134"/>
      <c r="E54" s="231">
        <f>'Unit Data from Audit Worksheet'!F63</f>
        <v>0</v>
      </c>
      <c r="F54" s="224"/>
      <c r="G54" s="226"/>
      <c r="H54" s="223"/>
      <c r="I54" s="32"/>
      <c r="J54" s="222">
        <v>984</v>
      </c>
      <c r="K54" s="221" t="s">
        <v>601</v>
      </c>
      <c r="L54" s="295">
        <f t="shared" si="7"/>
        <v>0</v>
      </c>
      <c r="M54"/>
      <c r="P54" s="196"/>
      <c r="Q54" s="279"/>
      <c r="R54" s="3"/>
      <c r="S54" s="3"/>
      <c r="T54" s="3"/>
      <c r="U54" s="3"/>
      <c r="V54" s="3"/>
      <c r="W54" s="3"/>
      <c r="X54" s="552">
        <v>984</v>
      </c>
      <c r="Y54" s="286">
        <v>984</v>
      </c>
      <c r="Z54" s="3"/>
      <c r="AA54" s="386">
        <f t="shared" si="0"/>
        <v>0</v>
      </c>
      <c r="AB54" s="286">
        <f t="shared" si="1"/>
        <v>0</v>
      </c>
    </row>
    <row r="55" spans="1:28" s="18" customFormat="1" ht="73.5" customHeight="1" x14ac:dyDescent="0.3">
      <c r="A55" s="212">
        <f>'Unit Data from Audit Worksheet'!A64</f>
        <v>985</v>
      </c>
      <c r="B55" s="225" t="str">
        <f>'Unit Data from Audit Worksheet'!C64</f>
        <v>General Fund - Budget Actual Statement</v>
      </c>
      <c r="C55" s="211" t="str">
        <f>'Unit Data from Audit Worksheet'!D64</f>
        <v>Amount of Ad valorem tax budgeted (including motor vehicle and prior years) reported on budget actual statement</v>
      </c>
      <c r="D55" s="134"/>
      <c r="E55" s="231">
        <f>'Unit Data from Audit Worksheet'!F64</f>
        <v>0</v>
      </c>
      <c r="F55" s="224"/>
      <c r="G55" s="226"/>
      <c r="H55" s="223"/>
      <c r="I55" s="32"/>
      <c r="J55" s="222">
        <v>985</v>
      </c>
      <c r="K55" s="221" t="s">
        <v>602</v>
      </c>
      <c r="L55" s="295">
        <f t="shared" si="7"/>
        <v>0</v>
      </c>
      <c r="M55"/>
      <c r="P55" s="197"/>
      <c r="Q55" s="279"/>
      <c r="R55" s="3"/>
      <c r="S55" s="3"/>
      <c r="T55" s="3"/>
      <c r="U55" s="3"/>
      <c r="V55" s="3"/>
      <c r="W55" s="3"/>
      <c r="X55" s="552">
        <v>985</v>
      </c>
      <c r="Y55" s="286">
        <v>985</v>
      </c>
      <c r="Z55" s="3"/>
      <c r="AA55" s="386">
        <f t="shared" si="0"/>
        <v>0</v>
      </c>
      <c r="AB55" s="286">
        <f t="shared" si="1"/>
        <v>0</v>
      </c>
    </row>
    <row r="56" spans="1:28" ht="73.5" customHeight="1" x14ac:dyDescent="0.3">
      <c r="A56" s="212">
        <f>'Unit Data from Audit Worksheet'!A65</f>
        <v>369</v>
      </c>
      <c r="B56" s="225" t="str">
        <f>'Unit Data from Audit Worksheet'!C65</f>
        <v>General Fund-Rev, Exp. Change in Fund Balance</v>
      </c>
      <c r="C56" s="211" t="str">
        <f>'Unit Data from Audit Worksheet'!D65</f>
        <v>Total Intergovernmental revenue 
Include restricted and unrestricted revenues</v>
      </c>
      <c r="D56" s="134"/>
      <c r="E56" s="231">
        <f>'Unit Data from Audit Worksheet'!F65</f>
        <v>0</v>
      </c>
      <c r="F56" s="224"/>
      <c r="G56" s="226"/>
      <c r="H56" s="223"/>
      <c r="I56" s="32"/>
      <c r="J56" s="222">
        <v>369</v>
      </c>
      <c r="K56" s="221" t="s">
        <v>196</v>
      </c>
      <c r="L56" s="289">
        <f t="shared" si="7"/>
        <v>0</v>
      </c>
      <c r="P56" s="205"/>
      <c r="X56" s="552">
        <v>369</v>
      </c>
      <c r="Y56" s="294">
        <v>369</v>
      </c>
      <c r="AA56" s="386">
        <f t="shared" si="0"/>
        <v>0</v>
      </c>
      <c r="AB56" s="286">
        <f t="shared" si="1"/>
        <v>0</v>
      </c>
    </row>
    <row r="57" spans="1:28" ht="73.5" customHeight="1" x14ac:dyDescent="0.3">
      <c r="A57" s="212">
        <f>'Unit Data from Audit Worksheet'!A66</f>
        <v>16</v>
      </c>
      <c r="B57" s="225" t="str">
        <f>'Unit Data from Audit Worksheet'!C66</f>
        <v>General Fund-Rev, Exp. Change in Fund Balance</v>
      </c>
      <c r="C57" s="211" t="str">
        <f>'Unit Data from Audit Worksheet'!D66</f>
        <v>Total revenues</v>
      </c>
      <c r="D57" s="134"/>
      <c r="E57" s="231">
        <f>'Unit Data from Audit Worksheet'!F66</f>
        <v>0</v>
      </c>
      <c r="F57" s="224"/>
      <c r="G57" s="226"/>
      <c r="H57" s="223"/>
      <c r="I57" s="32"/>
      <c r="J57" s="222">
        <v>16</v>
      </c>
      <c r="K57" s="221" t="s">
        <v>197</v>
      </c>
      <c r="L57" s="289">
        <f t="shared" si="7"/>
        <v>0</v>
      </c>
      <c r="P57" s="205"/>
      <c r="X57" s="552">
        <v>16</v>
      </c>
      <c r="Y57" s="294">
        <v>16</v>
      </c>
      <c r="AA57" s="386">
        <f t="shared" si="0"/>
        <v>0</v>
      </c>
      <c r="AB57" s="286">
        <f t="shared" si="1"/>
        <v>0</v>
      </c>
    </row>
    <row r="58" spans="1:28" ht="73.5" customHeight="1" x14ac:dyDescent="0.3">
      <c r="A58" s="212">
        <f>'Unit Data from Audit Worksheet'!A67</f>
        <v>370</v>
      </c>
      <c r="B58" s="225" t="str">
        <f>'Unit Data from Audit Worksheet'!C67</f>
        <v>General Fund-Rev, Exp. Change in Fund Balance</v>
      </c>
      <c r="C58" s="211" t="str">
        <f>'Unit Data from Audit Worksheet'!D67</f>
        <v>Debt service expenditures. 
Include principal, interest paid, and bond/debt issuance costs on long-term debt</v>
      </c>
      <c r="D58" s="134"/>
      <c r="E58" s="231">
        <f>'Unit Data from Audit Worksheet'!F67</f>
        <v>0</v>
      </c>
      <c r="F58" s="224">
        <f t="shared" ref="F58:F65" si="8">IF(L58&lt;0,"Error: Enter as a positive.",)</f>
        <v>0</v>
      </c>
      <c r="G58" s="226"/>
      <c r="H58" s="223"/>
      <c r="I58" s="32"/>
      <c r="J58" s="222">
        <v>370</v>
      </c>
      <c r="K58" s="221" t="s">
        <v>198</v>
      </c>
      <c r="L58" s="289">
        <f t="shared" si="7"/>
        <v>0</v>
      </c>
      <c r="P58" s="205"/>
      <c r="X58" s="552">
        <v>370</v>
      </c>
      <c r="Y58" s="286">
        <v>370</v>
      </c>
      <c r="AA58" s="386">
        <f t="shared" si="0"/>
        <v>0</v>
      </c>
      <c r="AB58" s="286">
        <f t="shared" si="1"/>
        <v>0</v>
      </c>
    </row>
    <row r="59" spans="1:28" ht="73.5" customHeight="1" x14ac:dyDescent="0.3">
      <c r="A59" s="212">
        <f>'Unit Data from Audit Worksheet'!A68</f>
        <v>532</v>
      </c>
      <c r="B59" s="225" t="str">
        <f>'Unit Data from Audit Worksheet'!C68</f>
        <v>General Fund-Rev, Exp. Change in Fund Balance</v>
      </c>
      <c r="C59" s="211" t="str">
        <f>'Unit Data from Audit Worksheet'!D68</f>
        <v xml:space="preserve">Total expenditures  
Exclude expenditures in the "other financing sources (uses)" section.
</v>
      </c>
      <c r="D59" s="134"/>
      <c r="E59" s="231">
        <f>'Unit Data from Audit Worksheet'!F68</f>
        <v>0</v>
      </c>
      <c r="F59" s="224">
        <f t="shared" si="8"/>
        <v>0</v>
      </c>
      <c r="G59" s="226"/>
      <c r="H59" s="223"/>
      <c r="I59" s="32"/>
      <c r="J59" s="222">
        <v>532</v>
      </c>
      <c r="K59" s="307" t="s">
        <v>199</v>
      </c>
      <c r="L59" s="289">
        <f t="shared" si="7"/>
        <v>0</v>
      </c>
      <c r="P59" s="205"/>
      <c r="X59" s="552">
        <v>532</v>
      </c>
      <c r="Y59" s="286">
        <v>532</v>
      </c>
      <c r="AA59" s="386">
        <f t="shared" si="0"/>
        <v>0</v>
      </c>
      <c r="AB59" s="286">
        <f t="shared" si="1"/>
        <v>0</v>
      </c>
    </row>
    <row r="60" spans="1:28" s="386" customFormat="1" ht="73.5" customHeight="1" x14ac:dyDescent="0.3">
      <c r="A60" s="212">
        <f>'Unit Data from Audit Worksheet'!A69</f>
        <v>1050</v>
      </c>
      <c r="B60" s="225" t="str">
        <f>'Unit Data from Audit Worksheet'!C69</f>
        <v>General Fund-Rev, Exp. Change in Fund Balance</v>
      </c>
      <c r="C60" s="211" t="str">
        <f>'Unit Data from Audit Worksheet'!D69</f>
        <v>Amount expended for Powell Bill expenditures in the General Fund</v>
      </c>
      <c r="D60" s="134"/>
      <c r="E60" s="231">
        <f>'Unit Data from Audit Worksheet'!F69</f>
        <v>0</v>
      </c>
      <c r="F60" s="224"/>
      <c r="G60" s="226"/>
      <c r="H60" s="223"/>
      <c r="I60" s="32"/>
      <c r="J60" s="222">
        <v>1050</v>
      </c>
      <c r="K60" s="211" t="s">
        <v>1511</v>
      </c>
      <c r="L60" s="295">
        <f t="shared" si="7"/>
        <v>0</v>
      </c>
      <c r="M60"/>
      <c r="P60" s="205"/>
      <c r="Q60" s="279"/>
      <c r="X60" s="552"/>
      <c r="Y60" s="286"/>
      <c r="AA60" s="386">
        <f t="shared" si="0"/>
        <v>0</v>
      </c>
      <c r="AB60" s="286"/>
    </row>
    <row r="61" spans="1:28" ht="73.5" customHeight="1" x14ac:dyDescent="0.3">
      <c r="A61" s="212">
        <f>'Unit Data from Audit Worksheet'!A70</f>
        <v>17</v>
      </c>
      <c r="B61" s="225" t="str">
        <f>'Unit Data from Audit Worksheet'!C70</f>
        <v>General Fund-Rev, Exp. Change in Fund Balance</v>
      </c>
      <c r="C61" s="211" t="str">
        <f>'Unit Data from Audit Worksheet'!D70</f>
        <v>Total Transfers in    (Preference is that transfers-in  are not netted against transfers-out)</v>
      </c>
      <c r="D61" s="134"/>
      <c r="E61" s="231">
        <f>'Unit Data from Audit Worksheet'!F70</f>
        <v>0</v>
      </c>
      <c r="F61" s="224">
        <f t="shared" si="8"/>
        <v>0</v>
      </c>
      <c r="G61" s="226"/>
      <c r="H61" s="223"/>
      <c r="I61" s="32"/>
      <c r="J61" s="222">
        <v>17</v>
      </c>
      <c r="K61" s="221" t="s">
        <v>200</v>
      </c>
      <c r="L61" s="289">
        <f t="shared" si="7"/>
        <v>0</v>
      </c>
      <c r="P61" s="205"/>
      <c r="X61" s="552">
        <v>17</v>
      </c>
      <c r="Y61" s="286">
        <v>17</v>
      </c>
      <c r="AA61" s="386">
        <f t="shared" si="0"/>
        <v>0</v>
      </c>
      <c r="AB61" s="286">
        <f t="shared" si="1"/>
        <v>0</v>
      </c>
    </row>
    <row r="62" spans="1:28" ht="54.75" customHeight="1" x14ac:dyDescent="0.3">
      <c r="A62" s="212">
        <f>'Unit Data from Audit Worksheet'!A71</f>
        <v>20</v>
      </c>
      <c r="B62" s="225" t="str">
        <f>'Unit Data from Audit Worksheet'!C71</f>
        <v>General Fund-Rev, Exp. Change in Fund Balance</v>
      </c>
      <c r="C62" s="211" t="str">
        <f>'Unit Data from Audit Worksheet'!D71</f>
        <v>Total Transfers out    (Preference is that transfers-in  are not netted against transfers-out)</v>
      </c>
      <c r="D62" s="134"/>
      <c r="E62" s="231">
        <f>'Unit Data from Audit Worksheet'!F71</f>
        <v>0</v>
      </c>
      <c r="F62" s="224">
        <f t="shared" si="8"/>
        <v>0</v>
      </c>
      <c r="G62" s="226"/>
      <c r="H62" s="223"/>
      <c r="I62" s="32"/>
      <c r="J62" s="222">
        <v>20</v>
      </c>
      <c r="K62" s="221" t="s">
        <v>201</v>
      </c>
      <c r="L62" s="289">
        <f t="shared" si="7"/>
        <v>0</v>
      </c>
      <c r="P62" s="205"/>
      <c r="X62" s="552">
        <v>20</v>
      </c>
      <c r="Y62" s="286">
        <v>20</v>
      </c>
      <c r="AA62" s="386">
        <f t="shared" si="0"/>
        <v>0</v>
      </c>
      <c r="AB62" s="286">
        <f t="shared" si="1"/>
        <v>0</v>
      </c>
    </row>
    <row r="63" spans="1:28" ht="54.75" customHeight="1" x14ac:dyDescent="0.3">
      <c r="A63" s="212">
        <f>'Unit Data from Audit Worksheet'!A72</f>
        <v>533</v>
      </c>
      <c r="B63" s="225" t="str">
        <f>'Unit Data from Audit Worksheet'!C72</f>
        <v>General Fund-Rev, Exp. Change in Fund Balance</v>
      </c>
      <c r="C63" s="211" t="str">
        <f>'Unit Data from Audit Worksheet'!D72</f>
        <v>Total Proceeds from all long-term debt issuances 
Exclude proceeds from refundings</v>
      </c>
      <c r="D63" s="134"/>
      <c r="E63" s="231">
        <f>'Unit Data from Audit Worksheet'!F72</f>
        <v>0</v>
      </c>
      <c r="F63" s="224">
        <f t="shared" si="8"/>
        <v>0</v>
      </c>
      <c r="G63" s="226"/>
      <c r="H63" s="223"/>
      <c r="I63" s="32"/>
      <c r="J63" s="222">
        <v>533</v>
      </c>
      <c r="K63" s="307" t="s">
        <v>202</v>
      </c>
      <c r="L63" s="289">
        <f t="shared" si="7"/>
        <v>0</v>
      </c>
      <c r="P63" s="205"/>
      <c r="X63" s="552">
        <v>533</v>
      </c>
      <c r="Y63" s="286">
        <v>533</v>
      </c>
      <c r="AA63" s="386">
        <f t="shared" si="0"/>
        <v>0</v>
      </c>
      <c r="AB63" s="286">
        <f t="shared" si="1"/>
        <v>0</v>
      </c>
    </row>
    <row r="64" spans="1:28" ht="54.75" customHeight="1" x14ac:dyDescent="0.3">
      <c r="A64" s="212">
        <f>'Unit Data from Audit Worksheet'!A73</f>
        <v>508</v>
      </c>
      <c r="B64" s="225" t="str">
        <f>'Unit Data from Audit Worksheet'!C73</f>
        <v>General Fund-Rev, Exp. Change in Fund Balance</v>
      </c>
      <c r="C64" s="211" t="str">
        <f>'Unit Data from Audit Worksheet'!D73</f>
        <v>Debt Refunding - Net refunding proceeds against debt payoff and if positive place results on this line.</v>
      </c>
      <c r="D64" s="134"/>
      <c r="E64" s="231">
        <f>'Unit Data from Audit Worksheet'!F73</f>
        <v>0</v>
      </c>
      <c r="F64" s="224">
        <f t="shared" si="8"/>
        <v>0</v>
      </c>
      <c r="G64" s="226"/>
      <c r="H64" s="223"/>
      <c r="I64" s="32"/>
      <c r="J64" s="222">
        <v>508</v>
      </c>
      <c r="K64" s="221" t="s">
        <v>204</v>
      </c>
      <c r="L64" s="289">
        <f t="shared" si="7"/>
        <v>0</v>
      </c>
      <c r="N64" s="575"/>
      <c r="P64" s="198"/>
      <c r="X64" s="552">
        <v>508</v>
      </c>
      <c r="Y64" s="286">
        <v>508</v>
      </c>
      <c r="AA64" s="386">
        <f t="shared" si="0"/>
        <v>0</v>
      </c>
      <c r="AB64" s="286">
        <f t="shared" si="1"/>
        <v>0</v>
      </c>
    </row>
    <row r="65" spans="1:28" ht="54.75" customHeight="1" x14ac:dyDescent="0.3">
      <c r="A65" s="212">
        <f>'Unit Data from Audit Worksheet'!A74</f>
        <v>509</v>
      </c>
      <c r="B65" s="225" t="str">
        <f>'Unit Data from Audit Worksheet'!C74</f>
        <v>General Fund-Rev, Exp. Change in Fund Balance</v>
      </c>
      <c r="C65" s="211" t="str">
        <f>'Unit Data from Audit Worksheet'!D74</f>
        <v>Debt Refunding - Net refunding proceeds against debt payoff and if negative place results on this line.</v>
      </c>
      <c r="D65" s="134"/>
      <c r="E65" s="231">
        <f>'Unit Data from Audit Worksheet'!F74</f>
        <v>0</v>
      </c>
      <c r="F65" s="224">
        <f t="shared" si="8"/>
        <v>0</v>
      </c>
      <c r="G65" s="226"/>
      <c r="H65" s="223"/>
      <c r="I65" s="32"/>
      <c r="J65" s="222">
        <v>509</v>
      </c>
      <c r="K65" s="221" t="s">
        <v>205</v>
      </c>
      <c r="L65" s="289">
        <f>IF(D65="",E65,D65)</f>
        <v>0</v>
      </c>
      <c r="N65" s="576"/>
      <c r="P65" s="205"/>
      <c r="Q65" s="293"/>
      <c r="S65" s="292"/>
      <c r="T65" s="292"/>
      <c r="U65" s="292"/>
      <c r="V65" s="292"/>
      <c r="W65" s="18"/>
      <c r="X65" s="552">
        <v>509</v>
      </c>
      <c r="Y65" s="286">
        <v>509</v>
      </c>
      <c r="Z65" s="18"/>
      <c r="AA65" s="386">
        <f t="shared" si="0"/>
        <v>0</v>
      </c>
      <c r="AB65" s="286">
        <f t="shared" si="1"/>
        <v>0</v>
      </c>
    </row>
    <row r="66" spans="1:28" ht="84.75" customHeight="1" x14ac:dyDescent="0.3">
      <c r="A66" s="212">
        <f>'Unit Data from Audit Worksheet'!A75</f>
        <v>22</v>
      </c>
      <c r="B66" s="225" t="str">
        <f>'Unit Data from Audit Worksheet'!C75</f>
        <v>General Fund-Rev, Exp. Change in Fund Balance</v>
      </c>
      <c r="C66" s="211" t="str">
        <f>'Unit Data from Audit Worksheet'!D75</f>
        <v xml:space="preserve">All other items on this statement that were not included in total revenues, total expenditures, transfers in or out, or proceeds from long-term debt above.  </v>
      </c>
      <c r="D66" s="134"/>
      <c r="E66" s="231">
        <f>'Unit Data from Audit Worksheet'!F75</f>
        <v>0</v>
      </c>
      <c r="F66" s="224"/>
      <c r="G66" s="226"/>
      <c r="H66" s="223"/>
      <c r="I66" s="32"/>
      <c r="J66" s="222">
        <v>22</v>
      </c>
      <c r="K66" s="221" t="s">
        <v>203</v>
      </c>
      <c r="L66" s="289">
        <f t="shared" si="7"/>
        <v>0</v>
      </c>
      <c r="N66" s="576"/>
      <c r="P66" s="195"/>
      <c r="Q66" s="310"/>
      <c r="S66" s="309"/>
      <c r="T66" s="309"/>
      <c r="U66" s="309"/>
      <c r="V66" s="309"/>
      <c r="W66" s="309"/>
      <c r="X66" s="552">
        <v>22</v>
      </c>
      <c r="Y66" s="286">
        <v>22</v>
      </c>
      <c r="Z66" s="18"/>
      <c r="AA66" s="386">
        <f t="shared" si="0"/>
        <v>0</v>
      </c>
      <c r="AB66" s="286">
        <f t="shared" si="1"/>
        <v>0</v>
      </c>
    </row>
    <row r="67" spans="1:28" ht="74.25" customHeight="1" x14ac:dyDescent="0.3">
      <c r="A67" s="212">
        <f>'Unit Data from Audit Worksheet'!A76</f>
        <v>23</v>
      </c>
      <c r="B67" s="225" t="str">
        <f>'Unit Data from Audit Worksheet'!C76</f>
        <v>General Fund-Rev, Exp. Change in Fund Balance</v>
      </c>
      <c r="C67" s="211" t="str">
        <f>'Unit Data from Audit Worksheet'!D76</f>
        <v>Change in fund balance - (Increase in Fund balance is recorded as a positive and a decrease in fund balance is recorded as a negative)</v>
      </c>
      <c r="D67" s="134"/>
      <c r="E67" s="231">
        <f>'Unit Data from Audit Worksheet'!F76</f>
        <v>0</v>
      </c>
      <c r="F67" s="224">
        <f>IF(+L57-L59+L61-L62+L63+L64-L65+L66-L67=0,,"Error:Total revenues less toal Expenditures do not equal change in fund balance")</f>
        <v>0</v>
      </c>
      <c r="G67" s="84">
        <f>+L57-L59+L61-L62+L63+L66+L64-L65-L67</f>
        <v>0</v>
      </c>
      <c r="H67" s="223"/>
      <c r="I67" s="32"/>
      <c r="J67" s="222">
        <v>23</v>
      </c>
      <c r="K67" s="221" t="s">
        <v>206</v>
      </c>
      <c r="L67" s="289">
        <f t="shared" si="7"/>
        <v>0</v>
      </c>
      <c r="P67" s="195"/>
      <c r="X67" s="552">
        <v>23</v>
      </c>
      <c r="Y67" s="286">
        <v>23</v>
      </c>
      <c r="AA67" s="386">
        <f t="shared" si="0"/>
        <v>0</v>
      </c>
      <c r="AB67" s="286">
        <f t="shared" si="1"/>
        <v>0</v>
      </c>
    </row>
    <row r="68" spans="1:28" ht="123" customHeight="1" x14ac:dyDescent="0.3">
      <c r="A68" s="300">
        <f>'Unit Data from Audit Worksheet'!A78</f>
        <v>507</v>
      </c>
      <c r="B68" s="109" t="str">
        <f>'Unit Data from Audit Worksheet'!C78</f>
        <v>General Fund-Rev, Exp. Change in Fund Balance</v>
      </c>
      <c r="C68" s="206"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9">
        <f t="shared" si="7"/>
        <v>0</v>
      </c>
      <c r="N68" s="297"/>
      <c r="O68" s="296"/>
      <c r="P68" s="195"/>
      <c r="R68" s="386"/>
      <c r="S68" s="386"/>
      <c r="T68" s="386"/>
      <c r="U68" s="386"/>
      <c r="V68" s="386"/>
      <c r="W68" s="309"/>
      <c r="X68" s="552">
        <v>507</v>
      </c>
      <c r="Y68" s="286">
        <v>507</v>
      </c>
      <c r="Z68" s="386"/>
      <c r="AA68" s="386">
        <f t="shared" si="0"/>
        <v>0</v>
      </c>
      <c r="AB68" s="286">
        <f t="shared" si="1"/>
        <v>0</v>
      </c>
    </row>
    <row r="69" spans="1:28" s="18" customFormat="1" ht="40.5" customHeight="1" x14ac:dyDescent="0.3">
      <c r="A69" s="190">
        <f>'Unit Data from Audit Worksheet'!A79</f>
        <v>647</v>
      </c>
      <c r="B69" s="235" t="str">
        <f>'Unit Data from Audit Worksheet'!C79</f>
        <v>Debt Service Fund</v>
      </c>
      <c r="C69" s="190" t="str">
        <f>'Unit Data from Audit Worksheet'!D79</f>
        <v>Please enter the Total Fund Balance for any Debt Service Funds from the Budgeted to Actual statement</v>
      </c>
      <c r="D69" s="108"/>
      <c r="E69" s="234">
        <f>'Unit Data from Audit Worksheet'!F79</f>
        <v>0</v>
      </c>
      <c r="F69" s="219"/>
      <c r="G69" s="215"/>
      <c r="H69" s="219"/>
      <c r="I69" s="301"/>
      <c r="J69" s="218">
        <v>647</v>
      </c>
      <c r="K69" s="193" t="s">
        <v>808</v>
      </c>
      <c r="L69" s="302">
        <f>IF(D69="",E69,D69)</f>
        <v>0</v>
      </c>
      <c r="M69"/>
      <c r="N69" s="292"/>
      <c r="O69" s="308"/>
      <c r="P69" s="195"/>
      <c r="Q69" s="279"/>
      <c r="R69" s="3"/>
      <c r="S69" s="3"/>
      <c r="T69" s="3"/>
      <c r="U69" s="3"/>
      <c r="V69" s="3"/>
      <c r="W69" s="3"/>
      <c r="X69" s="552">
        <v>647</v>
      </c>
      <c r="Y69" s="286">
        <v>647</v>
      </c>
      <c r="Z69" s="3"/>
      <c r="AA69" s="386">
        <f t="shared" si="0"/>
        <v>0</v>
      </c>
      <c r="AB69" s="286">
        <f t="shared" si="1"/>
        <v>0</v>
      </c>
    </row>
    <row r="70" spans="1:28" ht="60" customHeight="1" x14ac:dyDescent="0.3">
      <c r="A70" s="287">
        <f>'Unit Data from Audit Worksheet'!A81</f>
        <v>171</v>
      </c>
      <c r="B70" s="48" t="str">
        <f>'Unit Data from Audit Worksheet'!C81</f>
        <v>Fund Statements - all Governmental Funds</v>
      </c>
      <c r="C70" s="288" t="str">
        <f>'Unit Data from Audit Worksheet'!D81</f>
        <v>Debt service expenditures from all governmental funds.  Include principal, interest paid, and debt issuance costs on long-term debt.</v>
      </c>
      <c r="D70" s="230"/>
      <c r="E70" s="142">
        <f>'Unit Data from Audit Worksheet'!F81</f>
        <v>0</v>
      </c>
      <c r="F70" s="41">
        <f>IF(L70&lt;0,"Error: Enter as a positive.",)</f>
        <v>0</v>
      </c>
      <c r="G70" s="65"/>
      <c r="H70" s="223"/>
      <c r="I70" s="32"/>
      <c r="J70" s="36">
        <v>171</v>
      </c>
      <c r="K70" s="45" t="s">
        <v>208</v>
      </c>
      <c r="L70" s="289">
        <f t="shared" si="7"/>
        <v>0</v>
      </c>
      <c r="P70" s="195"/>
      <c r="X70" s="552">
        <v>171</v>
      </c>
      <c r="Y70" s="286">
        <v>171</v>
      </c>
      <c r="AA70" s="386">
        <f t="shared" si="0"/>
        <v>0</v>
      </c>
      <c r="AB70" s="286">
        <f t="shared" si="1"/>
        <v>0</v>
      </c>
    </row>
    <row r="71" spans="1:28" ht="69" customHeight="1" x14ac:dyDescent="0.3">
      <c r="A71" s="212">
        <f>'Unit Data from Audit Worksheet'!A85</f>
        <v>596</v>
      </c>
      <c r="B71" s="225"/>
      <c r="C71" s="211" t="str">
        <f>'Unit Data from Audit Worksheet'!D85</f>
        <v>Indicate if your water/sewer system:
50 - Became Operational
51 - Ceased Operations
52 - No Change
Select from drop down.</v>
      </c>
      <c r="D71" s="134"/>
      <c r="E71" s="231">
        <f>'Unit Data from Audit Worksheet'!F85</f>
        <v>0</v>
      </c>
      <c r="F71" s="224"/>
      <c r="G71" s="224" t="str">
        <f>'Unit Data from Audit Worksheet'!G85</f>
        <v>Please do not answer this question unless the unit has a  water and/or sewer fund</v>
      </c>
      <c r="H71" s="223"/>
      <c r="I71" s="32"/>
      <c r="J71" s="222">
        <v>596</v>
      </c>
      <c r="K71" s="221" t="s">
        <v>335</v>
      </c>
      <c r="L71" s="289">
        <f t="shared" si="7"/>
        <v>0</v>
      </c>
      <c r="P71" s="196"/>
      <c r="X71" s="552">
        <v>596</v>
      </c>
      <c r="Y71" s="286">
        <v>596</v>
      </c>
      <c r="AA71" s="386">
        <f t="shared" si="0"/>
        <v>0</v>
      </c>
      <c r="AB71" s="286">
        <f t="shared" si="1"/>
        <v>0</v>
      </c>
    </row>
    <row r="72" spans="1:28" ht="82.2" customHeight="1" x14ac:dyDescent="0.3">
      <c r="A72" s="212">
        <f>'Unit Data from Audit Worksheet'!A86</f>
        <v>80</v>
      </c>
      <c r="B72" s="225" t="str">
        <f>'Unit Data from Audit Worksheet'!C86</f>
        <v>Water Sewer Net Position Statement</v>
      </c>
      <c r="C72" s="211" t="str">
        <f>'Unit Data from Audit Worksheet'!D86</f>
        <v>Unrestricted Cash and investments 
Exclude restricted cash and/or restricted investments.</v>
      </c>
      <c r="D72" s="134"/>
      <c r="E72" s="231">
        <f>'Unit Data from Audit Worksheet'!F86</f>
        <v>0</v>
      </c>
      <c r="F72" s="224">
        <f>IF(L72&lt;0,"Error: Number is normally positive.",)</f>
        <v>0</v>
      </c>
      <c r="G72" s="224" t="e">
        <f>'Unit Data from Audit Worksheet'!G86</f>
        <v>#N/A</v>
      </c>
      <c r="H72" s="223"/>
      <c r="I72" s="32"/>
      <c r="J72" s="222">
        <v>80</v>
      </c>
      <c r="K72" s="221" t="s">
        <v>209</v>
      </c>
      <c r="L72" s="289">
        <f t="shared" si="7"/>
        <v>0</v>
      </c>
      <c r="P72" s="196"/>
      <c r="X72" s="552">
        <v>80</v>
      </c>
      <c r="Y72" s="286">
        <v>80</v>
      </c>
      <c r="AA72" s="386">
        <f t="shared" ref="AA72:AA137" si="9">A72-J72</f>
        <v>0</v>
      </c>
      <c r="AB72" s="286">
        <f t="shared" ref="AB72:AB137" si="10">E72-L72</f>
        <v>0</v>
      </c>
    </row>
    <row r="73" spans="1:28" ht="43.2" x14ac:dyDescent="0.3">
      <c r="A73" s="212">
        <f>'Unit Data from Audit Worksheet'!A87</f>
        <v>81</v>
      </c>
      <c r="B73" s="225" t="str">
        <f>'Unit Data from Audit Worksheet'!C87</f>
        <v>Water Sewer Net Position Statement</v>
      </c>
      <c r="C73" s="211" t="str">
        <f>'Unit Data from Audit Worksheet'!D87</f>
        <v>Customer accounts receivable (net of allowance accounts). 
Include both billed and unbilled amounts.</v>
      </c>
      <c r="D73" s="134"/>
      <c r="E73" s="231">
        <f>'Unit Data from Audit Worksheet'!F87</f>
        <v>0</v>
      </c>
      <c r="F73" s="224">
        <f>IF(L73&lt;0,"Error: Number is normally positive.",)</f>
        <v>0</v>
      </c>
      <c r="G73" s="226"/>
      <c r="H73" s="223"/>
      <c r="I73" s="32"/>
      <c r="J73" s="222">
        <v>81</v>
      </c>
      <c r="K73" s="221" t="s">
        <v>210</v>
      </c>
      <c r="L73" s="289">
        <f t="shared" si="7"/>
        <v>0</v>
      </c>
      <c r="P73" s="196"/>
      <c r="X73" s="552">
        <v>81</v>
      </c>
      <c r="Y73" s="286">
        <v>81</v>
      </c>
      <c r="AA73" s="386">
        <f t="shared" si="9"/>
        <v>0</v>
      </c>
      <c r="AB73" s="286">
        <f t="shared" si="10"/>
        <v>0</v>
      </c>
    </row>
    <row r="74" spans="1:28" ht="68.25" customHeight="1" x14ac:dyDescent="0.3">
      <c r="A74" s="212">
        <f>'Unit Data from Audit Worksheet'!A88</f>
        <v>579</v>
      </c>
      <c r="B74" s="225" t="str">
        <f>'Unit Data from Audit Worksheet'!C88</f>
        <v>Water Sewer Net Position Statement</v>
      </c>
      <c r="C74" s="211" t="str">
        <f>'Unit Data from Audit Worksheet'!D88</f>
        <v>Water Sewer - Advance To:
Interfund loan receivable-portion of repayment plan longer than 12 months</v>
      </c>
      <c r="D74" s="134"/>
      <c r="E74" s="231">
        <f>'Unit Data from Audit Worksheet'!F88</f>
        <v>0</v>
      </c>
      <c r="F74" s="224"/>
      <c r="G74" s="226"/>
      <c r="H74" s="223"/>
      <c r="I74" s="32"/>
      <c r="J74" s="222">
        <v>579</v>
      </c>
      <c r="K74" s="221" t="s">
        <v>316</v>
      </c>
      <c r="L74" s="289">
        <f t="shared" si="7"/>
        <v>0</v>
      </c>
      <c r="N74" s="311"/>
      <c r="P74" s="196"/>
      <c r="X74" s="552">
        <v>579</v>
      </c>
      <c r="Y74" s="286">
        <v>579</v>
      </c>
      <c r="AA74" s="386">
        <f t="shared" si="9"/>
        <v>0</v>
      </c>
      <c r="AB74" s="286">
        <f t="shared" si="10"/>
        <v>0</v>
      </c>
    </row>
    <row r="75" spans="1:28" ht="47.25" customHeight="1" x14ac:dyDescent="0.3">
      <c r="A75" s="212">
        <f>'Unit Data from Audit Worksheet'!A89</f>
        <v>510</v>
      </c>
      <c r="B75" s="225" t="str">
        <f>'Unit Data from Audit Worksheet'!C89</f>
        <v>Water Sewer Net Position Statement</v>
      </c>
      <c r="C75" s="211" t="str">
        <f>'Unit Data from Audit Worksheet'!D89</f>
        <v>Amount of Inventories and Prepaid expenses in current assets</v>
      </c>
      <c r="D75" s="134"/>
      <c r="E75" s="231">
        <f>'Unit Data from Audit Worksheet'!F89</f>
        <v>0</v>
      </c>
      <c r="F75" s="224"/>
      <c r="G75" s="226"/>
      <c r="H75" s="223"/>
      <c r="I75" s="32"/>
      <c r="J75" s="222">
        <v>510</v>
      </c>
      <c r="K75" s="221" t="s">
        <v>211</v>
      </c>
      <c r="L75" s="289">
        <f t="shared" si="7"/>
        <v>0</v>
      </c>
      <c r="P75" s="196"/>
      <c r="X75" s="552">
        <v>510</v>
      </c>
      <c r="Y75" s="286">
        <v>510</v>
      </c>
      <c r="AA75" s="386">
        <f t="shared" si="9"/>
        <v>0</v>
      </c>
      <c r="AB75" s="286">
        <f t="shared" si="10"/>
        <v>0</v>
      </c>
    </row>
    <row r="76" spans="1:28" ht="43.2" x14ac:dyDescent="0.3">
      <c r="A76" s="212">
        <f>'Unit Data from Audit Worksheet'!A90</f>
        <v>654</v>
      </c>
      <c r="B76" s="225" t="str">
        <f>'Unit Data from Audit Worksheet'!C90</f>
        <v>Water Sewer Net Position Statement</v>
      </c>
      <c r="C76" s="211" t="str">
        <f>'Unit Data from Audit Worksheet'!D90</f>
        <v xml:space="preserve">Total Current assets as listed on the WS Net Position Statement.  
</v>
      </c>
      <c r="D76" s="134"/>
      <c r="E76" s="231">
        <f>'Unit Data from Audit Worksheet'!F90</f>
        <v>0</v>
      </c>
      <c r="F76" s="224">
        <f>IF((+L72+L73+L75)&gt;L76,"Please review components of current assets above Acct. (80+81+510&gt;654",)</f>
        <v>0</v>
      </c>
      <c r="G76" s="226"/>
      <c r="H76" s="223"/>
      <c r="I76" s="32"/>
      <c r="J76" s="222">
        <v>654</v>
      </c>
      <c r="K76" s="228" t="s">
        <v>416</v>
      </c>
      <c r="L76" s="289">
        <f t="shared" si="7"/>
        <v>0</v>
      </c>
      <c r="P76" s="196"/>
      <c r="X76" s="552">
        <v>654</v>
      </c>
      <c r="Y76" s="286">
        <v>654</v>
      </c>
      <c r="AA76" s="386">
        <f t="shared" si="9"/>
        <v>0</v>
      </c>
      <c r="AB76" s="286">
        <f t="shared" si="10"/>
        <v>0</v>
      </c>
    </row>
    <row r="77" spans="1:28" ht="43.2" x14ac:dyDescent="0.3">
      <c r="A77" s="212">
        <f>'Unit Data from Audit Worksheet'!A91</f>
        <v>655</v>
      </c>
      <c r="B77" s="225" t="str">
        <f>'Unit Data from Audit Worksheet'!C91</f>
        <v>Water Sewer Net Position Statement</v>
      </c>
      <c r="C77" s="211" t="str">
        <f>'Unit Data from Audit Worksheet'!D91</f>
        <v>WS-Any current assets that are restricted (Cash, Accounts Rec., etc..) and included in account 654 above</v>
      </c>
      <c r="D77" s="134"/>
      <c r="E77" s="231">
        <f>'Unit Data from Audit Worksheet'!F91</f>
        <v>0</v>
      </c>
      <c r="F77" s="224"/>
      <c r="G77" s="226"/>
      <c r="H77" s="223"/>
      <c r="I77" s="32"/>
      <c r="J77" s="222">
        <v>655</v>
      </c>
      <c r="K77" s="228" t="s">
        <v>448</v>
      </c>
      <c r="L77" s="289">
        <f t="shared" si="7"/>
        <v>0</v>
      </c>
      <c r="P77" s="196"/>
      <c r="X77" s="552">
        <v>655</v>
      </c>
      <c r="Y77" s="286">
        <v>655</v>
      </c>
      <c r="AA77" s="386">
        <f t="shared" si="9"/>
        <v>0</v>
      </c>
      <c r="AB77" s="286">
        <f t="shared" si="10"/>
        <v>0</v>
      </c>
    </row>
    <row r="78" spans="1:28" ht="42.75" customHeight="1" x14ac:dyDescent="0.3">
      <c r="A78" s="212">
        <f>'Unit Data from Audit Worksheet'!A92</f>
        <v>381</v>
      </c>
      <c r="B78" s="225" t="str">
        <f>'Unit Data from Audit Worksheet'!C92</f>
        <v>Water Sewer Net Position Statement</v>
      </c>
      <c r="C78" s="211" t="str">
        <f>'Unit Data from Audit Worksheet'!D92</f>
        <v>Total Assets and deferred outflows</v>
      </c>
      <c r="D78" s="134"/>
      <c r="E78" s="231">
        <f>'Unit Data from Audit Worksheet'!F92</f>
        <v>0</v>
      </c>
      <c r="F78" s="224" t="str">
        <f>IF(L78&lt;L76,"Please review components of current assets above acct. 381&lt;654"," ")</f>
        <v xml:space="preserve"> </v>
      </c>
      <c r="G78" s="226"/>
      <c r="H78" s="223"/>
      <c r="I78" s="32"/>
      <c r="J78" s="222">
        <v>381</v>
      </c>
      <c r="K78" s="221" t="s">
        <v>105</v>
      </c>
      <c r="L78" s="289">
        <f t="shared" si="7"/>
        <v>0</v>
      </c>
      <c r="P78" s="196"/>
      <c r="X78" s="552">
        <v>381</v>
      </c>
      <c r="Y78" s="286">
        <v>381</v>
      </c>
      <c r="AA78" s="386">
        <f t="shared" si="9"/>
        <v>0</v>
      </c>
      <c r="AB78" s="286">
        <f t="shared" si="10"/>
        <v>0</v>
      </c>
    </row>
    <row r="79" spans="1:28" ht="60.75" customHeight="1" x14ac:dyDescent="0.3">
      <c r="A79" s="300">
        <f>'Unit Data from Audit Worksheet'!A93</f>
        <v>578</v>
      </c>
      <c r="B79" s="109" t="str">
        <f>'Unit Data from Audit Worksheet'!C93</f>
        <v>Water Sewer Net Position Statement</v>
      </c>
      <c r="C79" s="291"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317</v>
      </c>
      <c r="L79" s="289">
        <f t="shared" si="7"/>
        <v>0</v>
      </c>
      <c r="P79" s="196"/>
      <c r="X79" s="552">
        <v>578</v>
      </c>
      <c r="Y79" s="286">
        <v>578</v>
      </c>
      <c r="AA79" s="386">
        <f t="shared" si="9"/>
        <v>0</v>
      </c>
      <c r="AB79" s="286">
        <f t="shared" si="10"/>
        <v>0</v>
      </c>
    </row>
    <row r="80" spans="1:28" s="18" customFormat="1" ht="169.95" customHeight="1" x14ac:dyDescent="0.3">
      <c r="A80" s="190">
        <v>633</v>
      </c>
      <c r="B80" s="235" t="str">
        <f>'Unit Data from Audit Worksheet'!C94</f>
        <v>Water Sewer Net Position Statement</v>
      </c>
      <c r="C80" s="190"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69">
        <f>'Unit Data from Audit Worksheet'!F94</f>
        <v>0</v>
      </c>
      <c r="F80"/>
      <c r="G80"/>
      <c r="H80"/>
      <c r="I80" s="666"/>
      <c r="J80" s="218">
        <v>633</v>
      </c>
      <c r="K80" s="193" t="s">
        <v>373</v>
      </c>
      <c r="L80" s="302">
        <f>IF(D80="",E80,D80)</f>
        <v>0</v>
      </c>
      <c r="M80"/>
      <c r="N80" s="292"/>
      <c r="O80" s="292"/>
      <c r="P80" s="196"/>
      <c r="Q80" s="279"/>
      <c r="R80" s="3"/>
      <c r="X80" s="552">
        <v>633</v>
      </c>
      <c r="Y80" s="286">
        <v>633</v>
      </c>
      <c r="AA80" s="386">
        <f t="shared" si="9"/>
        <v>0</v>
      </c>
      <c r="AB80" s="286">
        <f t="shared" si="10"/>
        <v>0</v>
      </c>
    </row>
    <row r="81" spans="1:28" s="18" customFormat="1" ht="130.5" customHeight="1" x14ac:dyDescent="0.3">
      <c r="A81" s="190">
        <v>634</v>
      </c>
      <c r="B81" s="235" t="str">
        <f>'Unit Data from Audit Worksheet'!C95</f>
        <v>Water Sewer Net Position Statement</v>
      </c>
      <c r="C81" s="190"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4">
        <f>'Unit Data from Audit Worksheet'!F95</f>
        <v>0</v>
      </c>
      <c r="F81" s="668"/>
      <c r="G81" s="667"/>
      <c r="H81" s="668"/>
      <c r="I81" s="301"/>
      <c r="J81" s="218">
        <v>634</v>
      </c>
      <c r="K81" s="193" t="s">
        <v>374</v>
      </c>
      <c r="L81" s="302">
        <f>IF(D81="",E81,D81)</f>
        <v>0</v>
      </c>
      <c r="M81"/>
      <c r="N81" s="292"/>
      <c r="O81" s="292"/>
      <c r="P81" s="196"/>
      <c r="Q81" s="279"/>
      <c r="R81" s="3"/>
      <c r="X81" s="552">
        <v>634</v>
      </c>
      <c r="Y81" s="286">
        <v>634</v>
      </c>
      <c r="AA81" s="386">
        <f t="shared" si="9"/>
        <v>0</v>
      </c>
      <c r="AB81" s="286">
        <f t="shared" si="10"/>
        <v>0</v>
      </c>
    </row>
    <row r="82" spans="1:28" s="18" customFormat="1" ht="105.75" customHeight="1" x14ac:dyDescent="0.3">
      <c r="A82" s="190">
        <v>635</v>
      </c>
      <c r="B82" s="235" t="str">
        <f>'Unit Data from Audit Worksheet'!C96</f>
        <v>Water Sewer Net Position Statement</v>
      </c>
      <c r="C82" s="190"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4">
        <f>'Unit Data from Audit Worksheet'!F96</f>
        <v>0</v>
      </c>
      <c r="F82" s="219"/>
      <c r="G82" s="207"/>
      <c r="H82" s="219"/>
      <c r="I82" s="301"/>
      <c r="J82" s="218">
        <v>635</v>
      </c>
      <c r="K82" s="193" t="s">
        <v>375</v>
      </c>
      <c r="L82" s="302">
        <f>IF(D82="",E82,D82)</f>
        <v>0</v>
      </c>
      <c r="M82"/>
      <c r="N82" s="292"/>
      <c r="O82" s="292"/>
      <c r="P82" s="196"/>
      <c r="Q82" s="279"/>
      <c r="R82" s="3"/>
      <c r="X82" s="552">
        <v>635</v>
      </c>
      <c r="Y82" s="286">
        <v>635</v>
      </c>
      <c r="AA82" s="386">
        <f t="shared" si="9"/>
        <v>0</v>
      </c>
      <c r="AB82" s="286">
        <f t="shared" si="10"/>
        <v>0</v>
      </c>
    </row>
    <row r="83" spans="1:28" s="18" customFormat="1" ht="105.75" customHeight="1" x14ac:dyDescent="0.3">
      <c r="A83" s="190">
        <v>636</v>
      </c>
      <c r="B83" s="235" t="str">
        <f>'Unit Data from Audit Worksheet'!C97</f>
        <v>Water Sewer Net Position Statement</v>
      </c>
      <c r="C83" s="190"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4">
        <f>'Unit Data from Audit Worksheet'!F97</f>
        <v>0</v>
      </c>
      <c r="F83" s="219"/>
      <c r="G83" s="207"/>
      <c r="H83" s="219"/>
      <c r="I83" s="301"/>
      <c r="J83" s="218">
        <v>636</v>
      </c>
      <c r="K83" s="193" t="s">
        <v>370</v>
      </c>
      <c r="L83" s="302">
        <f t="shared" ref="L83:L93" si="11">IF(D83="",E83,D83)</f>
        <v>0</v>
      </c>
      <c r="M83"/>
      <c r="N83" s="292"/>
      <c r="O83" s="292"/>
      <c r="P83" s="196"/>
      <c r="Q83" s="279"/>
      <c r="R83" s="3"/>
      <c r="X83" s="552">
        <v>636</v>
      </c>
      <c r="Y83" s="286">
        <v>636</v>
      </c>
      <c r="AA83" s="386">
        <f t="shared" si="9"/>
        <v>0</v>
      </c>
      <c r="AB83" s="286">
        <f t="shared" si="10"/>
        <v>0</v>
      </c>
    </row>
    <row r="84" spans="1:28" s="18" customFormat="1" ht="59.25" customHeight="1" x14ac:dyDescent="0.3">
      <c r="A84" s="190">
        <v>637</v>
      </c>
      <c r="B84" s="235" t="str">
        <f>'Unit Data from Audit Worksheet'!C98</f>
        <v>Water Sewer Net Position Statement</v>
      </c>
      <c r="C84" s="190" t="str">
        <f>'Unit Data from Audit Worksheet'!D98</f>
        <v>Please enter any current liabilities that are payable from restricted assets and included in account 633 above.
Enter as positive</v>
      </c>
      <c r="D84" s="102"/>
      <c r="E84" s="234">
        <f>'Unit Data from Audit Worksheet'!F98</f>
        <v>0</v>
      </c>
      <c r="F84" s="219"/>
      <c r="G84" s="207"/>
      <c r="H84" s="219"/>
      <c r="I84" s="301"/>
      <c r="J84" s="218">
        <v>637</v>
      </c>
      <c r="K84" s="193" t="s">
        <v>371</v>
      </c>
      <c r="L84" s="302">
        <f t="shared" si="11"/>
        <v>0</v>
      </c>
      <c r="M84"/>
      <c r="N84" s="292"/>
      <c r="O84" s="292"/>
      <c r="P84" s="199"/>
      <c r="Q84" s="279"/>
      <c r="R84" s="3"/>
      <c r="X84" s="552">
        <v>637</v>
      </c>
      <c r="Y84" s="286">
        <v>637</v>
      </c>
      <c r="AA84" s="386">
        <f t="shared" si="9"/>
        <v>0</v>
      </c>
      <c r="AB84" s="286">
        <f t="shared" si="10"/>
        <v>0</v>
      </c>
    </row>
    <row r="85" spans="1:28" s="18" customFormat="1" ht="115.95" customHeight="1" x14ac:dyDescent="0.3">
      <c r="A85" s="190">
        <v>638</v>
      </c>
      <c r="B85" s="235" t="str">
        <f>'Unit Data from Audit Worksheet'!C99</f>
        <v>Water Sewer Net Position Statement</v>
      </c>
      <c r="C85" s="190"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4">
        <f>'Unit Data from Audit Worksheet'!F99</f>
        <v>0</v>
      </c>
      <c r="F85" s="219"/>
      <c r="G85" s="207"/>
      <c r="H85" s="219"/>
      <c r="I85" s="301"/>
      <c r="J85" s="218">
        <v>638</v>
      </c>
      <c r="K85" s="193" t="s">
        <v>376</v>
      </c>
      <c r="L85" s="302">
        <f t="shared" si="11"/>
        <v>0</v>
      </c>
      <c r="M85"/>
      <c r="N85" s="292"/>
      <c r="O85" s="292"/>
      <c r="P85" s="196"/>
      <c r="Q85" s="279"/>
      <c r="R85" s="3"/>
      <c r="X85" s="552">
        <v>638</v>
      </c>
      <c r="Y85" s="286">
        <v>638</v>
      </c>
      <c r="AA85" s="386">
        <f t="shared" si="9"/>
        <v>0</v>
      </c>
      <c r="AB85" s="286">
        <f t="shared" si="10"/>
        <v>0</v>
      </c>
    </row>
    <row r="86" spans="1:28" ht="76.5" customHeight="1" x14ac:dyDescent="0.3">
      <c r="A86" s="287">
        <f>'Unit Data from Audit Worksheet'!A100</f>
        <v>383</v>
      </c>
      <c r="B86" s="48" t="str">
        <f>'Unit Data from Audit Worksheet'!C100</f>
        <v>Water Sewer Net Position Statement</v>
      </c>
      <c r="C86" s="288"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3"/>
      <c r="I86" s="32"/>
      <c r="J86" s="36">
        <v>383</v>
      </c>
      <c r="K86" s="45" t="s">
        <v>212</v>
      </c>
      <c r="L86" s="289">
        <f t="shared" si="11"/>
        <v>0</v>
      </c>
      <c r="P86" s="196"/>
      <c r="X86" s="552">
        <v>383</v>
      </c>
      <c r="Y86" s="286">
        <v>383</v>
      </c>
      <c r="AA86" s="386">
        <f t="shared" si="9"/>
        <v>0</v>
      </c>
      <c r="AB86" s="286">
        <f t="shared" si="10"/>
        <v>0</v>
      </c>
    </row>
    <row r="87" spans="1:28" ht="54" customHeight="1" x14ac:dyDescent="0.3">
      <c r="A87" s="212">
        <f>'Unit Data from Audit Worksheet'!A101</f>
        <v>349</v>
      </c>
      <c r="B87" s="225" t="str">
        <f>'Unit Data from Audit Worksheet'!C101</f>
        <v>Water Sewer Net Position Statement</v>
      </c>
      <c r="C87" s="211" t="str">
        <f>'Unit Data from Audit Worksheet'!D101</f>
        <v>Total Liabilities and deferred inflows</v>
      </c>
      <c r="D87" s="134"/>
      <c r="E87" s="231">
        <f>'Unit Data from Audit Worksheet'!F101</f>
        <v>0</v>
      </c>
      <c r="F87" s="224">
        <f>IF(L80&gt;L87,"Error: Please review accts 633&gt;349",)</f>
        <v>0</v>
      </c>
      <c r="G87" s="226"/>
      <c r="H87" s="223"/>
      <c r="I87" s="32"/>
      <c r="J87" s="222">
        <v>349</v>
      </c>
      <c r="K87" s="221" t="s">
        <v>114</v>
      </c>
      <c r="L87" s="289">
        <f t="shared" si="11"/>
        <v>0</v>
      </c>
      <c r="P87" s="196"/>
      <c r="X87" s="552">
        <v>349</v>
      </c>
      <c r="Y87" s="286">
        <v>349</v>
      </c>
      <c r="AA87" s="386">
        <f t="shared" si="9"/>
        <v>0</v>
      </c>
      <c r="AB87" s="286">
        <f t="shared" si="10"/>
        <v>0</v>
      </c>
    </row>
    <row r="88" spans="1:28" ht="56.25" customHeight="1" x14ac:dyDescent="0.3">
      <c r="A88" s="212">
        <f>'Unit Data from Audit Worksheet'!A102</f>
        <v>375</v>
      </c>
      <c r="B88" s="225" t="str">
        <f>'Unit Data from Audit Worksheet'!C102</f>
        <v>Water Sewer Net Position Statement</v>
      </c>
      <c r="C88" s="211" t="str">
        <f>'Unit Data from Audit Worksheet'!D102</f>
        <v>Total Net position, Unrestricted - enter negative unrestricted net position as a negative</v>
      </c>
      <c r="D88" s="134"/>
      <c r="E88" s="231">
        <f>'Unit Data from Audit Worksheet'!F102</f>
        <v>0</v>
      </c>
      <c r="F88" s="224"/>
      <c r="G88" s="226"/>
      <c r="H88" s="223"/>
      <c r="I88" s="32"/>
      <c r="J88" s="222">
        <v>375</v>
      </c>
      <c r="K88" s="221" t="s">
        <v>213</v>
      </c>
      <c r="L88" s="289">
        <f t="shared" si="11"/>
        <v>0</v>
      </c>
      <c r="P88" s="196"/>
      <c r="X88" s="552">
        <v>375</v>
      </c>
      <c r="Y88" s="286">
        <v>375</v>
      </c>
      <c r="AA88" s="386">
        <f t="shared" si="9"/>
        <v>0</v>
      </c>
      <c r="AB88" s="286">
        <f t="shared" si="10"/>
        <v>0</v>
      </c>
    </row>
    <row r="89" spans="1:28" ht="56.25" customHeight="1" x14ac:dyDescent="0.3">
      <c r="A89" s="212">
        <f>'Unit Data from Audit Worksheet'!A103</f>
        <v>83</v>
      </c>
      <c r="B89" s="225" t="str">
        <f>'Unit Data from Audit Worksheet'!C103</f>
        <v>Water Sewer Net Position Statement</v>
      </c>
      <c r="C89" s="211" t="str">
        <f>'Unit Data from Audit Worksheet'!D103</f>
        <v>Total Net position</v>
      </c>
      <c r="D89" s="134"/>
      <c r="E89" s="231">
        <f>'Unit Data from Audit Worksheet'!F103</f>
        <v>0</v>
      </c>
      <c r="F89" s="224">
        <f>IF(+L78-L87-L89=0,,"Error: Total assets less total liabilities do not equal net position acct 381-349-83=0")</f>
        <v>0</v>
      </c>
      <c r="G89" s="84">
        <f>L78-L87-L89</f>
        <v>0</v>
      </c>
      <c r="H89" s="223"/>
      <c r="I89" s="32"/>
      <c r="J89" s="222">
        <v>83</v>
      </c>
      <c r="K89" s="221" t="s">
        <v>94</v>
      </c>
      <c r="L89" s="289">
        <f t="shared" si="11"/>
        <v>0</v>
      </c>
      <c r="O89" s="296" t="e">
        <f>'Unit Data from Audit Worksheet'!E103</f>
        <v>#N/A</v>
      </c>
      <c r="P89" s="196"/>
      <c r="Q89" s="227"/>
      <c r="X89" s="552">
        <v>83</v>
      </c>
      <c r="Y89" s="286">
        <v>83</v>
      </c>
      <c r="AA89" s="386">
        <f t="shared" si="9"/>
        <v>0</v>
      </c>
      <c r="AB89" s="286">
        <f t="shared" si="10"/>
        <v>0</v>
      </c>
    </row>
    <row r="90" spans="1:28" ht="56.25" customHeight="1" x14ac:dyDescent="0.3">
      <c r="A90" s="212">
        <f>'Unit Data from Audit Worksheet'!A105</f>
        <v>90</v>
      </c>
      <c r="B90" s="225" t="str">
        <f>'Unit Data from Audit Worksheet'!C105</f>
        <v>Electric Fund Net Position Statement</v>
      </c>
      <c r="C90" s="211" t="str">
        <f>'Unit Data from Audit Worksheet'!D105</f>
        <v>All Unrestricted Cash and Investments.  
Exclude any restricted cash and investments.</v>
      </c>
      <c r="D90" s="134"/>
      <c r="E90" s="231">
        <f>'Unit Data from Audit Worksheet'!F105</f>
        <v>0</v>
      </c>
      <c r="F90" s="224">
        <f>IF(L90&lt;0,"Error: Number is normally positive.",)</f>
        <v>0</v>
      </c>
      <c r="G90" s="226"/>
      <c r="H90" s="223"/>
      <c r="I90" s="32"/>
      <c r="J90" s="222">
        <v>90</v>
      </c>
      <c r="K90" s="221" t="s">
        <v>214</v>
      </c>
      <c r="L90" s="289">
        <f t="shared" si="11"/>
        <v>0</v>
      </c>
      <c r="P90" s="196"/>
      <c r="X90" s="552">
        <v>90</v>
      </c>
      <c r="Y90" s="286">
        <v>90</v>
      </c>
      <c r="AA90" s="386">
        <f t="shared" si="9"/>
        <v>0</v>
      </c>
      <c r="AB90" s="286">
        <f t="shared" si="10"/>
        <v>0</v>
      </c>
    </row>
    <row r="91" spans="1:28" ht="56.25" customHeight="1" x14ac:dyDescent="0.3">
      <c r="A91" s="212">
        <f>'Unit Data from Audit Worksheet'!A106</f>
        <v>91</v>
      </c>
      <c r="B91" s="225" t="str">
        <f>'Unit Data from Audit Worksheet'!C106</f>
        <v>Electric Fund Net Position Statement</v>
      </c>
      <c r="C91" s="211" t="str">
        <f>'Unit Data from Audit Worksheet'!D106</f>
        <v xml:space="preserve">Customer accounts receivable (net of allowance accounts)
Include billed and unbilled amounts </v>
      </c>
      <c r="D91" s="134"/>
      <c r="E91" s="231">
        <f>'Unit Data from Audit Worksheet'!F106</f>
        <v>0</v>
      </c>
      <c r="F91" s="224">
        <f>IF(L91&lt;0,"Error: Number is normally positive.",)</f>
        <v>0</v>
      </c>
      <c r="G91" s="226"/>
      <c r="H91" s="223"/>
      <c r="I91" s="32"/>
      <c r="J91" s="222">
        <v>91</v>
      </c>
      <c r="K91" s="221" t="s">
        <v>215</v>
      </c>
      <c r="L91" s="289">
        <f t="shared" si="11"/>
        <v>0</v>
      </c>
      <c r="P91" s="196"/>
      <c r="X91" s="552">
        <v>91</v>
      </c>
      <c r="Y91" s="286">
        <v>91</v>
      </c>
      <c r="AA91" s="386">
        <f t="shared" si="9"/>
        <v>0</v>
      </c>
      <c r="AB91" s="286">
        <f t="shared" si="10"/>
        <v>0</v>
      </c>
    </row>
    <row r="92" spans="1:28" ht="56.25" customHeight="1" x14ac:dyDescent="0.3">
      <c r="A92" s="212">
        <f>'Unit Data from Audit Worksheet'!A107</f>
        <v>581</v>
      </c>
      <c r="B92" s="225" t="str">
        <f>'Unit Data from Audit Worksheet'!C107</f>
        <v>Electric Fund Net Position Statement</v>
      </c>
      <c r="C92" s="211" t="str">
        <f>'Unit Data from Audit Worksheet'!D107</f>
        <v>Electric Fund - Advance To:
Interfund loan receivable-portion of repayment plan longer than 12 months</v>
      </c>
      <c r="D92" s="134"/>
      <c r="E92" s="231">
        <f>'Unit Data from Audit Worksheet'!F107</f>
        <v>0</v>
      </c>
      <c r="F92" s="224"/>
      <c r="G92" s="226"/>
      <c r="H92" s="223"/>
      <c r="I92" s="32"/>
      <c r="J92" s="222">
        <v>581</v>
      </c>
      <c r="K92" s="221" t="s">
        <v>318</v>
      </c>
      <c r="L92" s="289">
        <f t="shared" si="11"/>
        <v>0</v>
      </c>
      <c r="P92" s="196"/>
      <c r="X92" s="552">
        <v>581</v>
      </c>
      <c r="Y92" s="286">
        <v>581</v>
      </c>
      <c r="AA92" s="386">
        <f t="shared" si="9"/>
        <v>0</v>
      </c>
      <c r="AB92" s="286">
        <f t="shared" si="10"/>
        <v>0</v>
      </c>
    </row>
    <row r="93" spans="1:28" ht="56.25" customHeight="1" x14ac:dyDescent="0.3">
      <c r="A93" s="212">
        <f>'Unit Data from Audit Worksheet'!A108</f>
        <v>511</v>
      </c>
      <c r="B93" s="225" t="str">
        <f>'Unit Data from Audit Worksheet'!C108</f>
        <v>Electric Fund Net Position Statement</v>
      </c>
      <c r="C93" s="211" t="str">
        <f>'Unit Data from Audit Worksheet'!D108</f>
        <v>Amount of inventories and prepaids</v>
      </c>
      <c r="D93" s="134"/>
      <c r="E93" s="231">
        <f>'Unit Data from Audit Worksheet'!F108</f>
        <v>0</v>
      </c>
      <c r="F93" s="224">
        <f t="shared" ref="F93:F98" si="12">IF(L93&lt;0,"Error: Number is normally positive.",)</f>
        <v>0</v>
      </c>
      <c r="G93" s="226"/>
      <c r="H93" s="223"/>
      <c r="I93" s="32"/>
      <c r="J93" s="222">
        <v>511</v>
      </c>
      <c r="K93" s="221" t="s">
        <v>216</v>
      </c>
      <c r="L93" s="289">
        <f t="shared" si="11"/>
        <v>0</v>
      </c>
      <c r="P93" s="196"/>
      <c r="X93" s="552">
        <v>511</v>
      </c>
      <c r="Y93" s="286">
        <v>511</v>
      </c>
      <c r="AA93" s="386">
        <f t="shared" si="9"/>
        <v>0</v>
      </c>
      <c r="AB93" s="286">
        <f t="shared" si="10"/>
        <v>0</v>
      </c>
    </row>
    <row r="94" spans="1:28" ht="62.25" customHeight="1" x14ac:dyDescent="0.3">
      <c r="A94" s="212">
        <f>'Unit Data from Audit Worksheet'!A109</f>
        <v>657</v>
      </c>
      <c r="B94" s="225" t="str">
        <f>'Unit Data from Audit Worksheet'!C109</f>
        <v>Electric Fund Net Position Statement</v>
      </c>
      <c r="C94" s="211" t="str">
        <f>'Unit Data from Audit Worksheet'!D109</f>
        <v xml:space="preserve">Total Current assets as listed on the Electric Net Position Statement.  
</v>
      </c>
      <c r="D94" s="134"/>
      <c r="E94" s="231">
        <f>'Unit Data from Audit Worksheet'!F109</f>
        <v>0</v>
      </c>
      <c r="F94" s="224">
        <f t="shared" si="12"/>
        <v>0</v>
      </c>
      <c r="G94" s="226"/>
      <c r="H94" s="223"/>
      <c r="I94" s="32"/>
      <c r="J94" s="222">
        <v>657</v>
      </c>
      <c r="K94" s="221" t="s">
        <v>420</v>
      </c>
      <c r="L94" s="302">
        <f>IF(D94="",E94,D94)</f>
        <v>0</v>
      </c>
      <c r="P94" s="196"/>
      <c r="X94" s="552">
        <v>657</v>
      </c>
      <c r="Y94" s="286">
        <v>657</v>
      </c>
      <c r="AA94" s="386">
        <f t="shared" si="9"/>
        <v>0</v>
      </c>
      <c r="AB94" s="286">
        <f t="shared" si="10"/>
        <v>0</v>
      </c>
    </row>
    <row r="95" spans="1:28" ht="62.25" customHeight="1" x14ac:dyDescent="0.3">
      <c r="A95" s="212">
        <f>'Unit Data from Audit Worksheet'!A110</f>
        <v>658</v>
      </c>
      <c r="B95" s="225" t="str">
        <f>'Unit Data from Audit Worksheet'!C110</f>
        <v>Electric Fund Net Position Statement</v>
      </c>
      <c r="C95" s="211" t="str">
        <f>'Unit Data from Audit Worksheet'!D110</f>
        <v>Electric-Any current assets that are restricted (Cash, Accounts Rec., etc..) and included in account 657 above</v>
      </c>
      <c r="D95" s="134"/>
      <c r="E95" s="231">
        <f>'Unit Data from Audit Worksheet'!F110</f>
        <v>0</v>
      </c>
      <c r="F95" s="224">
        <f t="shared" si="12"/>
        <v>0</v>
      </c>
      <c r="G95" s="226"/>
      <c r="H95" s="223"/>
      <c r="I95" s="32"/>
      <c r="J95" s="222">
        <v>658</v>
      </c>
      <c r="K95" s="221" t="s">
        <v>447</v>
      </c>
      <c r="L95" s="302">
        <f>IF(D95="",E95,D95)</f>
        <v>0</v>
      </c>
      <c r="P95" s="196"/>
      <c r="X95" s="552">
        <v>658</v>
      </c>
      <c r="Y95" s="286">
        <v>658</v>
      </c>
      <c r="AA95" s="386">
        <f t="shared" si="9"/>
        <v>0</v>
      </c>
      <c r="AB95" s="286">
        <f t="shared" si="10"/>
        <v>0</v>
      </c>
    </row>
    <row r="96" spans="1:28" ht="39.75" customHeight="1" x14ac:dyDescent="0.3">
      <c r="A96" s="212">
        <f>'Unit Data from Audit Worksheet'!A111</f>
        <v>382</v>
      </c>
      <c r="B96" s="225" t="str">
        <f>'Unit Data from Audit Worksheet'!C111</f>
        <v>Electric Fund Net Position Statement</v>
      </c>
      <c r="C96" s="211" t="str">
        <f>'Unit Data from Audit Worksheet'!D111</f>
        <v>Total Assets and deferred outflows</v>
      </c>
      <c r="D96" s="134"/>
      <c r="E96" s="231">
        <f>'Unit Data from Audit Worksheet'!F111</f>
        <v>0</v>
      </c>
      <c r="F96" s="224">
        <f t="shared" si="12"/>
        <v>0</v>
      </c>
      <c r="G96" s="226"/>
      <c r="H96" s="223"/>
      <c r="I96" s="32"/>
      <c r="J96" s="222">
        <v>382</v>
      </c>
      <c r="K96" s="221" t="s">
        <v>106</v>
      </c>
      <c r="L96" s="289">
        <f>IF(D96="",E96,D96)</f>
        <v>0</v>
      </c>
      <c r="P96" s="196"/>
      <c r="X96" s="552">
        <v>382</v>
      </c>
      <c r="Y96" s="286">
        <v>382</v>
      </c>
      <c r="AA96" s="386">
        <f t="shared" si="9"/>
        <v>0</v>
      </c>
      <c r="AB96" s="286">
        <f t="shared" si="10"/>
        <v>0</v>
      </c>
    </row>
    <row r="97" spans="1:28" ht="39.75" customHeight="1" x14ac:dyDescent="0.3">
      <c r="A97" s="212">
        <f>'Unit Data from Audit Worksheet'!A112</f>
        <v>360</v>
      </c>
      <c r="B97" s="225" t="str">
        <f>'Unit Data from Audit Worksheet'!C112</f>
        <v>Electric Fund Net Position Statement</v>
      </c>
      <c r="C97" s="211" t="str">
        <f>'Unit Data from Audit Worksheet'!D112</f>
        <v>Total liabilities and total deferred inflows</v>
      </c>
      <c r="D97" s="134"/>
      <c r="E97" s="231">
        <f>'Unit Data from Audit Worksheet'!F112</f>
        <v>0</v>
      </c>
      <c r="F97" s="224">
        <f t="shared" si="12"/>
        <v>0</v>
      </c>
      <c r="G97" s="226"/>
      <c r="H97" s="223"/>
      <c r="I97" s="32"/>
      <c r="J97" s="222">
        <v>360</v>
      </c>
      <c r="K97" s="101" t="s">
        <v>117</v>
      </c>
      <c r="L97" s="289">
        <f>IF(D97="",E97,D97)</f>
        <v>0</v>
      </c>
      <c r="P97" s="196"/>
      <c r="X97" s="552">
        <v>360</v>
      </c>
      <c r="Y97" s="286">
        <v>360</v>
      </c>
      <c r="AA97" s="386">
        <f t="shared" si="9"/>
        <v>0</v>
      </c>
      <c r="AB97" s="286">
        <f t="shared" si="10"/>
        <v>0</v>
      </c>
    </row>
    <row r="98" spans="1:28" ht="58.5" customHeight="1" x14ac:dyDescent="0.3">
      <c r="A98" s="212">
        <f>'Unit Data from Audit Worksheet'!A113</f>
        <v>580</v>
      </c>
      <c r="B98" s="225" t="str">
        <f>'Unit Data from Audit Worksheet'!C113</f>
        <v>Electric Fund Net Position Statement</v>
      </c>
      <c r="C98" s="211" t="str">
        <f>'Unit Data from Audit Worksheet'!D113</f>
        <v>Electric Fund - Advance From:
Interfund loans payable-portion of repayment plan longer than 12 months</v>
      </c>
      <c r="D98" s="134"/>
      <c r="E98" s="231">
        <f>'Unit Data from Audit Worksheet'!F113</f>
        <v>0</v>
      </c>
      <c r="F98" s="103">
        <f t="shared" si="12"/>
        <v>0</v>
      </c>
      <c r="G98" s="104"/>
      <c r="H98" s="105"/>
      <c r="I98" s="32"/>
      <c r="J98" s="222">
        <v>580</v>
      </c>
      <c r="K98" s="101" t="s">
        <v>319</v>
      </c>
      <c r="L98" s="289">
        <f>IF(D98="",E98,D98)</f>
        <v>0</v>
      </c>
      <c r="N98" s="297"/>
      <c r="P98" s="200"/>
      <c r="X98" s="552">
        <v>580</v>
      </c>
      <c r="Y98" s="286">
        <v>580</v>
      </c>
      <c r="AA98" s="386">
        <f t="shared" si="9"/>
        <v>0</v>
      </c>
      <c r="AB98" s="286">
        <f t="shared" si="10"/>
        <v>0</v>
      </c>
    </row>
    <row r="99" spans="1:28" s="18" customFormat="1" ht="128.4" customHeight="1" x14ac:dyDescent="0.3">
      <c r="A99" s="212">
        <f>'Unit Data from Audit Worksheet'!A114</f>
        <v>639</v>
      </c>
      <c r="B99" s="225" t="str">
        <f>'Unit Data from Audit Worksheet'!C114</f>
        <v>Electric Fund Net Position Statement</v>
      </c>
      <c r="C99" s="211"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70">
        <f>'Unit Data from Audit Worksheet'!F114</f>
        <v>0</v>
      </c>
      <c r="F99"/>
      <c r="G99"/>
      <c r="H99"/>
      <c r="I99" s="32"/>
      <c r="J99" s="222">
        <v>639</v>
      </c>
      <c r="K99" s="221" t="s">
        <v>377</v>
      </c>
      <c r="L99" s="302">
        <f t="shared" ref="L99:L123" si="13">IF(D99="",E99,D99)</f>
        <v>0</v>
      </c>
      <c r="M99"/>
      <c r="P99" s="196"/>
      <c r="Q99" s="279"/>
      <c r="R99" s="3"/>
      <c r="S99" s="3"/>
      <c r="T99" s="3"/>
      <c r="U99" s="3"/>
      <c r="V99" s="3"/>
      <c r="W99" s="3"/>
      <c r="X99" s="552">
        <v>639</v>
      </c>
      <c r="Y99" s="286">
        <v>639</v>
      </c>
      <c r="Z99" s="3"/>
      <c r="AA99" s="386">
        <f t="shared" si="9"/>
        <v>0</v>
      </c>
      <c r="AB99" s="286">
        <f t="shared" si="10"/>
        <v>0</v>
      </c>
    </row>
    <row r="100" spans="1:28" s="18" customFormat="1" ht="132" customHeight="1" x14ac:dyDescent="0.3">
      <c r="A100" s="212">
        <f>'Unit Data from Audit Worksheet'!A115</f>
        <v>640</v>
      </c>
      <c r="B100" s="225" t="str">
        <f>'Unit Data from Audit Worksheet'!C115</f>
        <v>Electric Fund Net Position Statement</v>
      </c>
      <c r="C100" s="211"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31">
        <f>'Unit Data from Audit Worksheet'!F115</f>
        <v>0</v>
      </c>
      <c r="F100" s="41">
        <f t="shared" ref="F100:F105" si="14">IF(L100&lt;0,"Error: Number is normally positive.",)</f>
        <v>0</v>
      </c>
      <c r="G100" s="65"/>
      <c r="H100" s="223"/>
      <c r="I100" s="32"/>
      <c r="J100" s="222">
        <v>640</v>
      </c>
      <c r="K100" s="221" t="s">
        <v>378</v>
      </c>
      <c r="L100" s="302">
        <f t="shared" si="13"/>
        <v>0</v>
      </c>
      <c r="M100"/>
      <c r="P100" s="196"/>
      <c r="Q100" s="279"/>
      <c r="R100" s="3"/>
      <c r="S100" s="3"/>
      <c r="T100" s="3"/>
      <c r="U100" s="3"/>
      <c r="V100" s="3"/>
      <c r="W100" s="3"/>
      <c r="X100" s="552">
        <v>640</v>
      </c>
      <c r="Y100" s="286">
        <v>640</v>
      </c>
      <c r="Z100" s="3"/>
      <c r="AA100" s="386">
        <f t="shared" si="9"/>
        <v>0</v>
      </c>
      <c r="AB100" s="286">
        <f t="shared" si="10"/>
        <v>0</v>
      </c>
    </row>
    <row r="101" spans="1:28" s="18" customFormat="1" ht="128.4" customHeight="1" x14ac:dyDescent="0.3">
      <c r="A101" s="212">
        <f>'Unit Data from Audit Worksheet'!A116</f>
        <v>641</v>
      </c>
      <c r="B101" s="225" t="str">
        <f>'Unit Data from Audit Worksheet'!C116</f>
        <v>Electric Fund Net Position Statement</v>
      </c>
      <c r="C101" s="211"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31">
        <f>'Unit Data from Audit Worksheet'!F116</f>
        <v>0</v>
      </c>
      <c r="F101" s="224">
        <f t="shared" si="14"/>
        <v>0</v>
      </c>
      <c r="G101" s="226"/>
      <c r="H101" s="223"/>
      <c r="I101" s="32"/>
      <c r="J101" s="222">
        <v>641</v>
      </c>
      <c r="K101" s="221" t="s">
        <v>379</v>
      </c>
      <c r="L101" s="302">
        <f t="shared" si="13"/>
        <v>0</v>
      </c>
      <c r="M101"/>
      <c r="P101" s="201"/>
      <c r="Q101" s="279"/>
      <c r="R101" s="3"/>
      <c r="S101" s="3"/>
      <c r="T101" s="3"/>
      <c r="U101" s="3"/>
      <c r="V101" s="3"/>
      <c r="W101" s="3"/>
      <c r="X101" s="552">
        <v>641</v>
      </c>
      <c r="Y101" s="286">
        <v>641</v>
      </c>
      <c r="Z101" s="3"/>
      <c r="AA101" s="386">
        <f t="shared" si="9"/>
        <v>0</v>
      </c>
      <c r="AB101" s="286">
        <f t="shared" si="10"/>
        <v>0</v>
      </c>
    </row>
    <row r="102" spans="1:28" s="18" customFormat="1" ht="104.25" customHeight="1" x14ac:dyDescent="0.3">
      <c r="A102" s="212">
        <f>'Unit Data from Audit Worksheet'!A117</f>
        <v>642</v>
      </c>
      <c r="B102" s="225" t="str">
        <f>'Unit Data from Audit Worksheet'!C117</f>
        <v>Electric Fund Net Position Statement</v>
      </c>
      <c r="C102" s="211"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31">
        <f>'Unit Data from Audit Worksheet'!F117</f>
        <v>0</v>
      </c>
      <c r="F102" s="224">
        <f t="shared" si="14"/>
        <v>0</v>
      </c>
      <c r="G102" s="226"/>
      <c r="H102" s="223"/>
      <c r="I102" s="32"/>
      <c r="J102" s="222">
        <v>642</v>
      </c>
      <c r="K102" s="221" t="s">
        <v>380</v>
      </c>
      <c r="L102" s="302">
        <f t="shared" si="13"/>
        <v>0</v>
      </c>
      <c r="M102"/>
      <c r="P102" s="201"/>
      <c r="Q102" s="279"/>
      <c r="R102" s="3"/>
      <c r="S102" s="3"/>
      <c r="T102" s="3"/>
      <c r="U102" s="3"/>
      <c r="V102" s="3"/>
      <c r="W102" s="3"/>
      <c r="X102" s="552">
        <v>642</v>
      </c>
      <c r="Y102" s="286">
        <v>642</v>
      </c>
      <c r="Z102" s="3"/>
      <c r="AA102" s="386">
        <f t="shared" si="9"/>
        <v>0</v>
      </c>
      <c r="AB102" s="286">
        <f t="shared" si="10"/>
        <v>0</v>
      </c>
    </row>
    <row r="103" spans="1:28" s="18" customFormat="1" ht="97.95" customHeight="1" x14ac:dyDescent="0.3">
      <c r="A103" s="212">
        <f>'Unit Data from Audit Worksheet'!A118</f>
        <v>643</v>
      </c>
      <c r="B103" s="225" t="str">
        <f>'Unit Data from Audit Worksheet'!C118</f>
        <v>Electric Fund Net Position Statement</v>
      </c>
      <c r="C103" s="211" t="str">
        <f>'Unit Data from Audit Worksheet'!D118</f>
        <v>Please enter any current liabilities that are payable from restricted assets and included in account 639 above. 
Enter as a positive</v>
      </c>
      <c r="D103" s="134"/>
      <c r="E103" s="231">
        <f>'Unit Data from Audit Worksheet'!F118</f>
        <v>0</v>
      </c>
      <c r="F103" s="224">
        <f t="shared" si="14"/>
        <v>0</v>
      </c>
      <c r="G103" s="226"/>
      <c r="H103" s="223"/>
      <c r="I103" s="32"/>
      <c r="J103" s="222">
        <v>643</v>
      </c>
      <c r="K103" s="221" t="s">
        <v>381</v>
      </c>
      <c r="L103" s="302">
        <f t="shared" si="13"/>
        <v>0</v>
      </c>
      <c r="M103"/>
      <c r="P103" s="196"/>
      <c r="Q103" s="279"/>
      <c r="R103" s="3"/>
      <c r="S103" s="3"/>
      <c r="T103" s="3"/>
      <c r="U103" s="3"/>
      <c r="V103" s="3"/>
      <c r="W103" s="3"/>
      <c r="X103" s="552">
        <v>643</v>
      </c>
      <c r="Y103" s="286">
        <v>643</v>
      </c>
      <c r="Z103" s="3"/>
      <c r="AA103" s="386">
        <f t="shared" si="9"/>
        <v>0</v>
      </c>
      <c r="AB103" s="286">
        <f t="shared" si="10"/>
        <v>0</v>
      </c>
    </row>
    <row r="104" spans="1:28" s="18" customFormat="1" ht="102" customHeight="1" x14ac:dyDescent="0.3">
      <c r="A104" s="212">
        <f>'Unit Data from Audit Worksheet'!A119</f>
        <v>644</v>
      </c>
      <c r="B104" s="225" t="str">
        <f>'Unit Data from Audit Worksheet'!C119</f>
        <v>Electric Fund Net Position Statement</v>
      </c>
      <c r="C104" s="211"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31">
        <f>'Unit Data from Audit Worksheet'!F119</f>
        <v>0</v>
      </c>
      <c r="F104" s="224">
        <f t="shared" si="14"/>
        <v>0</v>
      </c>
      <c r="G104" s="226"/>
      <c r="H104" s="223"/>
      <c r="I104" s="32"/>
      <c r="J104" s="182">
        <v>644</v>
      </c>
      <c r="K104" s="221" t="s">
        <v>382</v>
      </c>
      <c r="L104" s="302">
        <f t="shared" si="13"/>
        <v>0</v>
      </c>
      <c r="M104"/>
      <c r="P104" s="196"/>
      <c r="Q104" s="279"/>
      <c r="R104" s="3"/>
      <c r="S104" s="3"/>
      <c r="T104" s="3"/>
      <c r="U104" s="3"/>
      <c r="V104" s="3"/>
      <c r="W104" s="3"/>
      <c r="X104" s="552">
        <v>644</v>
      </c>
      <c r="Y104" s="286">
        <v>644</v>
      </c>
      <c r="Z104" s="3"/>
      <c r="AA104" s="386">
        <f t="shared" si="9"/>
        <v>0</v>
      </c>
      <c r="AB104" s="286">
        <f t="shared" si="10"/>
        <v>0</v>
      </c>
    </row>
    <row r="105" spans="1:28" ht="96" customHeight="1" x14ac:dyDescent="0.3">
      <c r="A105" s="212">
        <f>+'Unit Data from Audit Worksheet'!A120</f>
        <v>384</v>
      </c>
      <c r="B105" s="212" t="str">
        <f>+'Unit Data from Audit Worksheet'!C120</f>
        <v>Electric Fund Net Position Statement</v>
      </c>
      <c r="C105" s="212" t="str">
        <f>+'Unit Data from Audit Worksheet'!D120</f>
        <v>Unearned revenue (arising from cash receipts) that were included in Current Liabilities in account 639 above.
Enter as a positive</v>
      </c>
      <c r="D105" s="134"/>
      <c r="E105" s="231">
        <f>+'Unit Data from Audit Worksheet'!F120</f>
        <v>0</v>
      </c>
      <c r="F105" s="224">
        <f t="shared" si="14"/>
        <v>0</v>
      </c>
      <c r="G105" s="226"/>
      <c r="H105" s="223"/>
      <c r="I105" s="32"/>
      <c r="J105" s="222">
        <v>384</v>
      </c>
      <c r="K105" s="52" t="s">
        <v>116</v>
      </c>
      <c r="L105" s="289">
        <f t="shared" si="13"/>
        <v>0</v>
      </c>
      <c r="P105" s="196"/>
      <c r="X105" s="552">
        <v>384</v>
      </c>
      <c r="Y105" s="286">
        <v>384</v>
      </c>
      <c r="AA105" s="386">
        <f t="shared" si="9"/>
        <v>0</v>
      </c>
      <c r="AB105" s="286">
        <f t="shared" si="10"/>
        <v>0</v>
      </c>
    </row>
    <row r="106" spans="1:28" ht="72" x14ac:dyDescent="0.3">
      <c r="A106" s="212">
        <f>+'Unit Data from Audit Worksheet'!A121</f>
        <v>361</v>
      </c>
      <c r="B106" s="212" t="str">
        <f>+'Unit Data from Audit Worksheet'!C121</f>
        <v>Electric Fund Net Position Statement</v>
      </c>
      <c r="C106" s="212" t="str">
        <f>+'Unit Data from Audit Worksheet'!D121</f>
        <v>Total net position, unrestricted - Amount of negative unrestricted net position should be entered as a negative amount and the amount of positive unrestricted net position should be entered as a positive amount.</v>
      </c>
      <c r="D106" s="134"/>
      <c r="E106" s="231">
        <f>+'Unit Data from Audit Worksheet'!F121</f>
        <v>0</v>
      </c>
      <c r="F106" s="224"/>
      <c r="G106" s="226"/>
      <c r="H106" s="223"/>
      <c r="I106" s="32"/>
      <c r="J106" s="222">
        <v>361</v>
      </c>
      <c r="K106" s="221" t="s">
        <v>98</v>
      </c>
      <c r="L106" s="289">
        <f t="shared" si="13"/>
        <v>0</v>
      </c>
      <c r="P106" s="196"/>
      <c r="X106" s="552">
        <v>361</v>
      </c>
      <c r="Y106" s="286">
        <v>361</v>
      </c>
      <c r="AA106" s="386">
        <f t="shared" si="9"/>
        <v>0</v>
      </c>
      <c r="AB106" s="286">
        <f t="shared" si="10"/>
        <v>0</v>
      </c>
    </row>
    <row r="107" spans="1:28" ht="46.5" customHeight="1" x14ac:dyDescent="0.3">
      <c r="A107" s="212">
        <f>'Unit Data from Audit Worksheet'!A122</f>
        <v>362</v>
      </c>
      <c r="B107" s="225" t="str">
        <f>'Unit Data from Audit Worksheet'!C122</f>
        <v>Electric Fund Net Position Statement</v>
      </c>
      <c r="C107" s="211" t="str">
        <f>'Unit Data from Audit Worksheet'!D122</f>
        <v>Total net position</v>
      </c>
      <c r="D107" s="134"/>
      <c r="E107" s="231">
        <f>'Unit Data from Audit Worksheet'!F122</f>
        <v>0</v>
      </c>
      <c r="F107" s="224">
        <f>IF(L96-L97-L107=0,,"Error: Total assets less total liabilities do not equal net position acct 382-360-362=0")</f>
        <v>0</v>
      </c>
      <c r="G107" s="84">
        <f>+L96-L97-L107</f>
        <v>0</v>
      </c>
      <c r="H107" s="223"/>
      <c r="I107" s="32"/>
      <c r="J107" s="222">
        <v>362</v>
      </c>
      <c r="K107" s="221" t="s">
        <v>99</v>
      </c>
      <c r="L107" s="289">
        <f t="shared" si="13"/>
        <v>0</v>
      </c>
      <c r="O107" s="296" t="e">
        <f>'Unit Data from Audit Worksheet'!E122</f>
        <v>#N/A</v>
      </c>
      <c r="P107" s="196"/>
      <c r="X107" s="552">
        <v>362</v>
      </c>
      <c r="Y107" s="286">
        <v>362</v>
      </c>
      <c r="AA107" s="386">
        <f t="shared" si="9"/>
        <v>0</v>
      </c>
      <c r="AB107" s="286">
        <f t="shared" si="10"/>
        <v>0</v>
      </c>
    </row>
    <row r="108" spans="1:28" ht="61.5" customHeight="1" x14ac:dyDescent="0.3">
      <c r="A108" s="212">
        <f>'Unit Data from Audit Worksheet'!A125</f>
        <v>88</v>
      </c>
      <c r="B108" s="225" t="str">
        <f>'Unit Data from Audit Worksheet'!C125</f>
        <v>Water Sewer Revenue, Expenses &amp; Changes in Fund Net Position</v>
      </c>
      <c r="C108" s="211" t="str">
        <f>'Unit Data from Audit Worksheet'!D125</f>
        <v>Charges for services. 
Exclude tap, capacity fees and other misc. income .</v>
      </c>
      <c r="D108" s="134"/>
      <c r="E108" s="231">
        <f>'Unit Data from Audit Worksheet'!F125</f>
        <v>0</v>
      </c>
      <c r="F108" s="224"/>
      <c r="G108" s="226"/>
      <c r="H108" s="223"/>
      <c r="I108" s="32"/>
      <c r="J108" s="222">
        <v>88</v>
      </c>
      <c r="K108" s="221" t="s">
        <v>217</v>
      </c>
      <c r="L108" s="289">
        <f t="shared" si="13"/>
        <v>0</v>
      </c>
      <c r="P108" s="196"/>
      <c r="X108" s="552">
        <v>88</v>
      </c>
      <c r="Y108" s="286">
        <v>88</v>
      </c>
      <c r="AA108" s="386">
        <f t="shared" si="9"/>
        <v>0</v>
      </c>
      <c r="AB108" s="286">
        <f t="shared" si="10"/>
        <v>0</v>
      </c>
    </row>
    <row r="109" spans="1:28" ht="72" customHeight="1" x14ac:dyDescent="0.3">
      <c r="A109" s="212">
        <f>'Unit Data from Audit Worksheet'!A126</f>
        <v>84</v>
      </c>
      <c r="B109" s="225" t="str">
        <f>'Unit Data from Audit Worksheet'!C126</f>
        <v>Water Sewer Revenue, Expenses &amp; Changes in Fund Net Position</v>
      </c>
      <c r="C109" s="211" t="str">
        <f>'Unit Data from Audit Worksheet'!D126</f>
        <v>Total Operating revenues</v>
      </c>
      <c r="D109" s="134"/>
      <c r="E109" s="231">
        <f>'Unit Data from Audit Worksheet'!F126</f>
        <v>0</v>
      </c>
      <c r="F109" s="224" t="str">
        <f>IF(L108&gt;L109,"Error: Charges for services exceed total operating revenues. Acct # 88&gt;84"," ")</f>
        <v xml:space="preserve"> </v>
      </c>
      <c r="G109" s="226" t="str">
        <f>IF(Q90=1," Included in error count"," ")</f>
        <v xml:space="preserve"> </v>
      </c>
      <c r="H109" s="223"/>
      <c r="I109" s="32"/>
      <c r="J109" s="222">
        <v>84</v>
      </c>
      <c r="K109" s="221" t="s">
        <v>218</v>
      </c>
      <c r="L109" s="289">
        <f t="shared" si="13"/>
        <v>0</v>
      </c>
      <c r="P109" s="196"/>
      <c r="X109" s="552">
        <v>84</v>
      </c>
      <c r="Y109" s="286">
        <v>84</v>
      </c>
      <c r="AA109" s="386">
        <f t="shared" si="9"/>
        <v>0</v>
      </c>
      <c r="AB109" s="286">
        <f t="shared" si="10"/>
        <v>0</v>
      </c>
    </row>
    <row r="110" spans="1:28" ht="72" customHeight="1" x14ac:dyDescent="0.3">
      <c r="A110" s="212">
        <f>'Unit Data from Audit Worksheet'!A127</f>
        <v>49</v>
      </c>
      <c r="B110" s="225" t="str">
        <f>'Unit Data from Audit Worksheet'!C127</f>
        <v>Water Sewer Revenue, Expenses &amp; Changes in Fund Net Position</v>
      </c>
      <c r="C110" s="211" t="str">
        <f>'Unit Data from Audit Worksheet'!D127</f>
        <v>Depreciation and amortization expense</v>
      </c>
      <c r="D110" s="134"/>
      <c r="E110" s="231">
        <f>'Unit Data from Audit Worksheet'!F127</f>
        <v>0</v>
      </c>
      <c r="F110" s="224">
        <f>IF(L110&lt;0,"Error: Number is normally positive.",)</f>
        <v>0</v>
      </c>
      <c r="G110" s="226"/>
      <c r="H110" s="223"/>
      <c r="I110" s="32"/>
      <c r="J110" s="222">
        <v>49</v>
      </c>
      <c r="K110" s="221" t="s">
        <v>219</v>
      </c>
      <c r="L110" s="289">
        <f t="shared" si="13"/>
        <v>0</v>
      </c>
      <c r="O110" s="296"/>
      <c r="P110" s="196"/>
      <c r="X110" s="552">
        <v>49</v>
      </c>
      <c r="Y110" s="286">
        <v>49</v>
      </c>
      <c r="AA110" s="386">
        <f t="shared" si="9"/>
        <v>0</v>
      </c>
      <c r="AB110" s="286">
        <f t="shared" si="10"/>
        <v>0</v>
      </c>
    </row>
    <row r="111" spans="1:28" ht="48" customHeight="1" x14ac:dyDescent="0.3">
      <c r="A111" s="212">
        <f>'Unit Data from Audit Worksheet'!A128</f>
        <v>85</v>
      </c>
      <c r="B111" s="225" t="str">
        <f>'Unit Data from Audit Worksheet'!C128</f>
        <v>Water Sewer Revenue, Expenses &amp; Changes in Fund Net Position</v>
      </c>
      <c r="C111" s="211" t="str">
        <f>'Unit Data from Audit Worksheet'!D128</f>
        <v>Total Operating expenses</v>
      </c>
      <c r="D111" s="134"/>
      <c r="E111" s="231">
        <f>'Unit Data from Audit Worksheet'!F128</f>
        <v>0</v>
      </c>
      <c r="F111" s="224"/>
      <c r="G111" s="226"/>
      <c r="H111" s="223"/>
      <c r="I111" s="32"/>
      <c r="J111" s="222">
        <v>85</v>
      </c>
      <c r="K111" s="221" t="s">
        <v>220</v>
      </c>
      <c r="L111" s="289">
        <f t="shared" si="13"/>
        <v>0</v>
      </c>
      <c r="P111" s="196"/>
      <c r="X111" s="552">
        <v>85</v>
      </c>
      <c r="Y111" s="286">
        <v>85</v>
      </c>
      <c r="AA111" s="386">
        <f t="shared" si="9"/>
        <v>0</v>
      </c>
      <c r="AB111" s="286">
        <f t="shared" si="10"/>
        <v>0</v>
      </c>
    </row>
    <row r="112" spans="1:28" ht="48" customHeight="1" x14ac:dyDescent="0.3">
      <c r="A112" s="212">
        <f>'Unit Data from Audit Worksheet'!A129</f>
        <v>89</v>
      </c>
      <c r="B112" s="225" t="str">
        <f>'Unit Data from Audit Worksheet'!C129</f>
        <v>Water Sewer Revenue, Expenses &amp; Changes in Fund Net Position</v>
      </c>
      <c r="C112" s="211" t="str">
        <f>'Unit Data from Audit Worksheet'!D129</f>
        <v>Interest expense</v>
      </c>
      <c r="D112" s="134"/>
      <c r="E112" s="231">
        <f>'Unit Data from Audit Worksheet'!F129</f>
        <v>0</v>
      </c>
      <c r="F112" s="224"/>
      <c r="G112" s="226"/>
      <c r="H112" s="223"/>
      <c r="I112" s="32"/>
      <c r="J112" s="222">
        <v>89</v>
      </c>
      <c r="K112" s="221" t="s">
        <v>221</v>
      </c>
      <c r="L112" s="289">
        <f t="shared" si="13"/>
        <v>0</v>
      </c>
      <c r="P112" s="196"/>
      <c r="X112" s="552">
        <v>89</v>
      </c>
      <c r="Y112" s="286">
        <v>89</v>
      </c>
      <c r="AA112" s="386">
        <f t="shared" si="9"/>
        <v>0</v>
      </c>
      <c r="AB112" s="286">
        <f t="shared" si="10"/>
        <v>0</v>
      </c>
    </row>
    <row r="113" spans="1:28" ht="48" customHeight="1" x14ac:dyDescent="0.3">
      <c r="A113" s="212">
        <f>'Unit Data from Audit Worksheet'!A130</f>
        <v>350</v>
      </c>
      <c r="B113" s="225" t="str">
        <f>'Unit Data from Audit Worksheet'!C130</f>
        <v>Water Sewer Revenue, Expenses &amp; Changes in Fund Net Position</v>
      </c>
      <c r="C113" s="211" t="str">
        <f>'Unit Data from Audit Worksheet'!D130</f>
        <v>Total all non-operating revenues  
Exclude Capital contributions.</v>
      </c>
      <c r="D113" s="134"/>
      <c r="E113" s="231">
        <f>'Unit Data from Audit Worksheet'!F130</f>
        <v>0</v>
      </c>
      <c r="F113" s="224"/>
      <c r="G113" s="226"/>
      <c r="H113" s="223"/>
      <c r="I113" s="32"/>
      <c r="J113" s="222">
        <v>350</v>
      </c>
      <c r="K113" s="221" t="s">
        <v>222</v>
      </c>
      <c r="L113" s="289">
        <f t="shared" si="13"/>
        <v>0</v>
      </c>
      <c r="P113" s="196"/>
      <c r="X113" s="552">
        <v>350</v>
      </c>
      <c r="Y113" s="286">
        <v>350</v>
      </c>
      <c r="AA113" s="386">
        <f t="shared" si="9"/>
        <v>0</v>
      </c>
      <c r="AB113" s="286">
        <f t="shared" si="10"/>
        <v>0</v>
      </c>
    </row>
    <row r="114" spans="1:28" ht="48" customHeight="1" x14ac:dyDescent="0.3">
      <c r="A114" s="212">
        <f>'Unit Data from Audit Worksheet'!A131</f>
        <v>351</v>
      </c>
      <c r="B114" s="225" t="str">
        <f>'Unit Data from Audit Worksheet'!C131</f>
        <v>Water Sewer Revenue, Expenses &amp; Changes in Fund Net Position</v>
      </c>
      <c r="C114" s="211" t="str">
        <f>'Unit Data from Audit Worksheet'!D131</f>
        <v>Total all non-operating expenses.  
Include any negative special, extraordinary, or capital contribution.</v>
      </c>
      <c r="D114" s="134"/>
      <c r="E114" s="231">
        <f>'Unit Data from Audit Worksheet'!F131</f>
        <v>0</v>
      </c>
      <c r="F114" s="224"/>
      <c r="G114" s="226"/>
      <c r="H114" s="223"/>
      <c r="I114" s="32"/>
      <c r="J114" s="222">
        <v>351</v>
      </c>
      <c r="K114" s="221" t="s">
        <v>223</v>
      </c>
      <c r="L114" s="289">
        <f t="shared" si="13"/>
        <v>0</v>
      </c>
      <c r="P114" s="196"/>
      <c r="X114" s="552">
        <v>351</v>
      </c>
      <c r="Y114" s="286">
        <v>351</v>
      </c>
      <c r="AA114" s="386">
        <f t="shared" si="9"/>
        <v>0</v>
      </c>
      <c r="AB114" s="286">
        <f t="shared" si="10"/>
        <v>0</v>
      </c>
    </row>
    <row r="115" spans="1:28" ht="66" customHeight="1" x14ac:dyDescent="0.3">
      <c r="A115" s="212">
        <f>'Unit Data from Audit Worksheet'!A132</f>
        <v>191</v>
      </c>
      <c r="B115" s="225" t="str">
        <f>'Unit Data from Audit Worksheet'!C132</f>
        <v>Water Sewer Revenue, Expenses &amp; Changes in Fund Net Position</v>
      </c>
      <c r="C115" s="211" t="str">
        <f>'Unit Data from Audit Worksheet'!D132</f>
        <v>Capital contributions. Only include positive capital contributions.  Negative capital contributions should be included with 'Total all non-operating expenses.'</v>
      </c>
      <c r="D115" s="134"/>
      <c r="E115" s="231">
        <f>'Unit Data from Audit Worksheet'!F132</f>
        <v>0</v>
      </c>
      <c r="F115" s="224">
        <f>IF(L115&lt;0,"Error: Enter as a positive.",)</f>
        <v>0</v>
      </c>
      <c r="G115" s="226"/>
      <c r="H115" s="223"/>
      <c r="I115" s="32"/>
      <c r="J115" s="222">
        <v>191</v>
      </c>
      <c r="K115" s="221" t="s">
        <v>224</v>
      </c>
      <c r="L115" s="289">
        <f t="shared" si="13"/>
        <v>0</v>
      </c>
      <c r="P115" s="196"/>
      <c r="S115" s="18"/>
      <c r="T115" s="18"/>
      <c r="U115" s="18"/>
      <c r="V115" s="18"/>
      <c r="X115" s="552">
        <v>191</v>
      </c>
      <c r="Y115" s="286">
        <v>191</v>
      </c>
      <c r="Z115" s="18"/>
      <c r="AA115" s="386">
        <f t="shared" si="9"/>
        <v>0</v>
      </c>
      <c r="AB115" s="286">
        <f t="shared" si="10"/>
        <v>0</v>
      </c>
    </row>
    <row r="116" spans="1:28" s="386" customFormat="1" ht="66.599999999999994" customHeight="1" x14ac:dyDescent="0.3">
      <c r="A116" s="212">
        <f>'Unit Data from Audit Worksheet'!A133</f>
        <v>1053</v>
      </c>
      <c r="B116" s="225" t="str">
        <f>'Unit Data from Audit Worksheet'!C133</f>
        <v>Water &amp; Sewer Revenue, Expenses &amp; Changes in Fund Net Position</v>
      </c>
      <c r="C116" s="211" t="str">
        <f>'Unit Data from Audit Worksheet'!D133</f>
        <v>Mark to Market unrealized losses in the Water and Sewer Fund. (enter as a negative number)</v>
      </c>
      <c r="D116" s="134"/>
      <c r="E116" s="231">
        <f>'Unit Data from Audit Worksheet'!F133</f>
        <v>0</v>
      </c>
      <c r="F116" s="224"/>
      <c r="G116" s="226"/>
      <c r="H116" s="223"/>
      <c r="I116" s="32"/>
      <c r="J116" s="222">
        <v>1053</v>
      </c>
      <c r="K116" s="211" t="s">
        <v>1612</v>
      </c>
      <c r="L116" s="295">
        <f t="shared" si="13"/>
        <v>0</v>
      </c>
      <c r="M116"/>
      <c r="P116" s="196"/>
      <c r="Q116" s="279"/>
      <c r="S116" s="18"/>
      <c r="T116" s="18"/>
      <c r="U116" s="18"/>
      <c r="V116" s="18"/>
      <c r="X116" s="552"/>
      <c r="Y116" s="286"/>
      <c r="Z116" s="18"/>
      <c r="AA116" s="386">
        <f t="shared" si="9"/>
        <v>0</v>
      </c>
      <c r="AB116" s="286"/>
    </row>
    <row r="117" spans="1:28" ht="47.25" customHeight="1" x14ac:dyDescent="0.3">
      <c r="A117" s="212">
        <f>'Unit Data from Audit Worksheet'!A134</f>
        <v>352</v>
      </c>
      <c r="B117" s="225" t="str">
        <f>'Unit Data from Audit Worksheet'!C134</f>
        <v>Water Sewer Revenue, Expenses &amp; Changes in Fund Net Position</v>
      </c>
      <c r="C117" s="211" t="str">
        <f>'Unit Data from Audit Worksheet'!D134</f>
        <v>Total Transfers in - all funds (operating and capital)</v>
      </c>
      <c r="D117" s="134"/>
      <c r="E117" s="231">
        <f>'Unit Data from Audit Worksheet'!F134</f>
        <v>0</v>
      </c>
      <c r="F117" s="224"/>
      <c r="G117" s="226"/>
      <c r="H117" s="223"/>
      <c r="I117" s="32"/>
      <c r="J117" s="222">
        <v>352</v>
      </c>
      <c r="K117" s="221" t="s">
        <v>225</v>
      </c>
      <c r="L117" s="289">
        <f t="shared" si="13"/>
        <v>0</v>
      </c>
      <c r="P117" s="196"/>
      <c r="X117" s="552">
        <v>352</v>
      </c>
      <c r="Y117" s="286">
        <v>352</v>
      </c>
      <c r="AA117" s="386">
        <f t="shared" si="9"/>
        <v>0</v>
      </c>
      <c r="AB117" s="286">
        <f t="shared" si="10"/>
        <v>0</v>
      </c>
    </row>
    <row r="118" spans="1:28" ht="70.5" customHeight="1" x14ac:dyDescent="0.3">
      <c r="A118" s="212">
        <f>'Unit Data from Audit Worksheet'!A135</f>
        <v>986</v>
      </c>
      <c r="B118" s="225" t="str">
        <f>'Unit Data from Audit Worksheet'!C135</f>
        <v>Water Sewer Revenue, Expenses &amp; Changes in Fund Net Position</v>
      </c>
      <c r="C118" s="211" t="str">
        <f>'Unit Data from Audit Worksheet'!D135</f>
        <v>Of the transfers-in above in acct # 352, list amount of transfers-in that were used to support Water Sewer operations  (exclude capital transfers)</v>
      </c>
      <c r="D118" s="134"/>
      <c r="E118" s="231">
        <f>'Unit Data from Audit Worksheet'!F135</f>
        <v>0</v>
      </c>
      <c r="F118" s="224"/>
      <c r="G118" s="226"/>
      <c r="H118" s="223"/>
      <c r="I118" s="32"/>
      <c r="J118" s="222">
        <v>986</v>
      </c>
      <c r="K118" s="211" t="s">
        <v>594</v>
      </c>
      <c r="L118" s="295">
        <f t="shared" si="13"/>
        <v>0</v>
      </c>
      <c r="P118" s="196"/>
      <c r="X118" s="552">
        <v>986</v>
      </c>
      <c r="Y118" s="286">
        <v>986</v>
      </c>
      <c r="AA118" s="386">
        <f t="shared" si="9"/>
        <v>0</v>
      </c>
      <c r="AB118" s="286">
        <f t="shared" si="10"/>
        <v>0</v>
      </c>
    </row>
    <row r="119" spans="1:28" ht="47.25" customHeight="1" x14ac:dyDescent="0.3">
      <c r="A119" s="212">
        <f>'Unit Data from Audit Worksheet'!A136</f>
        <v>353</v>
      </c>
      <c r="B119" s="225" t="str">
        <f>'Unit Data from Audit Worksheet'!C136</f>
        <v>Water Sewer Revenue, Expenses &amp; Changes in Fund Net Position</v>
      </c>
      <c r="C119" s="211" t="str">
        <f>'Unit Data from Audit Worksheet'!D136</f>
        <v>Total Transfers out</v>
      </c>
      <c r="D119" s="134"/>
      <c r="E119" s="231">
        <f>'Unit Data from Audit Worksheet'!F136</f>
        <v>0</v>
      </c>
      <c r="F119" s="224">
        <f>IF(L119&lt;0,"Error: Enter as a positive.",)</f>
        <v>0</v>
      </c>
      <c r="G119" s="226"/>
      <c r="H119" s="223"/>
      <c r="I119" s="32"/>
      <c r="J119" s="34">
        <v>353</v>
      </c>
      <c r="K119" s="221" t="s">
        <v>226</v>
      </c>
      <c r="L119" s="289">
        <f t="shared" si="13"/>
        <v>0</v>
      </c>
      <c r="P119" s="196"/>
      <c r="X119" s="552">
        <v>353</v>
      </c>
      <c r="Y119" s="286">
        <v>353</v>
      </c>
      <c r="AA119" s="386">
        <f t="shared" si="9"/>
        <v>0</v>
      </c>
      <c r="AB119" s="286">
        <f t="shared" si="10"/>
        <v>0</v>
      </c>
    </row>
    <row r="120" spans="1:28" ht="72.75" customHeight="1" x14ac:dyDescent="0.3">
      <c r="A120" s="212">
        <f>'Unit Data from Audit Worksheet'!A137</f>
        <v>50</v>
      </c>
      <c r="B120" s="225" t="str">
        <f>'Unit Data from Audit Worksheet'!C137</f>
        <v>Water Sewer Revenue, Expenses &amp; Changes in Fund Net Position</v>
      </c>
      <c r="C120" s="211" t="str">
        <f>'Unit Data from Audit Worksheet'!D137</f>
        <v>Change in net position - Increase in net position is recorded as a positive and a (Decrease) in net position is recorded as a negative.</v>
      </c>
      <c r="D120" s="134"/>
      <c r="E120" s="139">
        <f>'Unit Data from Audit Worksheet'!F137</f>
        <v>0</v>
      </c>
      <c r="F120" s="224">
        <f>IF(L109-L111+L113-L114+L117+L115-L119-L120=0,,"Error:Total revenues less total expenses do not equal total change in net position. Acct # 84-85+350-351+191+352-353-50")</f>
        <v>0</v>
      </c>
      <c r="G120" s="84">
        <f>+L109-L111+L113-L114+L117+L115-L119-L120</f>
        <v>0</v>
      </c>
      <c r="H120" s="223"/>
      <c r="I120" s="32"/>
      <c r="J120" s="222">
        <v>50</v>
      </c>
      <c r="K120" s="221" t="s">
        <v>92</v>
      </c>
      <c r="L120" s="289">
        <f t="shared" si="13"/>
        <v>0</v>
      </c>
      <c r="P120" s="196"/>
      <c r="X120" s="552">
        <v>50</v>
      </c>
      <c r="Y120" s="286">
        <v>50</v>
      </c>
      <c r="AA120" s="386">
        <f t="shared" si="9"/>
        <v>0</v>
      </c>
      <c r="AB120" s="286">
        <f t="shared" si="10"/>
        <v>0</v>
      </c>
    </row>
    <row r="121" spans="1:28" ht="144" customHeight="1" x14ac:dyDescent="0.3">
      <c r="A121" s="212">
        <f>'Unit Data from Audit Worksheet'!A138</f>
        <v>377</v>
      </c>
      <c r="B121" s="225" t="str">
        <f>'Unit Data from Audit Worksheet'!C138</f>
        <v>Water Sewer Revenue, Expenses &amp; Changes in Fund Net Position</v>
      </c>
      <c r="C121" s="211"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3" t="e">
        <f>'Unit Data from Audit Worksheet'!I138</f>
        <v>#N/A</v>
      </c>
      <c r="I121" s="32"/>
      <c r="J121" s="222">
        <v>377</v>
      </c>
      <c r="K121" s="221" t="s">
        <v>101</v>
      </c>
      <c r="L121" s="289">
        <f t="shared" si="13"/>
        <v>0</v>
      </c>
      <c r="P121" s="196"/>
      <c r="X121" s="552">
        <v>377</v>
      </c>
      <c r="Y121" s="286">
        <v>377</v>
      </c>
      <c r="AA121" s="386">
        <f t="shared" si="9"/>
        <v>0</v>
      </c>
      <c r="AB121" s="286">
        <f t="shared" si="10"/>
        <v>0</v>
      </c>
    </row>
    <row r="122" spans="1:28" ht="63" customHeight="1" x14ac:dyDescent="0.3">
      <c r="A122" s="312">
        <f>'Unit Data from Audit Worksheet'!A139</f>
        <v>537</v>
      </c>
      <c r="B122" s="225" t="str">
        <f>'Unit Data from Audit Worksheet'!C139</f>
        <v>Water Sewer Revenue, Expenses &amp; Changes in Fund Net Position</v>
      </c>
      <c r="C122" s="211" t="str">
        <f>'Unit Data from Audit Worksheet'!D139</f>
        <v>Did unit raise Water Sewer rates during the audited fiscal period? - answer Yes =1 or No= 2</v>
      </c>
      <c r="D122" s="129"/>
      <c r="E122" s="231">
        <f>'Unit Data from Audit Worksheet'!F139</f>
        <v>0</v>
      </c>
      <c r="F122" s="224" t="s">
        <v>311</v>
      </c>
      <c r="G122" s="226"/>
      <c r="H122" s="223"/>
      <c r="I122" s="32"/>
      <c r="J122" s="60">
        <v>537</v>
      </c>
      <c r="K122" s="58" t="s">
        <v>280</v>
      </c>
      <c r="L122" s="289">
        <f t="shared" si="13"/>
        <v>0</v>
      </c>
      <c r="N122" s="54" t="s">
        <v>301</v>
      </c>
      <c r="P122" s="196"/>
      <c r="X122" s="552">
        <v>537</v>
      </c>
      <c r="Y122" s="286">
        <v>537</v>
      </c>
      <c r="AA122" s="386">
        <f t="shared" si="9"/>
        <v>0</v>
      </c>
      <c r="AB122" s="286">
        <f t="shared" si="10"/>
        <v>0</v>
      </c>
    </row>
    <row r="123" spans="1:28" ht="63.75" customHeight="1" x14ac:dyDescent="0.3">
      <c r="A123" s="312">
        <f>'Unit Data from Audit Worksheet'!A140</f>
        <v>538</v>
      </c>
      <c r="B123" s="225" t="str">
        <f>'Unit Data from Audit Worksheet'!C140</f>
        <v>Water Sewer Revenue, Expenses &amp; Changes in Fund Net Position</v>
      </c>
      <c r="C123" s="211" t="str">
        <f>'Unit Data from Audit Worksheet'!D140</f>
        <v>Did unit raise Water Sewer rates during the budget year following the audited fiscal year? - answer Yes=1 or No=2</v>
      </c>
      <c r="D123" s="129"/>
      <c r="E123" s="231">
        <f>'Unit Data from Audit Worksheet'!F140</f>
        <v>0</v>
      </c>
      <c r="F123" s="224" t="s">
        <v>311</v>
      </c>
      <c r="G123" s="226"/>
      <c r="H123" s="223"/>
      <c r="I123" s="32"/>
      <c r="J123" s="60">
        <v>538</v>
      </c>
      <c r="K123" s="58" t="s">
        <v>279</v>
      </c>
      <c r="L123" s="289">
        <f t="shared" si="13"/>
        <v>0</v>
      </c>
      <c r="N123" s="54" t="s">
        <v>301</v>
      </c>
      <c r="P123" s="196"/>
      <c r="X123" s="552">
        <v>538</v>
      </c>
      <c r="Y123" s="286">
        <v>538</v>
      </c>
      <c r="AA123" s="386">
        <f t="shared" si="9"/>
        <v>0</v>
      </c>
      <c r="AB123" s="286">
        <f t="shared" si="10"/>
        <v>0</v>
      </c>
    </row>
    <row r="124" spans="1:28" ht="47.25" customHeight="1" x14ac:dyDescent="0.3">
      <c r="A124" s="212">
        <f>'Unit Data from Audit Worksheet'!A142</f>
        <v>97</v>
      </c>
      <c r="B124" s="225" t="str">
        <f>'Unit Data from Audit Worksheet'!C142</f>
        <v>Electric Fund Revenue, Expenses &amp; Changes in Fund Net Position</v>
      </c>
      <c r="C124" s="211" t="str">
        <f>'Unit Data from Audit Worksheet'!D142</f>
        <v>Charges for services</v>
      </c>
      <c r="D124" s="230"/>
      <c r="E124" s="231">
        <f>'Unit Data from Audit Worksheet'!F142</f>
        <v>0</v>
      </c>
      <c r="F124" s="224">
        <f>IF(L124&lt;0,"Error: Enter as a positive.",)</f>
        <v>0</v>
      </c>
      <c r="G124" s="226"/>
      <c r="H124" s="223"/>
      <c r="I124" s="32"/>
      <c r="J124" s="222">
        <v>97</v>
      </c>
      <c r="K124" s="221" t="s">
        <v>227</v>
      </c>
      <c r="L124" s="289">
        <f t="shared" ref="L124:L200" si="15">IF(D124="",E124,D124)</f>
        <v>0</v>
      </c>
      <c r="P124" s="196"/>
      <c r="X124" s="552">
        <v>97</v>
      </c>
      <c r="Y124" s="286">
        <v>97</v>
      </c>
      <c r="AA124" s="386">
        <f t="shared" si="9"/>
        <v>0</v>
      </c>
      <c r="AB124" s="286">
        <f t="shared" si="10"/>
        <v>0</v>
      </c>
    </row>
    <row r="125" spans="1:28" ht="45.75" customHeight="1" x14ac:dyDescent="0.3">
      <c r="A125" s="212">
        <f>'Unit Data from Audit Worksheet'!A143</f>
        <v>93</v>
      </c>
      <c r="B125" s="225" t="str">
        <f>'Unit Data from Audit Worksheet'!C143</f>
        <v>Electric Fund Revenue, Expenses &amp; Changes in Fund Net Position</v>
      </c>
      <c r="C125" s="211" t="str">
        <f>'Unit Data from Audit Worksheet'!D143</f>
        <v>Total Operating revenues</v>
      </c>
      <c r="D125" s="230"/>
      <c r="E125" s="231">
        <f>'Unit Data from Audit Worksheet'!F143</f>
        <v>0</v>
      </c>
      <c r="F125" s="224" t="str">
        <f>IF(L124&gt;L125,"Error: Charges for services exceeds total operating revenues Acct 97&gt;=93"," ")</f>
        <v xml:space="preserve"> </v>
      </c>
      <c r="G125" s="226" t="str">
        <f>IF(Q105=1," Included in error count"," ")</f>
        <v xml:space="preserve"> </v>
      </c>
      <c r="H125" s="223"/>
      <c r="I125" s="32"/>
      <c r="J125" s="222">
        <v>93</v>
      </c>
      <c r="K125" s="221" t="s">
        <v>228</v>
      </c>
      <c r="L125" s="289">
        <f t="shared" si="15"/>
        <v>0</v>
      </c>
      <c r="P125" s="196"/>
      <c r="X125" s="552">
        <v>93</v>
      </c>
      <c r="Y125" s="286">
        <v>93</v>
      </c>
      <c r="AA125" s="386">
        <f t="shared" si="9"/>
        <v>0</v>
      </c>
      <c r="AB125" s="286">
        <f t="shared" si="10"/>
        <v>0</v>
      </c>
    </row>
    <row r="126" spans="1:28" ht="45.75" customHeight="1" x14ac:dyDescent="0.3">
      <c r="A126" s="212">
        <f>'Unit Data from Audit Worksheet'!A144</f>
        <v>99</v>
      </c>
      <c r="B126" s="225" t="str">
        <f>'Unit Data from Audit Worksheet'!C144</f>
        <v>Electric Fund Revenue, Expenses &amp; Changes in Fund Net Position</v>
      </c>
      <c r="C126" s="211" t="str">
        <f>'Unit Data from Audit Worksheet'!D144</f>
        <v>Electrical power purchases</v>
      </c>
      <c r="D126" s="230"/>
      <c r="E126" s="231">
        <f>'Unit Data from Audit Worksheet'!F144</f>
        <v>0</v>
      </c>
      <c r="F126" s="224">
        <f>IF(L126&lt;0,"Error: Enter as a positive.",)</f>
        <v>0</v>
      </c>
      <c r="G126" s="226"/>
      <c r="H126" s="223"/>
      <c r="I126" s="32"/>
      <c r="J126" s="222">
        <v>99</v>
      </c>
      <c r="K126" s="221" t="s">
        <v>229</v>
      </c>
      <c r="L126" s="289">
        <f t="shared" si="15"/>
        <v>0</v>
      </c>
      <c r="P126" s="196"/>
      <c r="S126" s="18"/>
      <c r="T126" s="18"/>
      <c r="U126" s="18"/>
      <c r="V126" s="18"/>
      <c r="X126" s="552">
        <v>99</v>
      </c>
      <c r="Y126" s="286">
        <v>99</v>
      </c>
      <c r="Z126" s="18"/>
      <c r="AA126" s="386">
        <f t="shared" si="9"/>
        <v>0</v>
      </c>
      <c r="AB126" s="286">
        <f t="shared" si="10"/>
        <v>0</v>
      </c>
    </row>
    <row r="127" spans="1:28" ht="45.75" customHeight="1" x14ac:dyDescent="0.3">
      <c r="A127" s="212">
        <f>'Unit Data from Audit Worksheet'!A145</f>
        <v>52</v>
      </c>
      <c r="B127" s="225" t="str">
        <f>'Unit Data from Audit Worksheet'!C145</f>
        <v>Electric Fund Revenue, Expenses &amp; Changes in Fund Net Position</v>
      </c>
      <c r="C127" s="211" t="str">
        <f>'Unit Data from Audit Worksheet'!D145</f>
        <v>Depreciation and amortization expense</v>
      </c>
      <c r="D127" s="230"/>
      <c r="E127" s="231">
        <f>'Unit Data from Audit Worksheet'!F145</f>
        <v>0</v>
      </c>
      <c r="F127" s="224">
        <f>IF(L127&lt;0,"Error: Enter as a positive.",)</f>
        <v>0</v>
      </c>
      <c r="G127" s="226"/>
      <c r="H127" s="223"/>
      <c r="I127" s="32"/>
      <c r="J127" s="222">
        <v>52</v>
      </c>
      <c r="K127" s="221" t="s">
        <v>230</v>
      </c>
      <c r="L127" s="289">
        <f t="shared" si="15"/>
        <v>0</v>
      </c>
      <c r="P127" s="196"/>
      <c r="X127" s="552">
        <v>52</v>
      </c>
      <c r="Y127" s="286">
        <v>52</v>
      </c>
      <c r="AA127" s="386">
        <f t="shared" si="9"/>
        <v>0</v>
      </c>
      <c r="AB127" s="286">
        <f t="shared" si="10"/>
        <v>0</v>
      </c>
    </row>
    <row r="128" spans="1:28" ht="45.75" customHeight="1" x14ac:dyDescent="0.3">
      <c r="A128" s="212">
        <f>'Unit Data from Audit Worksheet'!A146</f>
        <v>94</v>
      </c>
      <c r="B128" s="225" t="str">
        <f>'Unit Data from Audit Worksheet'!C146</f>
        <v>Electric Fund Revenue, Expenses &amp; Changes in Fund Net Position</v>
      </c>
      <c r="C128" s="211" t="str">
        <f>'Unit Data from Audit Worksheet'!D146</f>
        <v>Total Operating expenses</v>
      </c>
      <c r="D128" s="230"/>
      <c r="E128" s="231">
        <f>'Unit Data from Audit Worksheet'!F146</f>
        <v>0</v>
      </c>
      <c r="F128" s="224">
        <f>IF(L128&lt;0,"Error: Enter as a positive.",)</f>
        <v>0</v>
      </c>
      <c r="G128" s="226"/>
      <c r="H128" s="223"/>
      <c r="I128" s="32"/>
      <c r="J128" s="222">
        <v>94</v>
      </c>
      <c r="K128" s="221" t="s">
        <v>231</v>
      </c>
      <c r="L128" s="289">
        <f t="shared" si="15"/>
        <v>0</v>
      </c>
      <c r="P128" s="196"/>
      <c r="X128" s="552">
        <v>94</v>
      </c>
      <c r="Y128" s="286">
        <v>94</v>
      </c>
      <c r="AA128" s="386">
        <f t="shared" si="9"/>
        <v>0</v>
      </c>
      <c r="AB128" s="286">
        <f t="shared" si="10"/>
        <v>0</v>
      </c>
    </row>
    <row r="129" spans="1:28" ht="46.5" customHeight="1" x14ac:dyDescent="0.3">
      <c r="A129" s="212">
        <f>'Unit Data from Audit Worksheet'!A147</f>
        <v>98</v>
      </c>
      <c r="B129" s="225" t="str">
        <f>'Unit Data from Audit Worksheet'!C147</f>
        <v>Electric Fund Revenue, Expenses &amp; Changes in Fund Net Position</v>
      </c>
      <c r="C129" s="211" t="str">
        <f>'Unit Data from Audit Worksheet'!D147</f>
        <v>Interest expense</v>
      </c>
      <c r="D129" s="230"/>
      <c r="E129" s="231">
        <f>'Unit Data from Audit Worksheet'!F147</f>
        <v>0</v>
      </c>
      <c r="F129" s="224">
        <f>IF(L129&lt;0,"Error: Enter as a positive.",)</f>
        <v>0</v>
      </c>
      <c r="G129" s="226"/>
      <c r="H129" s="223"/>
      <c r="I129" s="32"/>
      <c r="J129" s="222">
        <v>98</v>
      </c>
      <c r="K129" s="221" t="s">
        <v>232</v>
      </c>
      <c r="L129" s="289">
        <f t="shared" si="15"/>
        <v>0</v>
      </c>
      <c r="P129" s="196"/>
      <c r="X129" s="552">
        <v>98</v>
      </c>
      <c r="Y129" s="286">
        <v>98</v>
      </c>
      <c r="AA129" s="386">
        <f t="shared" si="9"/>
        <v>0</v>
      </c>
      <c r="AB129" s="286">
        <f t="shared" si="10"/>
        <v>0</v>
      </c>
    </row>
    <row r="130" spans="1:28" ht="51" customHeight="1" x14ac:dyDescent="0.3">
      <c r="A130" s="212">
        <f>'Unit Data from Audit Worksheet'!A148</f>
        <v>363</v>
      </c>
      <c r="B130" s="225" t="str">
        <f>'Unit Data from Audit Worksheet'!C148</f>
        <v>Electric Fund Revenue, Expenses &amp; Changes in Fund Net Position</v>
      </c>
      <c r="C130" s="211" t="str">
        <f>'Unit Data from Audit Worksheet'!D148</f>
        <v>Total all the non-operating revenues  
Exclude Capital Contributions.</v>
      </c>
      <c r="D130" s="230"/>
      <c r="E130" s="231">
        <f>'Unit Data from Audit Worksheet'!F148</f>
        <v>0</v>
      </c>
      <c r="F130" s="224"/>
      <c r="G130" s="226"/>
      <c r="H130" s="223"/>
      <c r="I130" s="32"/>
      <c r="J130" s="222">
        <v>363</v>
      </c>
      <c r="K130" s="221" t="s">
        <v>233</v>
      </c>
      <c r="L130" s="289">
        <f t="shared" si="15"/>
        <v>0</v>
      </c>
      <c r="P130" s="196"/>
      <c r="X130" s="552">
        <v>363</v>
      </c>
      <c r="Y130" s="286">
        <v>363</v>
      </c>
      <c r="AA130" s="386">
        <f t="shared" si="9"/>
        <v>0</v>
      </c>
      <c r="AB130" s="286">
        <f t="shared" si="10"/>
        <v>0</v>
      </c>
    </row>
    <row r="131" spans="1:28" ht="60" customHeight="1" x14ac:dyDescent="0.3">
      <c r="A131" s="212">
        <f>'Unit Data from Audit Worksheet'!A149</f>
        <v>364</v>
      </c>
      <c r="B131" s="225" t="str">
        <f>'Unit Data from Audit Worksheet'!C149</f>
        <v>Electric Fund Revenue, Expenses &amp; Changes in Fund Net Position</v>
      </c>
      <c r="C131" s="211" t="str">
        <f>'Unit Data from Audit Worksheet'!D149</f>
        <v>Total all non-operating expenses.  
Include negative special, extraordinary, or capital contribution.</v>
      </c>
      <c r="D131" s="230"/>
      <c r="E131" s="231">
        <f>'Unit Data from Audit Worksheet'!F149</f>
        <v>0</v>
      </c>
      <c r="F131" s="224">
        <f>IF(L131&lt;0,"Error: Enter as a positive.",)</f>
        <v>0</v>
      </c>
      <c r="G131" s="226"/>
      <c r="H131" s="223"/>
      <c r="I131" s="32"/>
      <c r="J131" s="222">
        <v>364</v>
      </c>
      <c r="K131" s="221" t="s">
        <v>234</v>
      </c>
      <c r="L131" s="289">
        <f t="shared" si="15"/>
        <v>0</v>
      </c>
      <c r="P131" s="196"/>
      <c r="X131" s="552">
        <v>364</v>
      </c>
      <c r="Y131" s="286">
        <v>364</v>
      </c>
      <c r="AA131" s="386">
        <f t="shared" si="9"/>
        <v>0</v>
      </c>
      <c r="AB131" s="286">
        <f t="shared" si="10"/>
        <v>0</v>
      </c>
    </row>
    <row r="132" spans="1:28" ht="89.25" customHeight="1" x14ac:dyDescent="0.3">
      <c r="A132" s="212">
        <f>'Unit Data from Audit Worksheet'!A150</f>
        <v>192</v>
      </c>
      <c r="B132" s="225" t="str">
        <f>'Unit Data from Audit Worksheet'!C150</f>
        <v>Electric Fund Revenue, Expenses &amp; Changes in Fund Net Position</v>
      </c>
      <c r="C132" s="211" t="str">
        <f>'Unit Data from Audit Worksheet'!D150</f>
        <v>Capital Contributions.  
Include only positive capital Contributions.  Negative capital contributions should be included with 'Total all non-operating expenses.'</v>
      </c>
      <c r="D132" s="230"/>
      <c r="E132" s="231">
        <f>'Unit Data from Audit Worksheet'!F150</f>
        <v>0</v>
      </c>
      <c r="F132" s="224">
        <f>IF(L132&lt;0,"Error: Enter as a positive.",)</f>
        <v>0</v>
      </c>
      <c r="G132" s="226"/>
      <c r="H132" s="223"/>
      <c r="I132" s="32"/>
      <c r="J132" s="222">
        <v>192</v>
      </c>
      <c r="K132" s="221" t="s">
        <v>235</v>
      </c>
      <c r="L132" s="289">
        <f t="shared" si="15"/>
        <v>0</v>
      </c>
      <c r="P132" s="196"/>
      <c r="X132" s="552">
        <v>192</v>
      </c>
      <c r="Y132" s="286">
        <v>192</v>
      </c>
      <c r="AA132" s="386">
        <f t="shared" si="9"/>
        <v>0</v>
      </c>
      <c r="AB132" s="286">
        <f t="shared" si="10"/>
        <v>0</v>
      </c>
    </row>
    <row r="133" spans="1:28" s="386" customFormat="1" ht="89.25" customHeight="1" x14ac:dyDescent="0.3">
      <c r="A133" s="212">
        <f>'Unit Data from Audit Worksheet'!A151</f>
        <v>1054</v>
      </c>
      <c r="B133" s="225" t="str">
        <f>'Unit Data from Audit Worksheet'!C151</f>
        <v>Electric Fund Revenue, Expenses &amp; Changes in Fund Net Position</v>
      </c>
      <c r="C133" s="211" t="str">
        <f>'Unit Data from Audit Worksheet'!D151</f>
        <v xml:space="preserve"> Mark to Market unrealized losses in the Electric Fund. (enter as a negative number)</v>
      </c>
      <c r="D133" s="230"/>
      <c r="E133" s="231">
        <f>'Unit Data from Audit Worksheet'!F151</f>
        <v>0</v>
      </c>
      <c r="F133" s="224"/>
      <c r="G133" s="226"/>
      <c r="H133" s="223"/>
      <c r="I133" s="32"/>
      <c r="J133" s="222">
        <v>1054</v>
      </c>
      <c r="K133" s="211" t="s">
        <v>1515</v>
      </c>
      <c r="L133" s="289">
        <f t="shared" si="15"/>
        <v>0</v>
      </c>
      <c r="M133"/>
      <c r="P133" s="196"/>
      <c r="Q133" s="279"/>
      <c r="X133" s="552"/>
      <c r="Y133" s="286"/>
      <c r="AA133" s="386">
        <f t="shared" si="9"/>
        <v>0</v>
      </c>
      <c r="AB133" s="286"/>
    </row>
    <row r="134" spans="1:28" ht="42.75" customHeight="1" x14ac:dyDescent="0.3">
      <c r="A134" s="212">
        <f>'Unit Data from Audit Worksheet'!A152</f>
        <v>365</v>
      </c>
      <c r="B134" s="225" t="str">
        <f>'Unit Data from Audit Worksheet'!C152</f>
        <v>Electric Fund Revenue, Expenses &amp; Changes in Fund Net Position</v>
      </c>
      <c r="C134" s="211" t="str">
        <f>'Unit Data from Audit Worksheet'!D152</f>
        <v>Total Transfers In (From all Funds)</v>
      </c>
      <c r="D134" s="230"/>
      <c r="E134" s="231">
        <f>'Unit Data from Audit Worksheet'!F152</f>
        <v>0</v>
      </c>
      <c r="F134" s="224"/>
      <c r="G134" s="226"/>
      <c r="H134" s="223"/>
      <c r="I134" s="32"/>
      <c r="J134" s="222">
        <v>365</v>
      </c>
      <c r="K134" s="221" t="s">
        <v>236</v>
      </c>
      <c r="L134" s="289">
        <f t="shared" si="15"/>
        <v>0</v>
      </c>
      <c r="P134" s="196"/>
      <c r="X134" s="552">
        <v>365</v>
      </c>
      <c r="Y134" s="286">
        <v>365</v>
      </c>
      <c r="AA134" s="386">
        <f t="shared" si="9"/>
        <v>0</v>
      </c>
      <c r="AB134" s="286">
        <f t="shared" si="10"/>
        <v>0</v>
      </c>
    </row>
    <row r="135" spans="1:28" ht="42.75" customHeight="1" x14ac:dyDescent="0.3">
      <c r="A135" s="212">
        <f>'Unit Data from Audit Worksheet'!A153</f>
        <v>366</v>
      </c>
      <c r="B135" s="225" t="str">
        <f>'Unit Data from Audit Worksheet'!C153</f>
        <v>Electric Fund Revenue, Expenses &amp; Changes in Fund Net Position</v>
      </c>
      <c r="C135" s="211" t="str">
        <f>'Unit Data from Audit Worksheet'!D153</f>
        <v>Total Transfers Out (To all funds)</v>
      </c>
      <c r="D135" s="230"/>
      <c r="E135" s="231">
        <f>'Unit Data from Audit Worksheet'!F153</f>
        <v>0</v>
      </c>
      <c r="F135" s="224">
        <f>IF(L135&lt;0,"Error: Enter as a positive.",)</f>
        <v>0</v>
      </c>
      <c r="G135" s="226"/>
      <c r="H135" s="223"/>
      <c r="I135" s="32"/>
      <c r="J135" s="222">
        <v>366</v>
      </c>
      <c r="K135" s="221" t="s">
        <v>293</v>
      </c>
      <c r="L135" s="289">
        <f t="shared" si="15"/>
        <v>0</v>
      </c>
      <c r="P135" s="196"/>
      <c r="X135" s="552">
        <v>366</v>
      </c>
      <c r="Y135" s="286">
        <v>366</v>
      </c>
      <c r="AA135" s="386">
        <f t="shared" si="9"/>
        <v>0</v>
      </c>
      <c r="AB135" s="286">
        <f t="shared" si="10"/>
        <v>0</v>
      </c>
    </row>
    <row r="136" spans="1:28" s="18" customFormat="1" ht="76.5" customHeight="1" x14ac:dyDescent="0.3">
      <c r="A136" s="212">
        <f>'Unit Data from Audit Worksheet'!A154</f>
        <v>53</v>
      </c>
      <c r="B136" s="225" t="str">
        <f>'Unit Data from Audit Worksheet'!C154</f>
        <v>Electric Fund Revenue, Expenses &amp; Changes in Fund Net Position</v>
      </c>
      <c r="C136" s="211" t="str">
        <f>'Unit Data from Audit Worksheet'!D154</f>
        <v>Change in net position - Increase in net position is recorded as a positive and a (decrease) in net position is recorded as a negative.</v>
      </c>
      <c r="D136" s="230"/>
      <c r="E136" s="231">
        <f>'Unit Data from Audit Worksheet'!F154</f>
        <v>0</v>
      </c>
      <c r="F136" s="224">
        <f>IF(L125-L128+L130-L131+L132+L134-L135-L136=0,,"Error: Total revenues less total exp. does not equal change in net position Acct 93-94+363-364+192+365-366-53=0")</f>
        <v>0</v>
      </c>
      <c r="G136" s="84">
        <f>+L125-L128+L130-L131+L132+L134-L135-L136</f>
        <v>0</v>
      </c>
      <c r="H136" s="223"/>
      <c r="I136" s="32"/>
      <c r="J136" s="222">
        <v>53</v>
      </c>
      <c r="K136" s="221" t="s">
        <v>93</v>
      </c>
      <c r="L136" s="289">
        <f t="shared" si="15"/>
        <v>0</v>
      </c>
      <c r="M136"/>
      <c r="P136" s="196"/>
      <c r="Q136" s="279"/>
      <c r="R136" s="3"/>
      <c r="S136" s="3"/>
      <c r="T136" s="3"/>
      <c r="U136" s="3"/>
      <c r="V136" s="3"/>
      <c r="W136" s="3"/>
      <c r="X136" s="552">
        <v>53</v>
      </c>
      <c r="Y136" s="286">
        <v>53</v>
      </c>
      <c r="Z136" s="3"/>
      <c r="AA136" s="386">
        <f t="shared" si="9"/>
        <v>0</v>
      </c>
      <c r="AB136" s="286">
        <f t="shared" si="10"/>
        <v>0</v>
      </c>
    </row>
    <row r="137" spans="1:28" ht="140.25" customHeight="1" x14ac:dyDescent="0.3">
      <c r="A137" s="212">
        <f>'Unit Data from Audit Worksheet'!A155</f>
        <v>378</v>
      </c>
      <c r="B137" s="225" t="str">
        <f>'Unit Data from Audit Worksheet'!C155</f>
        <v>Electric Fund Revenue, Expenses &amp; Changes in Fund Net Position</v>
      </c>
      <c r="C137" s="211"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30"/>
      <c r="E137" s="231">
        <f>+'Unit Data from Audit Worksheet'!F155</f>
        <v>0</v>
      </c>
      <c r="F137" s="224" t="e">
        <f>IF(L107-L136-L137=O107,,"Error: Beg. Bal does not agree with our records Acct 362-53-378= pr yr 362")</f>
        <v>#N/A</v>
      </c>
      <c r="G137" s="84" t="e">
        <f>L107-L136-L137-O107</f>
        <v>#N/A</v>
      </c>
      <c r="H137" s="223" t="e">
        <f>'Unit Data from Audit Worksheet'!I155</f>
        <v>#N/A</v>
      </c>
      <c r="I137" s="32"/>
      <c r="J137" s="222">
        <v>378</v>
      </c>
      <c r="K137" s="221" t="s">
        <v>102</v>
      </c>
      <c r="L137" s="289">
        <f t="shared" si="15"/>
        <v>0</v>
      </c>
      <c r="P137" s="196"/>
      <c r="X137" s="552">
        <v>378</v>
      </c>
      <c r="Y137" s="286">
        <v>378</v>
      </c>
      <c r="AA137" s="386">
        <f t="shared" si="9"/>
        <v>0</v>
      </c>
      <c r="AB137" s="286">
        <f t="shared" si="10"/>
        <v>0</v>
      </c>
    </row>
    <row r="138" spans="1:28" ht="28.8" x14ac:dyDescent="0.3">
      <c r="A138" s="212">
        <f>'Unit Data from Audit Worksheet'!A160</f>
        <v>51</v>
      </c>
      <c r="B138" s="225" t="str">
        <f>'Unit Data from Audit Worksheet'!C160</f>
        <v>Water Sewer Cash Flow Statement</v>
      </c>
      <c r="C138" s="211" t="str">
        <f>'Unit Data from Audit Worksheet'!D160</f>
        <v>Total Cash flow from operating activities  - (Enter negative cash flows as negative)</v>
      </c>
      <c r="D138" s="230"/>
      <c r="E138" s="231">
        <f>'Unit Data from Audit Worksheet'!F160</f>
        <v>0</v>
      </c>
      <c r="F138" s="224"/>
      <c r="G138" s="226"/>
      <c r="H138" s="223"/>
      <c r="I138" s="32"/>
      <c r="J138" s="222">
        <v>51</v>
      </c>
      <c r="K138" s="221" t="s">
        <v>237</v>
      </c>
      <c r="L138" s="289">
        <f t="shared" si="15"/>
        <v>0</v>
      </c>
      <c r="P138" s="196"/>
      <c r="X138" s="552">
        <v>51</v>
      </c>
      <c r="Y138" s="286">
        <v>51</v>
      </c>
      <c r="AA138" s="386">
        <f t="shared" ref="AA138:AA209" si="16">A138-J138</f>
        <v>0</v>
      </c>
      <c r="AB138" s="286">
        <f t="shared" ref="AB138:AB209" si="17">E138-L138</f>
        <v>0</v>
      </c>
    </row>
    <row r="139" spans="1:28" ht="64.5" customHeight="1" x14ac:dyDescent="0.3">
      <c r="A139" s="212">
        <f>'Unit Data from Audit Worksheet'!A161</f>
        <v>332</v>
      </c>
      <c r="B139" s="225" t="str">
        <f>'Unit Data from Audit Worksheet'!C161</f>
        <v>Water Sewer Cash Flow Statement</v>
      </c>
      <c r="C139" s="211" t="str">
        <f>'Unit Data from Audit Worksheet'!D161</f>
        <v>Total Capital outlay. 
Include acquisition and construction of capital assets.</v>
      </c>
      <c r="D139" s="230"/>
      <c r="E139" s="231">
        <f>'Unit Data from Audit Worksheet'!F161</f>
        <v>0</v>
      </c>
      <c r="F139" s="224">
        <f>IF(L139&lt;0,"Error: Enter as a positive.",)</f>
        <v>0</v>
      </c>
      <c r="G139" s="226"/>
      <c r="H139" s="223"/>
      <c r="I139" s="32"/>
      <c r="J139" s="222">
        <v>332</v>
      </c>
      <c r="K139" s="221" t="s">
        <v>239</v>
      </c>
      <c r="L139" s="289">
        <f t="shared" si="15"/>
        <v>0</v>
      </c>
      <c r="O139" s="296"/>
      <c r="P139" s="196"/>
      <c r="X139" s="552">
        <v>332</v>
      </c>
      <c r="Y139" s="286">
        <v>332</v>
      </c>
      <c r="AA139" s="386">
        <f t="shared" si="16"/>
        <v>0</v>
      </c>
      <c r="AB139" s="286">
        <f t="shared" si="17"/>
        <v>0</v>
      </c>
    </row>
    <row r="140" spans="1:28" ht="58.5" customHeight="1" x14ac:dyDescent="0.3">
      <c r="A140" s="212">
        <f>'Unit Data from Audit Worksheet'!A162</f>
        <v>331</v>
      </c>
      <c r="B140" s="225" t="str">
        <f>'Unit Data from Audit Worksheet'!C162</f>
        <v>Water Sewer Cash Flow Statement</v>
      </c>
      <c r="C140" s="211" t="str">
        <f>'Unit Data from Audit Worksheet'!D162</f>
        <v>Principal paid on long-term debt.  Amount should be reduced by principal payments for debt refunding.</v>
      </c>
      <c r="D140" s="230"/>
      <c r="E140" s="231">
        <f>'Unit Data from Audit Worksheet'!F162</f>
        <v>0</v>
      </c>
      <c r="F140" s="224">
        <f>IF(L140&lt;0,"Error: Enter as a positive.",)</f>
        <v>0</v>
      </c>
      <c r="G140" s="226"/>
      <c r="H140" s="223"/>
      <c r="I140" s="32"/>
      <c r="J140" s="222">
        <v>331</v>
      </c>
      <c r="K140" s="221" t="s">
        <v>238</v>
      </c>
      <c r="L140" s="289">
        <f t="shared" si="15"/>
        <v>0</v>
      </c>
      <c r="O140" s="296"/>
      <c r="P140" s="196"/>
      <c r="X140" s="552">
        <v>331</v>
      </c>
      <c r="Y140" s="286">
        <v>331</v>
      </c>
      <c r="AA140" s="386">
        <f t="shared" si="16"/>
        <v>0</v>
      </c>
      <c r="AB140" s="286">
        <f t="shared" si="17"/>
        <v>0</v>
      </c>
    </row>
    <row r="141" spans="1:28" ht="51.75" customHeight="1" x14ac:dyDescent="0.3">
      <c r="A141" s="212">
        <f>'Unit Data from Audit Worksheet'!A164</f>
        <v>55</v>
      </c>
      <c r="B141" s="225" t="str">
        <f>'Unit Data from Audit Worksheet'!C164</f>
        <v>Electric Fund Cash Flow Statement</v>
      </c>
      <c r="C141" s="211" t="str">
        <f>'Unit Data from Audit Worksheet'!D164</f>
        <v>Cash flow from operating activities - (enter negative cash flows as negative)</v>
      </c>
      <c r="D141" s="230"/>
      <c r="E141" s="231">
        <f>'Unit Data from Audit Worksheet'!F164</f>
        <v>0</v>
      </c>
      <c r="F141" s="224"/>
      <c r="G141" s="226"/>
      <c r="H141" s="223"/>
      <c r="I141" s="32"/>
      <c r="J141" s="222">
        <v>55</v>
      </c>
      <c r="K141" s="221" t="s">
        <v>240</v>
      </c>
      <c r="L141" s="289">
        <f t="shared" si="15"/>
        <v>0</v>
      </c>
      <c r="P141" s="196"/>
      <c r="X141" s="552">
        <v>55</v>
      </c>
      <c r="Y141" s="286">
        <v>55</v>
      </c>
      <c r="AA141" s="386">
        <f t="shared" si="16"/>
        <v>0</v>
      </c>
      <c r="AB141" s="286">
        <f t="shared" si="17"/>
        <v>0</v>
      </c>
    </row>
    <row r="142" spans="1:28" ht="58.5" customHeight="1" x14ac:dyDescent="0.3">
      <c r="A142" s="212">
        <f>'Unit Data from Audit Worksheet'!A165</f>
        <v>101</v>
      </c>
      <c r="B142" s="225" t="str">
        <f>'Unit Data from Audit Worksheet'!C165</f>
        <v>Electric Fund Cash Flow Statement</v>
      </c>
      <c r="C142" s="211" t="str">
        <f>'Unit Data from Audit Worksheet'!D165</f>
        <v>Total Capital outlay.  
Include acquisition and construction of capital assets.</v>
      </c>
      <c r="D142" s="230"/>
      <c r="E142" s="231">
        <f>'Unit Data from Audit Worksheet'!F165</f>
        <v>0</v>
      </c>
      <c r="F142" s="224">
        <f>IF(L142&lt;0,"Error: Enter as a positive.",)</f>
        <v>0</v>
      </c>
      <c r="G142" s="226"/>
      <c r="H142" s="223"/>
      <c r="I142" s="32"/>
      <c r="J142" s="222">
        <v>101</v>
      </c>
      <c r="K142" s="221" t="s">
        <v>241</v>
      </c>
      <c r="L142" s="289">
        <f t="shared" si="15"/>
        <v>0</v>
      </c>
      <c r="P142" s="196"/>
      <c r="X142" s="552">
        <v>101</v>
      </c>
      <c r="Y142" s="286">
        <v>101</v>
      </c>
      <c r="AA142" s="386">
        <f t="shared" si="16"/>
        <v>0</v>
      </c>
      <c r="AB142" s="286">
        <f t="shared" si="17"/>
        <v>0</v>
      </c>
    </row>
    <row r="143" spans="1:28" ht="60.75" customHeight="1" x14ac:dyDescent="0.3">
      <c r="A143" s="212">
        <f>'Unit Data from Audit Worksheet'!A166</f>
        <v>100</v>
      </c>
      <c r="B143" s="225" t="str">
        <f>'Unit Data from Audit Worksheet'!C166</f>
        <v>Electric Fund Cash Flow Statement</v>
      </c>
      <c r="C143" s="211" t="str">
        <f>'Unit Data from Audit Worksheet'!D166</f>
        <v>Principal paid on long-term debt.  Amount should be reduced by principal payments for debt refunding.</v>
      </c>
      <c r="D143" s="230"/>
      <c r="E143" s="231">
        <f>'Unit Data from Audit Worksheet'!F166</f>
        <v>0</v>
      </c>
      <c r="F143" s="224">
        <f>IF(L143&lt;0,"Error: Enter as a positive.",)</f>
        <v>0</v>
      </c>
      <c r="G143" s="226"/>
      <c r="H143" s="223"/>
      <c r="I143" s="32"/>
      <c r="J143" s="222">
        <v>100</v>
      </c>
      <c r="K143" s="221" t="s">
        <v>242</v>
      </c>
      <c r="L143" s="289">
        <f t="shared" si="15"/>
        <v>0</v>
      </c>
      <c r="P143" s="196"/>
      <c r="X143" s="552">
        <v>100</v>
      </c>
      <c r="Y143" s="286">
        <v>100</v>
      </c>
      <c r="AA143" s="386">
        <f t="shared" si="16"/>
        <v>0</v>
      </c>
      <c r="AB143" s="286">
        <f t="shared" si="17"/>
        <v>0</v>
      </c>
    </row>
    <row r="144" spans="1:28" s="386" customFormat="1" ht="95.4" customHeight="1" x14ac:dyDescent="0.3">
      <c r="A144" s="212">
        <f>'Unit Data from Audit Worksheet'!A168</f>
        <v>1060</v>
      </c>
      <c r="B144" s="225">
        <f>'Unit Data from Audit Worksheet'!C168</f>
        <v>0</v>
      </c>
      <c r="C144" s="211" t="str">
        <f>'Unit Data from Audit Worksheet'!D168</f>
        <v>Total American Rescue Plan Act (ARPA) of 2021-Coronavrius State &amp; Local Fiscal Recovery Funds actually expended since inception as of June 30th.  Do not include encumbered funds in this number.</v>
      </c>
      <c r="D144" s="230"/>
      <c r="E144" s="231">
        <f>'Unit Data from Audit Worksheet'!F168</f>
        <v>0</v>
      </c>
      <c r="F144" s="224"/>
      <c r="G144" s="226"/>
      <c r="H144" s="223"/>
      <c r="I144" s="32"/>
      <c r="J144" s="222">
        <v>1060</v>
      </c>
      <c r="K144" s="211" t="s">
        <v>1516</v>
      </c>
      <c r="L144" s="289">
        <f t="shared" si="15"/>
        <v>0</v>
      </c>
      <c r="M144"/>
      <c r="P144" s="196"/>
      <c r="Q144" s="279"/>
      <c r="X144" s="552"/>
      <c r="Y144" s="286"/>
      <c r="AB144" s="286"/>
    </row>
    <row r="145" spans="1:28" s="386" customFormat="1" ht="85.95" customHeight="1" x14ac:dyDescent="0.3">
      <c r="A145" s="212">
        <f>'Unit Data from Audit Worksheet'!A169</f>
        <v>1061</v>
      </c>
      <c r="B145" s="225">
        <f>'Unit Data from Audit Worksheet'!C169</f>
        <v>0</v>
      </c>
      <c r="C145" s="211" t="str">
        <f>'Unit Data from Audit Worksheet'!D169</f>
        <v>Total American Rescue Plan Act (ARPA) of 2021-Coronavrius State &amp; Local Fiscal Recovery Funds encumbered or obligated and not yet expended since inception as of June 30th.</v>
      </c>
      <c r="D145" s="230"/>
      <c r="E145" s="231">
        <f>'Unit Data from Audit Worksheet'!F169</f>
        <v>0</v>
      </c>
      <c r="F145" s="224"/>
      <c r="G145" s="226"/>
      <c r="H145" s="223"/>
      <c r="I145" s="32"/>
      <c r="J145" s="222">
        <v>1061</v>
      </c>
      <c r="K145" s="211" t="s">
        <v>1600</v>
      </c>
      <c r="L145" s="289">
        <f t="shared" si="15"/>
        <v>0</v>
      </c>
      <c r="M145"/>
      <c r="P145" s="196"/>
      <c r="Q145" s="279"/>
      <c r="X145" s="552"/>
      <c r="Y145" s="286"/>
      <c r="AB145" s="286"/>
    </row>
    <row r="146" spans="1:28" s="386" customFormat="1" ht="81.599999999999994" customHeight="1" x14ac:dyDescent="0.3">
      <c r="A146" s="212">
        <f>'Unit Data from Audit Worksheet'!A170</f>
        <v>1062</v>
      </c>
      <c r="B146" s="225">
        <f>'Unit Data from Audit Worksheet'!C170</f>
        <v>0</v>
      </c>
      <c r="C146" s="211" t="str">
        <f>'Unit Data from Audit Worksheet'!D170</f>
        <v xml:space="preserve">Are the American Rescue Plan Act (ARPA) of 2021-Coronavrius State &amp; Local Fiscal Recovery Funds on target to be committed by December 31, 2024? (Yes = 1 or No = 2or N/A = 3 if unit did not receive funds) </v>
      </c>
      <c r="D146" s="230"/>
      <c r="E146" s="231">
        <f>'Unit Data from Audit Worksheet'!F170</f>
        <v>0</v>
      </c>
      <c r="F146" s="224"/>
      <c r="G146" s="224"/>
      <c r="H146" s="223"/>
      <c r="I146" s="32"/>
      <c r="J146" s="222">
        <v>1062</v>
      </c>
      <c r="K146" s="211" t="s">
        <v>1599</v>
      </c>
      <c r="L146" s="289">
        <f t="shared" si="15"/>
        <v>0</v>
      </c>
      <c r="M146"/>
      <c r="P146" s="196"/>
      <c r="Q146" s="279"/>
      <c r="X146" s="552"/>
      <c r="Y146" s="286"/>
      <c r="AB146" s="286"/>
    </row>
    <row r="147" spans="1:28" s="386" customFormat="1" ht="99.6" customHeight="1" x14ac:dyDescent="0.3">
      <c r="A147" s="212">
        <f>'Unit Data from Audit Worksheet'!A171</f>
        <v>1063</v>
      </c>
      <c r="B147" s="225">
        <f>'Unit Data from Audit Worksheet'!C171</f>
        <v>0</v>
      </c>
      <c r="C147" s="211" t="str">
        <f>'Unit Data from Audit Worksheet'!D171</f>
        <v>Are the American Rescue Plan Act (ARPA) of 2021-Coronavrius State &amp; Local Fiscal Recovery Funds on target to be completely expended by December 31, 2026? (Yes = 1 or No = 2 or N/A = 3 if unit did not receive funds)</v>
      </c>
      <c r="D147" s="230"/>
      <c r="E147" s="231">
        <f>'Unit Data from Audit Worksheet'!F171</f>
        <v>0</v>
      </c>
      <c r="F147" s="224"/>
      <c r="G147" s="226"/>
      <c r="H147" s="223"/>
      <c r="I147" s="32"/>
      <c r="J147" s="222">
        <v>1063</v>
      </c>
      <c r="K147" s="211" t="s">
        <v>1601</v>
      </c>
      <c r="L147" s="289">
        <f t="shared" si="15"/>
        <v>0</v>
      </c>
      <c r="M147"/>
      <c r="P147" s="196"/>
      <c r="Q147" s="279"/>
      <c r="X147" s="552"/>
      <c r="Y147" s="286"/>
      <c r="AB147" s="286"/>
    </row>
    <row r="148" spans="1:28" ht="71.25" customHeight="1" x14ac:dyDescent="0.3">
      <c r="A148" s="212">
        <f>'Unit Data from Audit Worksheet'!A173</f>
        <v>512</v>
      </c>
      <c r="B148" s="225" t="str">
        <f>'Unit Data from Audit Worksheet'!C173</f>
        <v>Fiduciary Statements</v>
      </c>
      <c r="C148" s="211" t="str">
        <f>'Unit Data from Audit Worksheet'!D173</f>
        <v>Cash and investments.  
Include:  unrestricted and restricted.  
                   cash and investments held 
                   by a third party</v>
      </c>
      <c r="D148" s="230"/>
      <c r="E148" s="231">
        <f>'Unit Data from Audit Worksheet'!F173</f>
        <v>0</v>
      </c>
      <c r="F148" s="224">
        <f>IF(L148&lt;0,"Error: Number is normally positive.",)</f>
        <v>0</v>
      </c>
      <c r="G148" s="226"/>
      <c r="H148" s="223"/>
      <c r="I148" s="32"/>
      <c r="J148" s="222">
        <v>512</v>
      </c>
      <c r="K148" s="221" t="s">
        <v>243</v>
      </c>
      <c r="L148" s="289">
        <f t="shared" si="15"/>
        <v>0</v>
      </c>
      <c r="P148" s="196"/>
      <c r="X148" s="552">
        <v>512</v>
      </c>
      <c r="Y148" s="286">
        <v>512</v>
      </c>
      <c r="AA148" s="386">
        <f t="shared" si="16"/>
        <v>0</v>
      </c>
      <c r="AB148" s="286">
        <f t="shared" si="17"/>
        <v>0</v>
      </c>
    </row>
    <row r="149" spans="1:28" ht="62.25" customHeight="1" x14ac:dyDescent="0.3">
      <c r="A149" s="212">
        <f>'Unit Data from Audit Worksheet'!A175</f>
        <v>656</v>
      </c>
      <c r="B149" s="225">
        <f>'Unit Data from Audit Worksheet'!C175</f>
        <v>0</v>
      </c>
      <c r="C149" s="211" t="str">
        <f>'Unit Data from Audit Worksheet'!D175</f>
        <v>Do you use prepared food/occupancy tax revenue stream to support debt?  Select "1" for Yes and "2" for No from drop down list.</v>
      </c>
      <c r="D149" s="129"/>
      <c r="E149" s="231">
        <f>'Unit Data from Audit Worksheet'!F175</f>
        <v>0</v>
      </c>
      <c r="F149" s="224"/>
      <c r="G149" s="226"/>
      <c r="H149" s="223"/>
      <c r="I149" s="32"/>
      <c r="J149" s="222">
        <v>656</v>
      </c>
      <c r="K149" s="228" t="s">
        <v>422</v>
      </c>
      <c r="L149" s="313">
        <f>E149</f>
        <v>0</v>
      </c>
      <c r="N149" s="18"/>
      <c r="O149" s="18"/>
      <c r="P149" s="196"/>
      <c r="X149" s="552">
        <v>656</v>
      </c>
      <c r="Y149" s="286">
        <v>656</v>
      </c>
      <c r="AA149" s="386">
        <f t="shared" si="16"/>
        <v>0</v>
      </c>
      <c r="AB149" s="286">
        <f t="shared" si="17"/>
        <v>0</v>
      </c>
    </row>
    <row r="150" spans="1:28" s="18" customFormat="1" ht="102.75" customHeight="1" x14ac:dyDescent="0.3">
      <c r="A150" s="212">
        <f>'Unit Data from Audit Worksheet'!A177</f>
        <v>535</v>
      </c>
      <c r="B150" s="225" t="str">
        <f>'Unit Data from Audit Worksheet'!C177</f>
        <v>Cash and Investment Note</v>
      </c>
      <c r="C150" s="211" t="str">
        <f>'Unit Data from Audit Worksheet'!D177</f>
        <v>Cash and Investment - Please list the book value of any unspent debt proceeds (bonds, installment, etc.) in any funds as of June 30.  This information may be on the face of your statements or in the notes</v>
      </c>
      <c r="D150" s="230"/>
      <c r="E150" s="231">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6"/>
      <c r="H150" s="223"/>
      <c r="I150" s="32"/>
      <c r="J150" s="222">
        <v>535</v>
      </c>
      <c r="K150" s="55" t="s">
        <v>244</v>
      </c>
      <c r="L150" s="289">
        <f t="shared" si="15"/>
        <v>0</v>
      </c>
      <c r="M150"/>
      <c r="P150" s="196"/>
      <c r="Q150" s="279"/>
      <c r="R150" s="3"/>
      <c r="S150" s="3"/>
      <c r="T150" s="3"/>
      <c r="U150" s="3"/>
      <c r="V150" s="3"/>
      <c r="W150" s="3"/>
      <c r="X150" s="552">
        <v>535</v>
      </c>
      <c r="Y150" s="286">
        <v>535</v>
      </c>
      <c r="Z150" s="3"/>
      <c r="AA150" s="386">
        <f t="shared" si="16"/>
        <v>0</v>
      </c>
      <c r="AB150" s="286">
        <f t="shared" si="17"/>
        <v>0</v>
      </c>
    </row>
    <row r="151" spans="1:28" ht="45.75" customHeight="1" x14ac:dyDescent="0.3">
      <c r="A151" s="212">
        <f>'Unit Data from Audit Worksheet'!A181</f>
        <v>334</v>
      </c>
      <c r="B151" s="225" t="str">
        <f>'Unit Data from Audit Worksheet'!C181</f>
        <v>Gov.-Capital Assets Schedule in the Notes</v>
      </c>
      <c r="C151" s="211" t="str">
        <f>'Unit Data from Audit Worksheet'!D181</f>
        <v>Gross value.  
Exclude non-depreciable.</v>
      </c>
      <c r="D151" s="230"/>
      <c r="E151" s="231">
        <f>'Unit Data from Audit Worksheet'!F181</f>
        <v>0</v>
      </c>
      <c r="F151" s="80"/>
      <c r="G151" s="226"/>
      <c r="H151" s="223"/>
      <c r="I151" s="32"/>
      <c r="J151" s="222">
        <v>334</v>
      </c>
      <c r="K151" s="55" t="s">
        <v>261</v>
      </c>
      <c r="L151" s="289">
        <f t="shared" si="15"/>
        <v>0</v>
      </c>
      <c r="P151" s="196"/>
      <c r="X151" s="552">
        <v>334</v>
      </c>
      <c r="Y151" s="286">
        <v>334</v>
      </c>
      <c r="AA151" s="386">
        <f t="shared" si="16"/>
        <v>0</v>
      </c>
      <c r="AB151" s="286">
        <f t="shared" si="17"/>
        <v>0</v>
      </c>
    </row>
    <row r="152" spans="1:28" ht="57" customHeight="1" x14ac:dyDescent="0.3">
      <c r="A152" s="212">
        <f>'Unit Data from Audit Worksheet'!A182</f>
        <v>373</v>
      </c>
      <c r="B152" s="225" t="str">
        <f>'Unit Data from Audit Worksheet'!C182</f>
        <v>Gov.-Capital Assets Schedule in the Notes</v>
      </c>
      <c r="C152" s="211" t="str">
        <f>'Unit Data from Audit Worksheet'!D182</f>
        <v>Accumulated depreciation</v>
      </c>
      <c r="D152" s="230"/>
      <c r="E152" s="231">
        <f>'Unit Data from Audit Worksheet'!F182</f>
        <v>0</v>
      </c>
      <c r="F152" s="80"/>
      <c r="G152" s="226"/>
      <c r="H152" s="223"/>
      <c r="I152" s="32"/>
      <c r="J152" s="222">
        <v>373</v>
      </c>
      <c r="K152" s="52" t="s">
        <v>304</v>
      </c>
      <c r="L152" s="289">
        <f t="shared" si="15"/>
        <v>0</v>
      </c>
      <c r="P152" s="196"/>
      <c r="X152" s="552">
        <v>373</v>
      </c>
      <c r="Y152" s="286">
        <v>373</v>
      </c>
      <c r="AA152" s="386">
        <f t="shared" si="16"/>
        <v>0</v>
      </c>
      <c r="AB152" s="286">
        <f t="shared" si="17"/>
        <v>0</v>
      </c>
    </row>
    <row r="153" spans="1:28" ht="102.75" customHeight="1" x14ac:dyDescent="0.3">
      <c r="A153" s="212">
        <f>'Unit Data from Audit Worksheet'!A183</f>
        <v>987</v>
      </c>
      <c r="B153" s="225">
        <f>'Unit Data from Audit Worksheet'!C183</f>
        <v>0</v>
      </c>
      <c r="C153" s="211" t="str">
        <f>'Unit Data from Audit Worksheet'!D183</f>
        <v xml:space="preserve">Estimated cost not yet budgeted of any mandate placed on unit by DEQ, a court order or some similar requirement (that has no realistic appeal path). </v>
      </c>
      <c r="D153" s="230"/>
      <c r="E153" s="231">
        <f>'Unit Data from Audit Worksheet'!F183</f>
        <v>0</v>
      </c>
      <c r="F153" s="80"/>
      <c r="G153" s="226"/>
      <c r="H153" s="223"/>
      <c r="I153" s="32"/>
      <c r="J153" s="222">
        <v>987</v>
      </c>
      <c r="K153" s="52" t="s">
        <v>648</v>
      </c>
      <c r="L153" s="295">
        <f t="shared" si="15"/>
        <v>0</v>
      </c>
      <c r="P153" s="196"/>
      <c r="X153" s="552">
        <v>987</v>
      </c>
      <c r="Y153" s="286">
        <v>987</v>
      </c>
      <c r="AA153" s="386">
        <f t="shared" si="16"/>
        <v>0</v>
      </c>
      <c r="AB153" s="286">
        <f t="shared" si="17"/>
        <v>0</v>
      </c>
    </row>
    <row r="154" spans="1:28" ht="69" customHeight="1" x14ac:dyDescent="0.3">
      <c r="A154" s="212">
        <f>'Unit Data from Audit Worksheet'!A184</f>
        <v>988</v>
      </c>
      <c r="B154" s="225">
        <f>'Unit Data from Audit Worksheet'!C184</f>
        <v>0</v>
      </c>
      <c r="C154" s="211" t="str">
        <f>'Unit Data from Audit Worksheet'!D184</f>
        <v>Do you operate a landfill that will be closing  or have a significant portion closing within the next 5 years?  Select "1" for Yes and "2" for No</v>
      </c>
      <c r="D154" s="230"/>
      <c r="E154" s="231">
        <f>'Unit Data from Audit Worksheet'!F184</f>
        <v>0</v>
      </c>
      <c r="F154" s="80"/>
      <c r="G154" s="226"/>
      <c r="H154" s="223"/>
      <c r="I154" s="32"/>
      <c r="J154" s="222">
        <v>988</v>
      </c>
      <c r="K154" s="52" t="s">
        <v>876</v>
      </c>
      <c r="L154" s="295">
        <f t="shared" si="15"/>
        <v>0</v>
      </c>
      <c r="P154" s="196"/>
      <c r="X154" s="552">
        <v>988</v>
      </c>
      <c r="Y154" s="286">
        <v>988</v>
      </c>
      <c r="AA154" s="386">
        <f t="shared" si="16"/>
        <v>0</v>
      </c>
      <c r="AB154" s="286">
        <f t="shared" si="17"/>
        <v>0</v>
      </c>
    </row>
    <row r="155" spans="1:28" ht="95.25" customHeight="1" x14ac:dyDescent="0.3">
      <c r="A155" s="212">
        <f>'Unit Data from Audit Worksheet'!A185</f>
        <v>989</v>
      </c>
      <c r="B155" s="225">
        <f>'Unit Data from Audit Worksheet'!C185</f>
        <v>0</v>
      </c>
      <c r="C155" s="211" t="str">
        <f>'Unit Data from Audit Worksheet'!D185</f>
        <v>If you answered "yes" to question #988 above, will you have the closure/postclosure cost fully funded by the date of closure?  Select "1" for Yes,  "2" for No, or "3" for N/A.</v>
      </c>
      <c r="D155" s="230"/>
      <c r="E155" s="231">
        <f>'Unit Data from Audit Worksheet'!F185</f>
        <v>0</v>
      </c>
      <c r="F155" s="80"/>
      <c r="G155" s="226"/>
      <c r="H155" s="223"/>
      <c r="I155" s="32"/>
      <c r="J155" s="222">
        <v>989</v>
      </c>
      <c r="K155" s="52" t="s">
        <v>810</v>
      </c>
      <c r="L155" s="295">
        <f t="shared" si="15"/>
        <v>0</v>
      </c>
      <c r="P155" s="196"/>
      <c r="X155" s="552">
        <v>989</v>
      </c>
      <c r="Y155" s="286">
        <v>989</v>
      </c>
      <c r="AA155" s="386">
        <f t="shared" si="16"/>
        <v>0</v>
      </c>
      <c r="AB155" s="286">
        <f t="shared" si="17"/>
        <v>0</v>
      </c>
    </row>
    <row r="156" spans="1:28" ht="57" customHeight="1" x14ac:dyDescent="0.3">
      <c r="A156" s="212">
        <f>'Unit Data from Audit Worksheet'!A189</f>
        <v>327</v>
      </c>
      <c r="B156" s="225" t="str">
        <f>'Unit Data from Audit Worksheet'!C189</f>
        <v>WS-Capital Assets Schedule in the Notes</v>
      </c>
      <c r="C156" s="211" t="str">
        <f>'Unit Data from Audit Worksheet'!D189</f>
        <v>Land and all other non depreciable capital assets 
Exclude construction in progress</v>
      </c>
      <c r="D156" s="230"/>
      <c r="E156" s="231">
        <f>'Unit Data from Audit Worksheet'!F189</f>
        <v>0</v>
      </c>
      <c r="F156" s="80"/>
      <c r="G156" s="226"/>
      <c r="H156" s="223"/>
      <c r="I156" s="32"/>
      <c r="J156" s="222">
        <v>327</v>
      </c>
      <c r="K156" s="52" t="s">
        <v>305</v>
      </c>
      <c r="L156" s="289">
        <f t="shared" si="15"/>
        <v>0</v>
      </c>
      <c r="P156" s="196"/>
      <c r="X156" s="552">
        <v>327</v>
      </c>
      <c r="Y156" s="286">
        <v>327</v>
      </c>
      <c r="AA156" s="386">
        <f t="shared" si="16"/>
        <v>0</v>
      </c>
      <c r="AB156" s="286">
        <f t="shared" si="17"/>
        <v>0</v>
      </c>
    </row>
    <row r="157" spans="1:28" ht="57" customHeight="1" x14ac:dyDescent="0.3">
      <c r="A157" s="212">
        <f>'Unit Data from Audit Worksheet'!A190</f>
        <v>328</v>
      </c>
      <c r="B157" s="225" t="str">
        <f>'Unit Data from Audit Worksheet'!C190</f>
        <v>WS-Capital Assets Schedule in the Notes</v>
      </c>
      <c r="C157" s="211" t="str">
        <f>'Unit Data from Audit Worksheet'!D190</f>
        <v>Construction in progress</v>
      </c>
      <c r="D157" s="230"/>
      <c r="E157" s="231">
        <f>'Unit Data from Audit Worksheet'!F190</f>
        <v>0</v>
      </c>
      <c r="F157" s="80"/>
      <c r="G157" s="226"/>
      <c r="H157" s="223"/>
      <c r="I157" s="32"/>
      <c r="J157" s="222">
        <v>328</v>
      </c>
      <c r="K157" s="52" t="s">
        <v>306</v>
      </c>
      <c r="L157" s="289">
        <f t="shared" si="15"/>
        <v>0</v>
      </c>
      <c r="P157" s="196"/>
      <c r="X157" s="552">
        <v>328</v>
      </c>
      <c r="Y157" s="286">
        <v>328</v>
      </c>
      <c r="AA157" s="386">
        <f t="shared" si="16"/>
        <v>0</v>
      </c>
      <c r="AB157" s="286">
        <f t="shared" si="17"/>
        <v>0</v>
      </c>
    </row>
    <row r="158" spans="1:28" ht="46.5" customHeight="1" x14ac:dyDescent="0.3">
      <c r="A158" s="212">
        <f>'Unit Data from Audit Worksheet'!A194</f>
        <v>515</v>
      </c>
      <c r="B158" s="225" t="str">
        <f>'Unit Data from Audit Worksheet'!C194</f>
        <v>WS Capital Assets Schedule-Gross Value</v>
      </c>
      <c r="C158" s="211" t="str">
        <f>'Unit Data from Audit Worksheet'!D194</f>
        <v>Buildings</v>
      </c>
      <c r="D158" s="230"/>
      <c r="E158" s="231">
        <f>'Unit Data from Audit Worksheet'!F194</f>
        <v>0</v>
      </c>
      <c r="F158" s="80"/>
      <c r="G158" s="226"/>
      <c r="H158" s="223"/>
      <c r="I158" s="32"/>
      <c r="J158" s="222">
        <v>515</v>
      </c>
      <c r="K158" s="52" t="s">
        <v>262</v>
      </c>
      <c r="L158" s="289">
        <f t="shared" si="15"/>
        <v>0</v>
      </c>
      <c r="P158" s="196"/>
      <c r="X158" s="552">
        <v>515</v>
      </c>
      <c r="Y158" s="286">
        <v>515</v>
      </c>
      <c r="AA158" s="386">
        <f t="shared" si="16"/>
        <v>0</v>
      </c>
      <c r="AB158" s="286">
        <f t="shared" si="17"/>
        <v>0</v>
      </c>
    </row>
    <row r="159" spans="1:28" ht="46.5" customHeight="1" x14ac:dyDescent="0.3">
      <c r="A159" s="212">
        <f>'Unit Data from Audit Worksheet'!A195</f>
        <v>516</v>
      </c>
      <c r="B159" s="225" t="str">
        <f>'Unit Data from Audit Worksheet'!C195</f>
        <v>WS Capital Assets Schedule-Gross Value</v>
      </c>
      <c r="C159" s="211" t="str">
        <f>'Unit Data from Audit Worksheet'!D195</f>
        <v>Plant / distributions systems / water lines</v>
      </c>
      <c r="D159" s="230"/>
      <c r="E159" s="231">
        <f>'Unit Data from Audit Worksheet'!F195</f>
        <v>0</v>
      </c>
      <c r="F159" s="80"/>
      <c r="G159" s="226"/>
      <c r="H159" s="223"/>
      <c r="I159" s="32"/>
      <c r="J159" s="222">
        <v>516</v>
      </c>
      <c r="K159" s="52" t="s">
        <v>263</v>
      </c>
      <c r="L159" s="289">
        <f t="shared" si="15"/>
        <v>0</v>
      </c>
      <c r="P159" s="196"/>
      <c r="X159" s="552">
        <v>516</v>
      </c>
      <c r="Y159" s="286">
        <v>516</v>
      </c>
      <c r="AA159" s="386">
        <f t="shared" si="16"/>
        <v>0</v>
      </c>
      <c r="AB159" s="286">
        <f t="shared" si="17"/>
        <v>0</v>
      </c>
    </row>
    <row r="160" spans="1:28" ht="46.5" customHeight="1" x14ac:dyDescent="0.3">
      <c r="A160" s="212">
        <f>'Unit Data from Audit Worksheet'!A196</f>
        <v>517</v>
      </c>
      <c r="B160" s="225" t="str">
        <f>'Unit Data from Audit Worksheet'!C196</f>
        <v>WS Capital Assets Schedule-Gross Value</v>
      </c>
      <c r="C160" s="211" t="str">
        <f>'Unit Data from Audit Worksheet'!D196</f>
        <v>Infrastructure(other infrastructure)</v>
      </c>
      <c r="D160" s="230"/>
      <c r="E160" s="231">
        <f>'Unit Data from Audit Worksheet'!F196</f>
        <v>0</v>
      </c>
      <c r="F160" s="80"/>
      <c r="G160" s="226"/>
      <c r="H160" s="223"/>
      <c r="I160" s="32"/>
      <c r="J160" s="222">
        <v>517</v>
      </c>
      <c r="K160" s="314" t="s">
        <v>264</v>
      </c>
      <c r="L160" s="289">
        <f t="shared" si="15"/>
        <v>0</v>
      </c>
      <c r="P160" s="196"/>
      <c r="X160" s="552">
        <v>517</v>
      </c>
      <c r="Y160" s="286">
        <v>517</v>
      </c>
      <c r="AA160" s="386">
        <f t="shared" si="16"/>
        <v>0</v>
      </c>
      <c r="AB160" s="286">
        <f t="shared" si="17"/>
        <v>0</v>
      </c>
    </row>
    <row r="161" spans="1:28" ht="46.5" customHeight="1" x14ac:dyDescent="0.3">
      <c r="A161" s="212">
        <f>'Unit Data from Audit Worksheet'!A197</f>
        <v>518</v>
      </c>
      <c r="B161" s="225" t="str">
        <f>'Unit Data from Audit Worksheet'!C197</f>
        <v>WS Capital Assets Schedule-Gross Value</v>
      </c>
      <c r="C161" s="211" t="str">
        <f>'Unit Data from Audit Worksheet'!D197</f>
        <v>All other depreciable capital assets</v>
      </c>
      <c r="D161" s="230"/>
      <c r="E161" s="231">
        <f>'Unit Data from Audit Worksheet'!F197</f>
        <v>0</v>
      </c>
      <c r="F161" s="80"/>
      <c r="G161" s="226"/>
      <c r="H161" s="223"/>
      <c r="I161" s="32"/>
      <c r="J161" s="222">
        <v>518</v>
      </c>
      <c r="K161" s="314" t="s">
        <v>265</v>
      </c>
      <c r="L161" s="289">
        <f t="shared" si="15"/>
        <v>0</v>
      </c>
      <c r="P161" s="196"/>
      <c r="X161" s="552">
        <v>518</v>
      </c>
      <c r="Y161" s="286">
        <v>518</v>
      </c>
      <c r="AA161" s="386">
        <f t="shared" si="16"/>
        <v>0</v>
      </c>
      <c r="AB161" s="286">
        <f t="shared" si="17"/>
        <v>0</v>
      </c>
    </row>
    <row r="162" spans="1:28" ht="52.5" customHeight="1" x14ac:dyDescent="0.3">
      <c r="A162" s="212">
        <f>'Unit Data from Audit Worksheet'!A200</f>
        <v>519</v>
      </c>
      <c r="B162" s="225" t="str">
        <f>'Unit Data from Audit Worksheet'!C200</f>
        <v>WS Capital Assets Schedule-Annual Depreciation</v>
      </c>
      <c r="C162" s="211" t="str">
        <f>'Unit Data from Audit Worksheet'!D200</f>
        <v>Buildings annual depreciation</v>
      </c>
      <c r="D162" s="230"/>
      <c r="E162" s="231">
        <f>'Unit Data from Audit Worksheet'!F200</f>
        <v>0</v>
      </c>
      <c r="F162" s="80"/>
      <c r="G162" s="226"/>
      <c r="H162" s="223"/>
      <c r="I162" s="32"/>
      <c r="J162" s="222">
        <v>519</v>
      </c>
      <c r="K162" s="314" t="s">
        <v>266</v>
      </c>
      <c r="L162" s="289">
        <f t="shared" si="15"/>
        <v>0</v>
      </c>
      <c r="P162" s="317"/>
      <c r="X162" s="552">
        <v>519</v>
      </c>
      <c r="Y162" s="286">
        <v>519</v>
      </c>
      <c r="AA162" s="386">
        <f t="shared" si="16"/>
        <v>0</v>
      </c>
      <c r="AB162" s="286">
        <f t="shared" si="17"/>
        <v>0</v>
      </c>
    </row>
    <row r="163" spans="1:28" ht="52.5" customHeight="1" x14ac:dyDescent="0.3">
      <c r="A163" s="212">
        <f>'Unit Data from Audit Worksheet'!A201</f>
        <v>520</v>
      </c>
      <c r="B163" s="225" t="str">
        <f>'Unit Data from Audit Worksheet'!C201</f>
        <v>WS Capital Assets Schedule-Annual Depreciation</v>
      </c>
      <c r="C163" s="211" t="str">
        <f>'Unit Data from Audit Worksheet'!D201</f>
        <v>Plant / distributions systems / water lines annual depreciation</v>
      </c>
      <c r="D163" s="230"/>
      <c r="E163" s="231">
        <f>'Unit Data from Audit Worksheet'!F201</f>
        <v>0</v>
      </c>
      <c r="F163" s="80"/>
      <c r="G163" s="226"/>
      <c r="H163" s="223"/>
      <c r="I163" s="32"/>
      <c r="J163" s="222">
        <v>520</v>
      </c>
      <c r="K163" s="314" t="s">
        <v>267</v>
      </c>
      <c r="L163" s="289">
        <f t="shared" si="15"/>
        <v>0</v>
      </c>
      <c r="P163" s="320"/>
      <c r="Q163" s="318"/>
      <c r="X163" s="552">
        <v>520</v>
      </c>
      <c r="Y163" s="286">
        <v>520</v>
      </c>
      <c r="AA163" s="386">
        <f t="shared" si="16"/>
        <v>0</v>
      </c>
      <c r="AB163" s="286">
        <f t="shared" si="17"/>
        <v>0</v>
      </c>
    </row>
    <row r="164" spans="1:28" ht="52.5" customHeight="1" x14ac:dyDescent="0.3">
      <c r="A164" s="212">
        <f>'Unit Data from Audit Worksheet'!A202</f>
        <v>521</v>
      </c>
      <c r="B164" s="225" t="str">
        <f>'Unit Data from Audit Worksheet'!C202</f>
        <v>WS Capital Assets Schedule-Annual Depreciation</v>
      </c>
      <c r="C164" s="211" t="str">
        <f>'Unit Data from Audit Worksheet'!D202</f>
        <v>Infrastructure(other infrastructure) annual depreciation</v>
      </c>
      <c r="D164" s="230"/>
      <c r="E164" s="231">
        <f>'Unit Data from Audit Worksheet'!F202</f>
        <v>0</v>
      </c>
      <c r="F164" s="80"/>
      <c r="G164" s="226"/>
      <c r="H164" s="223"/>
      <c r="I164" s="32"/>
      <c r="J164" s="222">
        <v>521</v>
      </c>
      <c r="K164" s="52" t="s">
        <v>268</v>
      </c>
      <c r="L164" s="289">
        <f t="shared" si="15"/>
        <v>0</v>
      </c>
      <c r="P164" s="196"/>
      <c r="Q164" s="187"/>
      <c r="X164" s="552">
        <v>521</v>
      </c>
      <c r="Y164" s="286">
        <v>521</v>
      </c>
      <c r="AA164" s="386">
        <f t="shared" si="16"/>
        <v>0</v>
      </c>
      <c r="AB164" s="286">
        <f t="shared" si="17"/>
        <v>0</v>
      </c>
    </row>
    <row r="165" spans="1:28" ht="42.75" customHeight="1" x14ac:dyDescent="0.3">
      <c r="A165" s="212">
        <f>'Unit Data from Audit Worksheet'!A203</f>
        <v>522</v>
      </c>
      <c r="B165" s="225" t="str">
        <f>'Unit Data from Audit Worksheet'!C203</f>
        <v>WS Capital Assets Schedule-Annual Depreciation</v>
      </c>
      <c r="C165" s="211" t="str">
        <f>'Unit Data from Audit Worksheet'!D203</f>
        <v>All other depreciable capital assets annual depreciation</v>
      </c>
      <c r="D165" s="230"/>
      <c r="E165" s="231">
        <f>'Unit Data from Audit Worksheet'!F203</f>
        <v>0</v>
      </c>
      <c r="F165" s="80"/>
      <c r="G165" s="226"/>
      <c r="H165" s="223"/>
      <c r="I165" s="32"/>
      <c r="J165" s="222">
        <v>522</v>
      </c>
      <c r="K165" s="52" t="s">
        <v>269</v>
      </c>
      <c r="L165" s="289">
        <f t="shared" si="15"/>
        <v>0</v>
      </c>
      <c r="P165" s="317"/>
      <c r="S165" s="18"/>
      <c r="T165" s="18"/>
      <c r="U165" s="18"/>
      <c r="V165" s="18"/>
      <c r="X165" s="552">
        <v>522</v>
      </c>
      <c r="Y165" s="286">
        <v>522</v>
      </c>
      <c r="Z165" s="18"/>
      <c r="AA165" s="386">
        <f t="shared" si="16"/>
        <v>0</v>
      </c>
      <c r="AB165" s="286">
        <f t="shared" si="17"/>
        <v>0</v>
      </c>
    </row>
    <row r="166" spans="1:28" ht="42.75" customHeight="1" x14ac:dyDescent="0.3">
      <c r="A166" s="212">
        <f>'Unit Data from Audit Worksheet'!A206</f>
        <v>523</v>
      </c>
      <c r="B166" s="225" t="str">
        <f>'Unit Data from Audit Worksheet'!C206</f>
        <v>WS Capital Assets Schedule-Accumulated Depreciation</v>
      </c>
      <c r="C166" s="211" t="str">
        <f>'Unit Data from Audit Worksheet'!D206</f>
        <v>Building accumulated depreciation</v>
      </c>
      <c r="D166" s="230"/>
      <c r="E166" s="231">
        <f>'Unit Data from Audit Worksheet'!F206</f>
        <v>0</v>
      </c>
      <c r="F166" s="80"/>
      <c r="G166" s="226"/>
      <c r="H166" s="223"/>
      <c r="I166" s="32"/>
      <c r="J166" s="222">
        <v>523</v>
      </c>
      <c r="K166" s="52" t="s">
        <v>270</v>
      </c>
      <c r="L166" s="289">
        <f t="shared" si="15"/>
        <v>0</v>
      </c>
      <c r="P166" s="317"/>
      <c r="S166" s="18"/>
      <c r="T166" s="18"/>
      <c r="U166" s="18"/>
      <c r="V166" s="18"/>
      <c r="X166" s="552">
        <v>523</v>
      </c>
      <c r="Y166" s="286">
        <v>523</v>
      </c>
      <c r="Z166" s="18"/>
      <c r="AA166" s="386">
        <f t="shared" si="16"/>
        <v>0</v>
      </c>
      <c r="AB166" s="286">
        <f t="shared" si="17"/>
        <v>0</v>
      </c>
    </row>
    <row r="167" spans="1:28" ht="51" customHeight="1" x14ac:dyDescent="0.3">
      <c r="A167" s="212">
        <f>'Unit Data from Audit Worksheet'!A207</f>
        <v>524</v>
      </c>
      <c r="B167" s="225" t="str">
        <f>'Unit Data from Audit Worksheet'!C207</f>
        <v>WS Capital Assets Schedule-Accumulated Depreciation</v>
      </c>
      <c r="C167" s="211" t="str">
        <f>'Unit Data from Audit Worksheet'!D207</f>
        <v>Plant / distributions systems / water lines accumulated depreciation</v>
      </c>
      <c r="D167" s="230"/>
      <c r="E167" s="231">
        <f>'Unit Data from Audit Worksheet'!F207</f>
        <v>0</v>
      </c>
      <c r="F167" s="80"/>
      <c r="G167" s="226"/>
      <c r="H167" s="223"/>
      <c r="I167" s="32"/>
      <c r="J167" s="222">
        <v>524</v>
      </c>
      <c r="K167" s="52" t="s">
        <v>271</v>
      </c>
      <c r="L167" s="289">
        <f t="shared" si="15"/>
        <v>0</v>
      </c>
      <c r="P167" s="317"/>
      <c r="S167" s="18"/>
      <c r="T167" s="18"/>
      <c r="U167" s="18"/>
      <c r="V167" s="18"/>
      <c r="X167" s="552">
        <v>524</v>
      </c>
      <c r="Y167" s="286">
        <v>524</v>
      </c>
      <c r="Z167" s="18"/>
      <c r="AA167" s="386">
        <f t="shared" si="16"/>
        <v>0</v>
      </c>
      <c r="AB167" s="286">
        <f t="shared" si="17"/>
        <v>0</v>
      </c>
    </row>
    <row r="168" spans="1:28" ht="57.75" customHeight="1" x14ac:dyDescent="0.3">
      <c r="A168" s="212">
        <f>'Unit Data from Audit Worksheet'!A208</f>
        <v>525</v>
      </c>
      <c r="B168" s="225" t="str">
        <f>'Unit Data from Audit Worksheet'!C208</f>
        <v>WS Capital Assets Schedule-Accumulated Depreciation</v>
      </c>
      <c r="C168" s="211" t="str">
        <f>'Unit Data from Audit Worksheet'!D208</f>
        <v>Infrastructure(other infrastructure) accumulated depreciation</v>
      </c>
      <c r="D168" s="230"/>
      <c r="E168" s="231">
        <f>'Unit Data from Audit Worksheet'!F208</f>
        <v>0</v>
      </c>
      <c r="F168" s="80"/>
      <c r="G168" s="226"/>
      <c r="H168" s="223"/>
      <c r="I168" s="32"/>
      <c r="J168" s="222">
        <v>525</v>
      </c>
      <c r="K168" s="52" t="s">
        <v>272</v>
      </c>
      <c r="L168" s="289">
        <f t="shared" si="15"/>
        <v>0</v>
      </c>
      <c r="P168" s="202"/>
      <c r="Q168" s="318"/>
      <c r="X168" s="552">
        <v>525</v>
      </c>
      <c r="Y168" s="286">
        <v>525</v>
      </c>
      <c r="AA168" s="386">
        <f t="shared" si="16"/>
        <v>0</v>
      </c>
      <c r="AB168" s="286">
        <f t="shared" si="17"/>
        <v>0</v>
      </c>
    </row>
    <row r="169" spans="1:28" ht="48" customHeight="1" x14ac:dyDescent="0.3">
      <c r="A169" s="212">
        <f>'Unit Data from Audit Worksheet'!A209</f>
        <v>526</v>
      </c>
      <c r="B169" s="225" t="str">
        <f>'Unit Data from Audit Worksheet'!C209</f>
        <v>WS Capital Assets Schedule-Accumulated Depreciation</v>
      </c>
      <c r="C169" s="211" t="str">
        <f>'Unit Data from Audit Worksheet'!D209</f>
        <v>All other depreciable capital assets accumulated depreciation</v>
      </c>
      <c r="D169" s="230"/>
      <c r="E169" s="231">
        <f>'Unit Data from Audit Worksheet'!F209</f>
        <v>0</v>
      </c>
      <c r="F169" s="80"/>
      <c r="G169" s="226"/>
      <c r="H169" s="223"/>
      <c r="I169" s="32"/>
      <c r="J169" s="222">
        <v>526</v>
      </c>
      <c r="K169" s="52" t="s">
        <v>273</v>
      </c>
      <c r="L169" s="289">
        <f t="shared" si="15"/>
        <v>0</v>
      </c>
      <c r="P169" s="196"/>
      <c r="Q169" s="3"/>
      <c r="X169" s="552">
        <v>526</v>
      </c>
      <c r="Y169" s="286">
        <v>526</v>
      </c>
      <c r="AA169" s="386">
        <f t="shared" si="16"/>
        <v>0</v>
      </c>
      <c r="AB169" s="286">
        <f t="shared" si="17"/>
        <v>0</v>
      </c>
    </row>
    <row r="170" spans="1:28" ht="50.25" customHeight="1" x14ac:dyDescent="0.3">
      <c r="A170" s="212">
        <f>'Unit Data from Audit Worksheet'!A214</f>
        <v>527</v>
      </c>
      <c r="B170" s="225" t="str">
        <f>'Unit Data from Audit Worksheet'!C214</f>
        <v>Electric Assets</v>
      </c>
      <c r="C170" s="211" t="str">
        <f>'Unit Data from Audit Worksheet'!D214</f>
        <v>Total Assets Gross value not being depreciated for Electric Fund</v>
      </c>
      <c r="D170" s="230"/>
      <c r="E170" s="231">
        <f>'Unit Data from Audit Worksheet'!F214</f>
        <v>0</v>
      </c>
      <c r="F170" s="80"/>
      <c r="G170" s="226"/>
      <c r="H170" s="223"/>
      <c r="I170" s="32"/>
      <c r="J170" s="222">
        <v>527</v>
      </c>
      <c r="K170" s="52" t="s">
        <v>274</v>
      </c>
      <c r="L170" s="289">
        <f t="shared" si="15"/>
        <v>0</v>
      </c>
      <c r="P170" s="196"/>
      <c r="X170" s="552">
        <v>527</v>
      </c>
      <c r="Y170" s="286">
        <v>527</v>
      </c>
      <c r="AA170" s="386">
        <f t="shared" si="16"/>
        <v>0</v>
      </c>
      <c r="AB170" s="286">
        <f t="shared" si="17"/>
        <v>0</v>
      </c>
    </row>
    <row r="171" spans="1:28" ht="54.75" customHeight="1" x14ac:dyDescent="0.3">
      <c r="A171" s="212">
        <f>'Unit Data from Audit Worksheet'!A215</f>
        <v>356</v>
      </c>
      <c r="B171" s="225" t="str">
        <f>'Unit Data from Audit Worksheet'!C215</f>
        <v>Electric Assets</v>
      </c>
      <c r="C171" s="211" t="str">
        <f>'Unit Data from Audit Worksheet'!D215</f>
        <v>Total Assets Gross value of assets being depreciated for Electric Fund</v>
      </c>
      <c r="D171" s="230"/>
      <c r="E171" s="231">
        <f>'Unit Data from Audit Worksheet'!F215</f>
        <v>0</v>
      </c>
      <c r="F171" s="80"/>
      <c r="G171" s="226"/>
      <c r="H171" s="223"/>
      <c r="I171" s="32"/>
      <c r="J171" s="222">
        <v>356</v>
      </c>
      <c r="K171" s="52" t="s">
        <v>307</v>
      </c>
      <c r="L171" s="289">
        <f t="shared" si="15"/>
        <v>0</v>
      </c>
      <c r="P171" s="196"/>
      <c r="X171" s="552">
        <v>356</v>
      </c>
      <c r="Y171" s="286">
        <v>356</v>
      </c>
      <c r="AA171" s="386">
        <f t="shared" si="16"/>
        <v>0</v>
      </c>
      <c r="AB171" s="286">
        <f t="shared" si="17"/>
        <v>0</v>
      </c>
    </row>
    <row r="172" spans="1:28" ht="54.75" customHeight="1" x14ac:dyDescent="0.3">
      <c r="A172" s="212">
        <f>'Unit Data from Audit Worksheet'!A216</f>
        <v>357</v>
      </c>
      <c r="B172" s="225" t="str">
        <f>'Unit Data from Audit Worksheet'!C216</f>
        <v>Electric Accumulated Depreciation</v>
      </c>
      <c r="C172" s="211" t="str">
        <f>'Unit Data from Audit Worksheet'!D216</f>
        <v>Total accumulated depreciation for Electric Fund assets</v>
      </c>
      <c r="D172" s="230"/>
      <c r="E172" s="231">
        <f>'Unit Data from Audit Worksheet'!F216</f>
        <v>0</v>
      </c>
      <c r="F172" s="80"/>
      <c r="G172" s="226"/>
      <c r="H172" s="223"/>
      <c r="I172" s="32"/>
      <c r="J172" s="222">
        <v>357</v>
      </c>
      <c r="K172" s="52" t="s">
        <v>308</v>
      </c>
      <c r="L172" s="289">
        <f t="shared" si="15"/>
        <v>0</v>
      </c>
      <c r="P172" s="196"/>
      <c r="X172" s="552">
        <v>357</v>
      </c>
      <c r="Y172" s="286">
        <v>357</v>
      </c>
      <c r="AA172" s="386">
        <f t="shared" si="16"/>
        <v>0</v>
      </c>
      <c r="AB172" s="286">
        <f t="shared" si="17"/>
        <v>0</v>
      </c>
    </row>
    <row r="173" spans="1:28" ht="191.25" customHeight="1" x14ac:dyDescent="0.3">
      <c r="A173" s="212">
        <f>'Unit Data from Audit Worksheet'!A218</f>
        <v>337</v>
      </c>
      <c r="B173" s="225" t="str">
        <f>'Unit Data from Audit Worksheet'!C218</f>
        <v>Long-Term Liability Note - Governmental Activities</v>
      </c>
      <c r="C173" s="225"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0"/>
      <c r="E173" s="231">
        <f>'Unit Data from Audit Worksheet'!F218</f>
        <v>0</v>
      </c>
      <c r="F173" s="224">
        <f>IF(L173&lt;0,"Error: Enter as a positive.",)</f>
        <v>0</v>
      </c>
      <c r="G173" s="226"/>
      <c r="H173" s="223"/>
      <c r="I173" s="32"/>
      <c r="J173" s="222">
        <v>337</v>
      </c>
      <c r="K173" s="221" t="s">
        <v>245</v>
      </c>
      <c r="L173" s="289">
        <f t="shared" si="15"/>
        <v>0</v>
      </c>
      <c r="P173" s="196"/>
      <c r="X173" s="552">
        <v>337</v>
      </c>
      <c r="Y173" s="286">
        <v>337</v>
      </c>
      <c r="AA173" s="386">
        <f t="shared" si="16"/>
        <v>0</v>
      </c>
      <c r="AB173" s="286">
        <f t="shared" si="17"/>
        <v>0</v>
      </c>
    </row>
    <row r="174" spans="1:28" ht="76.5" customHeight="1" x14ac:dyDescent="0.3">
      <c r="A174" s="212">
        <f>'Unit Data from Audit Worksheet'!A219</f>
        <v>343</v>
      </c>
      <c r="B174" s="225" t="str">
        <f>'Unit Data from Audit Worksheet'!C219</f>
        <v>Long-Term Liability Note - Governmental Activities</v>
      </c>
      <c r="C174" s="211" t="str">
        <f>'Unit Data from Audit Worksheet'!D219</f>
        <v>Decreases made (principal paid) on Long-Term Debt in current fiscal year.  Reduce for debt refunding.</v>
      </c>
      <c r="D174" s="230"/>
      <c r="E174" s="231">
        <f>'Unit Data from Audit Worksheet'!F219</f>
        <v>0</v>
      </c>
      <c r="F174" s="224">
        <f>IF(L174&lt;0,"Error: Enter as a positive.",)</f>
        <v>0</v>
      </c>
      <c r="G174" s="226"/>
      <c r="H174" s="223"/>
      <c r="I174" s="32"/>
      <c r="J174" s="222">
        <v>343</v>
      </c>
      <c r="K174" s="221" t="s">
        <v>246</v>
      </c>
      <c r="L174" s="289">
        <f t="shared" si="15"/>
        <v>0</v>
      </c>
      <c r="P174" s="196"/>
      <c r="X174" s="552">
        <v>343</v>
      </c>
      <c r="Y174" s="294">
        <v>343</v>
      </c>
      <c r="AA174" s="386">
        <f t="shared" si="16"/>
        <v>0</v>
      </c>
      <c r="AB174" s="286">
        <f t="shared" si="17"/>
        <v>0</v>
      </c>
    </row>
    <row r="175" spans="1:28" ht="193.5" customHeight="1" x14ac:dyDescent="0.3">
      <c r="A175" s="212">
        <f>'Unit Data from Audit Worksheet'!A220</f>
        <v>82</v>
      </c>
      <c r="B175" s="225" t="str">
        <f>'Unit Data from Audit Worksheet'!C220</f>
        <v>Long-Term Liability Note - Water Sewer Activities</v>
      </c>
      <c r="C175" s="225"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0"/>
      <c r="E175" s="231">
        <f>'Unit Data from Audit Worksheet'!F220</f>
        <v>0</v>
      </c>
      <c r="F175" s="224">
        <f>IF(L175&lt;0,"Error: Enter as a positive.",)</f>
        <v>0</v>
      </c>
      <c r="G175" s="226"/>
      <c r="H175" s="223"/>
      <c r="I175" s="32"/>
      <c r="J175" s="222">
        <v>82</v>
      </c>
      <c r="K175" s="62" t="s">
        <v>309</v>
      </c>
      <c r="L175" s="289">
        <f t="shared" si="15"/>
        <v>0</v>
      </c>
      <c r="P175" s="196"/>
      <c r="X175" s="552">
        <v>82</v>
      </c>
      <c r="Y175" s="286">
        <v>82</v>
      </c>
      <c r="AA175" s="386">
        <f t="shared" si="16"/>
        <v>0</v>
      </c>
      <c r="AB175" s="286">
        <f t="shared" si="17"/>
        <v>0</v>
      </c>
    </row>
    <row r="176" spans="1:28" ht="206.25" customHeight="1" x14ac:dyDescent="0.3">
      <c r="A176" s="212">
        <f>'Unit Data from Audit Worksheet'!A221</f>
        <v>359</v>
      </c>
      <c r="B176" s="225" t="str">
        <f>'Unit Data from Audit Worksheet'!C221</f>
        <v>Long-Term Liability Note - Electric Activities</v>
      </c>
      <c r="C176" s="225"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0"/>
      <c r="E176" s="231">
        <f>'Unit Data from Audit Worksheet'!F221</f>
        <v>0</v>
      </c>
      <c r="F176" s="224">
        <f>IF(L176&lt;0,"Error: Enter as a positive.",)</f>
        <v>0</v>
      </c>
      <c r="G176" s="226"/>
      <c r="H176" s="223"/>
      <c r="I176" s="32"/>
      <c r="J176" s="222">
        <v>359</v>
      </c>
      <c r="K176" s="221" t="s">
        <v>247</v>
      </c>
      <c r="L176" s="289">
        <f t="shared" si="15"/>
        <v>0</v>
      </c>
      <c r="P176" s="196"/>
      <c r="X176" s="552">
        <v>359</v>
      </c>
      <c r="Y176" s="286">
        <v>359</v>
      </c>
      <c r="AA176" s="386">
        <f t="shared" si="16"/>
        <v>0</v>
      </c>
      <c r="AB176" s="286">
        <f t="shared" si="17"/>
        <v>0</v>
      </c>
    </row>
    <row r="177" spans="1:28" ht="76.5" customHeight="1" x14ac:dyDescent="0.3">
      <c r="A177" s="212">
        <f>'Unit Data from Audit Worksheet'!A223</f>
        <v>622</v>
      </c>
      <c r="B177" s="225" t="str">
        <f>'Unit Data from Audit Worksheet'!C223</f>
        <v>FS., Pension note or RSI</v>
      </c>
      <c r="C177" s="225"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30"/>
      <c r="E177" s="231">
        <f>'Unit Data from Audit Worksheet'!F223</f>
        <v>0</v>
      </c>
      <c r="F177" s="224"/>
      <c r="G177" s="226"/>
      <c r="H177" s="223"/>
      <c r="I177" s="32"/>
      <c r="J177" s="222">
        <v>622</v>
      </c>
      <c r="K177" s="228" t="s">
        <v>359</v>
      </c>
      <c r="L177" s="289">
        <f t="shared" si="15"/>
        <v>0</v>
      </c>
      <c r="P177" s="196"/>
      <c r="S177" s="18"/>
      <c r="T177" s="18"/>
      <c r="U177" s="18"/>
      <c r="V177" s="18"/>
      <c r="X177" s="552">
        <v>622</v>
      </c>
      <c r="Y177" s="286">
        <v>622</v>
      </c>
      <c r="Z177" s="18"/>
      <c r="AA177" s="386">
        <f t="shared" si="16"/>
        <v>0</v>
      </c>
      <c r="AB177" s="286">
        <f t="shared" si="17"/>
        <v>0</v>
      </c>
    </row>
    <row r="178" spans="1:28" ht="138.75" customHeight="1" x14ac:dyDescent="0.3">
      <c r="A178" s="212">
        <f>'Unit Data from Audit Worksheet'!A224</f>
        <v>577</v>
      </c>
      <c r="B178" s="225" t="str">
        <f>'Unit Data from Audit Worksheet'!C224</f>
        <v>Pension Notes</v>
      </c>
      <c r="C178" s="225"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0"/>
      <c r="E178" s="231">
        <f>'Unit Data from Audit Worksheet'!F224</f>
        <v>0</v>
      </c>
      <c r="F178" s="224"/>
      <c r="G178" s="226"/>
      <c r="H178" s="223"/>
      <c r="I178" s="32"/>
      <c r="J178" s="222">
        <v>577</v>
      </c>
      <c r="K178" s="228" t="s">
        <v>331</v>
      </c>
      <c r="L178" s="289">
        <f t="shared" si="15"/>
        <v>0</v>
      </c>
      <c r="P178" s="196"/>
      <c r="S178" s="18"/>
      <c r="T178" s="18"/>
      <c r="U178" s="18"/>
      <c r="V178" s="18"/>
      <c r="X178" s="552">
        <v>577</v>
      </c>
      <c r="Y178" s="286">
        <v>577</v>
      </c>
      <c r="Z178" s="18"/>
      <c r="AA178" s="386">
        <f t="shared" si="16"/>
        <v>0</v>
      </c>
      <c r="AB178" s="286">
        <f t="shared" si="17"/>
        <v>0</v>
      </c>
    </row>
    <row r="179" spans="1:28" ht="115.5" customHeight="1" x14ac:dyDescent="0.3">
      <c r="A179" s="315">
        <f>'Unit Data from Audit Worksheet'!A226</f>
        <v>598</v>
      </c>
      <c r="B179" s="225" t="str">
        <f>'Unit Data from Audit Worksheet'!C226</f>
        <v>LEO Note</v>
      </c>
      <c r="C179" s="211" t="str">
        <f>'Unit Data from Audit Worksheet'!D226</f>
        <v>Amount the unit paid out in benefits under LEO special separation allowance to retired law enforcement officers this fiscal year if you report under GASB 68 or GASB 73.</v>
      </c>
      <c r="D179" s="230"/>
      <c r="E179" s="231">
        <f>'Unit Data from Audit Worksheet'!F226</f>
        <v>0</v>
      </c>
      <c r="F179" s="224">
        <f>IF(L179&lt;0,"Error: Enter as a positive.",)</f>
        <v>0</v>
      </c>
      <c r="G179" s="226"/>
      <c r="H179" s="223"/>
      <c r="I179" s="32"/>
      <c r="J179" s="222">
        <v>598</v>
      </c>
      <c r="K179" s="87" t="s">
        <v>343</v>
      </c>
      <c r="L179" s="289">
        <f t="shared" si="15"/>
        <v>0</v>
      </c>
      <c r="P179" s="196"/>
      <c r="S179" s="18"/>
      <c r="T179" s="18"/>
      <c r="U179" s="18"/>
      <c r="V179" s="18"/>
      <c r="X179" s="552">
        <v>598</v>
      </c>
      <c r="Y179" s="286">
        <v>598</v>
      </c>
      <c r="Z179" s="18"/>
      <c r="AA179" s="386">
        <f t="shared" si="16"/>
        <v>0</v>
      </c>
      <c r="AB179" s="286">
        <f t="shared" si="17"/>
        <v>0</v>
      </c>
    </row>
    <row r="180" spans="1:28" ht="84" customHeight="1" x14ac:dyDescent="0.3">
      <c r="A180" s="212">
        <f>'Unit Data from Audit Worksheet'!A227</f>
        <v>599</v>
      </c>
      <c r="B180" s="225" t="str">
        <f>'Unit Data from Audit Worksheet'!C227</f>
        <v>LEO Note</v>
      </c>
      <c r="C180" s="211" t="str">
        <f>'Unit Data from Audit Worksheet'!D227</f>
        <v>The total LEO pension liability if you report under GASB 68 or GASB 73.</v>
      </c>
      <c r="D180" s="230"/>
      <c r="E180" s="231">
        <f>'Unit Data from Audit Worksheet'!F227</f>
        <v>0</v>
      </c>
      <c r="F180" s="224">
        <f>IF(L180&lt;0,"Error: Enter as a positive.",)</f>
        <v>0</v>
      </c>
      <c r="G180" s="226"/>
      <c r="H180" s="223"/>
      <c r="I180" s="32"/>
      <c r="J180" s="222">
        <v>599</v>
      </c>
      <c r="K180" s="86" t="s">
        <v>342</v>
      </c>
      <c r="L180" s="289">
        <f t="shared" si="15"/>
        <v>0</v>
      </c>
      <c r="P180" s="196"/>
      <c r="X180" s="552">
        <v>599</v>
      </c>
      <c r="Y180" s="286">
        <v>599</v>
      </c>
      <c r="AA180" s="386">
        <f t="shared" si="16"/>
        <v>0</v>
      </c>
      <c r="AB180" s="286">
        <f t="shared" si="17"/>
        <v>0</v>
      </c>
    </row>
    <row r="181" spans="1:28" ht="102.75" customHeight="1" x14ac:dyDescent="0.3">
      <c r="A181" s="212">
        <f>'Unit Data from Audit Worksheet'!A228</f>
        <v>602</v>
      </c>
      <c r="B181" s="225" t="str">
        <f>'Unit Data from Audit Worksheet'!C228</f>
        <v>LEO Note</v>
      </c>
      <c r="C181" s="211" t="str">
        <f>'Unit Data from Audit Worksheet'!D228</f>
        <v>If you have LEO pension assets and are reporting under GASB 68 please enter "Plan Fiduciary Net Position" which can be found on your RSI schedules and the Notes.</v>
      </c>
      <c r="D181" s="230"/>
      <c r="E181" s="231">
        <f>'Unit Data from Audit Worksheet'!F228</f>
        <v>0</v>
      </c>
      <c r="F181" s="224">
        <f>IF(L181&lt;0,"Error: Enter as a positive.",)</f>
        <v>0</v>
      </c>
      <c r="G181" s="226"/>
      <c r="H181" s="223"/>
      <c r="I181" s="32"/>
      <c r="J181" s="222">
        <v>602</v>
      </c>
      <c r="K181" s="23" t="s">
        <v>344</v>
      </c>
      <c r="L181" s="289">
        <f t="shared" si="15"/>
        <v>0</v>
      </c>
      <c r="P181" s="196"/>
      <c r="X181" s="552">
        <v>602</v>
      </c>
      <c r="Y181" s="286">
        <v>602</v>
      </c>
      <c r="AA181" s="386">
        <f t="shared" si="16"/>
        <v>0</v>
      </c>
      <c r="AB181" s="286">
        <f t="shared" si="17"/>
        <v>0</v>
      </c>
    </row>
    <row r="182" spans="1:28" ht="123" customHeight="1" x14ac:dyDescent="0.3">
      <c r="A182" s="212">
        <f>'Unit Data from Audit Worksheet'!A229</f>
        <v>619</v>
      </c>
      <c r="B182" s="225"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4" t="str">
        <f>IF(H182=L182,"","Column L does not equal Column H")</f>
        <v/>
      </c>
      <c r="G182" s="226"/>
      <c r="H182" s="95">
        <f>ROUND(IFERROR((L181/L180)*100,0),1)</f>
        <v>0</v>
      </c>
      <c r="I182" s="32"/>
      <c r="J182" s="214">
        <v>619</v>
      </c>
      <c r="K182" s="94" t="s">
        <v>449</v>
      </c>
      <c r="L182" s="731">
        <f t="shared" si="15"/>
        <v>0</v>
      </c>
      <c r="P182" s="196"/>
      <c r="X182" s="552">
        <v>619</v>
      </c>
      <c r="Y182" s="286">
        <v>619</v>
      </c>
      <c r="AA182" s="386">
        <f t="shared" si="16"/>
        <v>0</v>
      </c>
      <c r="AB182" s="286">
        <f t="shared" si="17"/>
        <v>0</v>
      </c>
    </row>
    <row r="183" spans="1:28" ht="113.25" customHeight="1" x14ac:dyDescent="0.3">
      <c r="A183" s="212">
        <v>621</v>
      </c>
      <c r="B183" s="51" t="s">
        <v>353</v>
      </c>
      <c r="C183" s="319" t="str">
        <f>'Unit Data from Audit Worksheet'!D231</f>
        <v xml:space="preserve">Unit's share of Retirement Health Benefit Fund Net OPEB Liability ($s)
- unit of government is a participating employer in the State's RHBF </v>
      </c>
      <c r="D183" s="88"/>
      <c r="E183" s="231">
        <f>'Unit Data from Audit Worksheet'!F231</f>
        <v>0</v>
      </c>
      <c r="F183" s="224">
        <f>IF(L183&lt;0,"Error: Enter as a positive.",)</f>
        <v>0</v>
      </c>
      <c r="G183" s="120"/>
      <c r="H183" s="223"/>
      <c r="I183" s="32"/>
      <c r="J183" s="320">
        <v>621</v>
      </c>
      <c r="K183" s="121" t="s">
        <v>453</v>
      </c>
      <c r="L183" s="289">
        <f t="shared" si="15"/>
        <v>0</v>
      </c>
      <c r="P183" s="197"/>
      <c r="X183" s="552">
        <v>621</v>
      </c>
      <c r="Y183" s="286">
        <v>621</v>
      </c>
      <c r="AA183" s="386">
        <f t="shared" si="16"/>
        <v>0</v>
      </c>
      <c r="AB183" s="286">
        <f t="shared" si="17"/>
        <v>0</v>
      </c>
    </row>
    <row r="184" spans="1:28" s="18" customFormat="1" ht="127.5" customHeight="1" x14ac:dyDescent="0.3">
      <c r="A184" s="315">
        <f>'Unit Data from Audit Worksheet'!A232</f>
        <v>547</v>
      </c>
      <c r="B184" s="225" t="str">
        <f>'Unit Data from Audit Worksheet'!C232</f>
        <v>OPEB Note</v>
      </c>
      <c r="C184" s="225"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0"/>
      <c r="E184" s="231">
        <f>'Unit Data from Audit Worksheet'!F232</f>
        <v>0</v>
      </c>
      <c r="F184" s="224" t="str">
        <f>IF(L187&lt;1,"Please answer this question","")</f>
        <v>Please answer this question</v>
      </c>
      <c r="G184" s="226"/>
      <c r="H184" s="223"/>
      <c r="I184" s="32"/>
      <c r="J184" s="222">
        <v>547</v>
      </c>
      <c r="K184" s="321" t="s">
        <v>297</v>
      </c>
      <c r="L184" s="289">
        <f t="shared" si="15"/>
        <v>0</v>
      </c>
      <c r="M184"/>
      <c r="P184" s="197"/>
      <c r="Q184" s="279"/>
      <c r="R184" s="3"/>
      <c r="S184" s="3"/>
      <c r="T184" s="3"/>
      <c r="U184" s="3"/>
      <c r="V184" s="3"/>
      <c r="W184" s="3"/>
      <c r="X184" s="552">
        <v>547</v>
      </c>
      <c r="Y184" s="286">
        <v>547</v>
      </c>
      <c r="Z184" s="3"/>
      <c r="AA184" s="386">
        <f t="shared" si="16"/>
        <v>0</v>
      </c>
      <c r="AB184" s="286">
        <f t="shared" si="17"/>
        <v>0</v>
      </c>
    </row>
    <row r="185" spans="1:28" s="18" customFormat="1" ht="99" customHeight="1" x14ac:dyDescent="0.3">
      <c r="A185" s="212">
        <f>'Unit Data from Audit Worksheet'!A233</f>
        <v>659</v>
      </c>
      <c r="B185" s="225" t="str">
        <f>'Unit Data from Audit Worksheet'!C233</f>
        <v>OPEB
 Note or RSI</v>
      </c>
      <c r="C185" s="211" t="str">
        <f>'Unit Data from Audit Worksheet'!D233</f>
        <v>Total OPEB benefits - total OPEB liability
If you do not provide benefit, please enter 0</v>
      </c>
      <c r="D185" s="230"/>
      <c r="E185" s="231">
        <f>'Unit Data from Audit Worksheet'!F233</f>
        <v>0</v>
      </c>
      <c r="F185" s="224">
        <f>IF(L185&lt;0,"Error: Enter as a positive.",)</f>
        <v>0</v>
      </c>
      <c r="G185" s="322" t="s">
        <v>1561</v>
      </c>
      <c r="H185" s="223"/>
      <c r="I185" s="32"/>
      <c r="J185" s="214">
        <v>659</v>
      </c>
      <c r="K185" s="213" t="s">
        <v>418</v>
      </c>
      <c r="L185" s="302">
        <f t="shared" si="15"/>
        <v>0</v>
      </c>
      <c r="M185"/>
      <c r="P185" s="197"/>
      <c r="Q185" s="279"/>
      <c r="R185" s="3"/>
      <c r="S185" s="3"/>
      <c r="T185" s="3"/>
      <c r="U185" s="3"/>
      <c r="V185" s="3"/>
      <c r="W185" s="3"/>
      <c r="X185" s="552">
        <v>659</v>
      </c>
      <c r="Y185" s="286">
        <v>659</v>
      </c>
      <c r="Z185" s="3"/>
      <c r="AA185" s="386">
        <f t="shared" si="16"/>
        <v>0</v>
      </c>
      <c r="AB185" s="286">
        <f t="shared" si="17"/>
        <v>0</v>
      </c>
    </row>
    <row r="186" spans="1:28" s="18" customFormat="1" ht="131.25" customHeight="1" x14ac:dyDescent="0.3">
      <c r="A186" s="212">
        <f>'Unit Data from Audit Worksheet'!A234</f>
        <v>660</v>
      </c>
      <c r="B186" s="225" t="str">
        <f>'Unit Data from Audit Worksheet'!C234</f>
        <v>OPEB
 Note or RSI</v>
      </c>
      <c r="C186" s="211" t="str">
        <f>'Unit Data from Audit Worksheet'!D234</f>
        <v>Total OPEB benefits- OPEB plan fiduciary net position
If no fiduciary net position, enter 0</v>
      </c>
      <c r="D186" s="230"/>
      <c r="E186" s="231">
        <f>'Unit Data from Audit Worksheet'!F234</f>
        <v>0</v>
      </c>
      <c r="F186" s="220">
        <f>IF(L186&lt;0,"Note: Number is normally positive.",)</f>
        <v>0</v>
      </c>
      <c r="G186" s="322" t="s">
        <v>1561</v>
      </c>
      <c r="H186" s="223"/>
      <c r="I186" s="32"/>
      <c r="J186" s="214">
        <v>660</v>
      </c>
      <c r="K186" s="213" t="s">
        <v>419</v>
      </c>
      <c r="L186" s="302">
        <f t="shared" si="15"/>
        <v>0</v>
      </c>
      <c r="M186"/>
      <c r="P186" s="197"/>
      <c r="Q186" s="279"/>
      <c r="R186" s="3"/>
      <c r="S186" s="3"/>
      <c r="T186" s="3"/>
      <c r="U186" s="3"/>
      <c r="V186" s="3"/>
      <c r="W186" s="3"/>
      <c r="X186" s="552">
        <v>660</v>
      </c>
      <c r="Y186" s="286">
        <v>660</v>
      </c>
      <c r="Z186" s="3"/>
      <c r="AA186" s="386">
        <f t="shared" si="16"/>
        <v>0</v>
      </c>
      <c r="AB186" s="286">
        <f t="shared" si="17"/>
        <v>0</v>
      </c>
    </row>
    <row r="187" spans="1:28" ht="134.25" customHeight="1" x14ac:dyDescent="0.3">
      <c r="A187" s="212">
        <f>'Unit Data from Audit Worksheet'!A235</f>
        <v>661</v>
      </c>
      <c r="B187" s="225" t="str">
        <f>'Unit Data from Audit Worksheet'!C235</f>
        <v>OPEB
RSI</v>
      </c>
      <c r="C187" s="211"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10">
        <f>'Unit Data from Audit Worksheet'!F235</f>
        <v>0</v>
      </c>
      <c r="F187" s="224" t="str">
        <f>IF(H187=L187,"","Column L does not equal Column H")</f>
        <v/>
      </c>
      <c r="G187" s="322" t="s">
        <v>1561</v>
      </c>
      <c r="H187" s="160">
        <f>ROUND(IFERROR((L186/L185)*100,0),1)</f>
        <v>0</v>
      </c>
      <c r="I187" s="32"/>
      <c r="J187" s="214">
        <v>661</v>
      </c>
      <c r="K187" s="228" t="s">
        <v>421</v>
      </c>
      <c r="L187" s="732">
        <f>IF(D187="",E187,D187)</f>
        <v>0</v>
      </c>
      <c r="P187" s="197"/>
      <c r="X187" s="552">
        <v>661</v>
      </c>
      <c r="Y187" s="3">
        <v>661</v>
      </c>
      <c r="AA187" s="386">
        <f t="shared" si="16"/>
        <v>0</v>
      </c>
      <c r="AB187" s="286">
        <f t="shared" si="17"/>
        <v>0</v>
      </c>
    </row>
    <row r="188" spans="1:28" ht="65.25" customHeight="1" x14ac:dyDescent="0.3">
      <c r="A188" s="212">
        <f>'Unit Data from Audit Worksheet'!A238</f>
        <v>371</v>
      </c>
      <c r="B188" s="225" t="str">
        <f>'Unit Data from Audit Worksheet'!C238</f>
        <v>Transfer Note</v>
      </c>
      <c r="C188" s="211" t="str">
        <f>'Unit Data from Audit Worksheet'!D238</f>
        <v>Amount of Transfers from the General Fund to the Debt Service Fund (Enter as positive)</v>
      </c>
      <c r="D188" s="230"/>
      <c r="E188" s="231">
        <f>'Unit Data from Audit Worksheet'!F238</f>
        <v>0</v>
      </c>
      <c r="F188" s="224">
        <f>IF(L188&lt;0,"Error: Enter as a positive.",)</f>
        <v>0</v>
      </c>
      <c r="G188" s="226"/>
      <c r="H188" s="223"/>
      <c r="I188" s="32"/>
      <c r="J188" s="33">
        <v>371</v>
      </c>
      <c r="K188" s="221" t="s">
        <v>248</v>
      </c>
      <c r="L188" s="289">
        <f t="shared" si="15"/>
        <v>0</v>
      </c>
      <c r="P188" s="199"/>
      <c r="X188" s="552">
        <v>371</v>
      </c>
      <c r="Y188" s="3">
        <v>371</v>
      </c>
      <c r="AA188" s="386">
        <f t="shared" si="16"/>
        <v>0</v>
      </c>
      <c r="AB188" s="286">
        <f t="shared" si="17"/>
        <v>0</v>
      </c>
    </row>
    <row r="189" spans="1:28" s="386" customFormat="1" ht="65.25" customHeight="1" x14ac:dyDescent="0.3">
      <c r="A189" s="304">
        <f>'Unit Data from Audit Worksheet'!A239</f>
        <v>1075</v>
      </c>
      <c r="B189" s="229" t="str">
        <f>'Unit Data from Audit Worksheet'!C239</f>
        <v>Transfer Note</v>
      </c>
      <c r="C189" s="305" t="str">
        <f>'Unit Data from Audit Worksheet'!D239</f>
        <v>Transfers from General Fund to Water and Sewer Fund.  (Enter as positive)</v>
      </c>
      <c r="D189" s="230"/>
      <c r="E189" s="232">
        <f>'Unit Data from Audit Worksheet'!F239</f>
        <v>0</v>
      </c>
      <c r="F189" s="224"/>
      <c r="G189" s="226"/>
      <c r="H189" s="223"/>
      <c r="I189" s="32"/>
      <c r="J189" s="797">
        <v>1075</v>
      </c>
      <c r="K189" s="118" t="s">
        <v>1657</v>
      </c>
      <c r="L189" s="306">
        <f t="shared" si="15"/>
        <v>0</v>
      </c>
      <c r="M189" s="180"/>
      <c r="P189" s="199"/>
      <c r="Q189" s="279"/>
      <c r="X189" s="552"/>
      <c r="AB189" s="286"/>
    </row>
    <row r="190" spans="1:28" s="386" customFormat="1" ht="65.25" customHeight="1" x14ac:dyDescent="0.3">
      <c r="A190" s="304">
        <f>'Unit Data from Audit Worksheet'!A240</f>
        <v>1076</v>
      </c>
      <c r="B190" s="229" t="str">
        <f>'Unit Data from Audit Worksheet'!C240</f>
        <v>Transfer Note</v>
      </c>
      <c r="C190" s="305" t="str">
        <f>'Unit Data from Audit Worksheet'!D240</f>
        <v>Transfers from Water and Sewer to General Fund.  (Enter as positive)</v>
      </c>
      <c r="D190" s="230"/>
      <c r="E190" s="232">
        <f>'Unit Data from Audit Worksheet'!F240</f>
        <v>0</v>
      </c>
      <c r="F190" s="224"/>
      <c r="G190" s="226"/>
      <c r="H190" s="223"/>
      <c r="I190" s="32"/>
      <c r="J190" s="797">
        <v>1076</v>
      </c>
      <c r="K190" s="118" t="s">
        <v>1658</v>
      </c>
      <c r="L190" s="306">
        <f t="shared" si="15"/>
        <v>0</v>
      </c>
      <c r="M190" s="180"/>
      <c r="P190" s="199"/>
      <c r="Q190" s="279"/>
      <c r="X190" s="552"/>
      <c r="AB190" s="286"/>
    </row>
    <row r="191" spans="1:28" s="386" customFormat="1" ht="65.25" customHeight="1" x14ac:dyDescent="0.3">
      <c r="A191" s="304">
        <f>'Unit Data from Audit Worksheet'!A241</f>
        <v>1077</v>
      </c>
      <c r="B191" s="229" t="str">
        <f>'Unit Data from Audit Worksheet'!C241</f>
        <v>Water and Sewer - Fund Revenue, Expenses &amp; Changes in Fund Net Position or Notes to Financial Statements</v>
      </c>
      <c r="C191" s="305" t="str">
        <f>'Unit Data from Audit Worksheet'!D241</f>
        <v>Amount transferred from the Water and Sewer Fund to a Water and Sewer Capital Project Fund</v>
      </c>
      <c r="D191" s="230"/>
      <c r="E191" s="232">
        <f>'Unit Data from Audit Worksheet'!F241</f>
        <v>0</v>
      </c>
      <c r="F191" s="224"/>
      <c r="G191" s="226"/>
      <c r="H191" s="223"/>
      <c r="I191" s="32"/>
      <c r="J191" s="797">
        <v>1077</v>
      </c>
      <c r="K191" s="118" t="s">
        <v>2880</v>
      </c>
      <c r="L191" s="306">
        <f t="shared" si="15"/>
        <v>0</v>
      </c>
      <c r="M191" s="180"/>
      <c r="P191" s="199"/>
      <c r="Q191" s="279"/>
      <c r="X191" s="552"/>
      <c r="AB191" s="286"/>
    </row>
    <row r="192" spans="1:28" ht="63" customHeight="1" x14ac:dyDescent="0.3">
      <c r="A192" s="212">
        <f>'Unit Data from Audit Worksheet'!A242</f>
        <v>513</v>
      </c>
      <c r="B192" s="225" t="str">
        <f>'Unit Data from Audit Worksheet'!C242</f>
        <v>Transfer Note</v>
      </c>
      <c r="C192" s="211" t="str">
        <f>'Unit Data from Audit Worksheet'!D242</f>
        <v>Amount of Transfers from the General Fund to the Electric Fund  (Enter as positive)</v>
      </c>
      <c r="D192" s="230"/>
      <c r="E192" s="231">
        <f>'Unit Data from Audit Worksheet'!F242</f>
        <v>0</v>
      </c>
      <c r="F192" s="224">
        <f>IF(L192&lt;0,"Error: Enter as a positive.",)</f>
        <v>0</v>
      </c>
      <c r="G192" s="226"/>
      <c r="H192" s="223"/>
      <c r="I192" s="32"/>
      <c r="J192" s="222">
        <v>513</v>
      </c>
      <c r="K192" s="221" t="s">
        <v>249</v>
      </c>
      <c r="L192" s="289">
        <f t="shared" si="15"/>
        <v>0</v>
      </c>
      <c r="P192" s="199"/>
      <c r="X192" s="552">
        <v>513</v>
      </c>
      <c r="Y192" s="3">
        <v>513</v>
      </c>
      <c r="AA192" s="386">
        <f t="shared" si="16"/>
        <v>0</v>
      </c>
      <c r="AB192" s="286">
        <f t="shared" si="17"/>
        <v>0</v>
      </c>
    </row>
    <row r="193" spans="1:28" ht="89.25" customHeight="1" x14ac:dyDescent="0.3">
      <c r="A193" s="212">
        <f>'Unit Data from Audit Worksheet'!A243</f>
        <v>514</v>
      </c>
      <c r="B193" s="225" t="str">
        <f>'Unit Data from Audit Worksheet'!C243</f>
        <v>Transfer Note</v>
      </c>
      <c r="C193" s="211" t="str">
        <f>'Unit Data from Audit Worksheet'!D243</f>
        <v>Amount of Transfers from the Electric Fund to the General Fund  (Enter as positive)
Include:  Payment in Lieu of Taxes (PILOT)</v>
      </c>
      <c r="D193" s="230"/>
      <c r="E193" s="231">
        <f>'Unit Data from Audit Worksheet'!F243</f>
        <v>0</v>
      </c>
      <c r="F193" s="224">
        <f>IF(L193&lt;0,"Error: Enter as a positive.",)</f>
        <v>0</v>
      </c>
      <c r="G193" s="226"/>
      <c r="H193" s="223"/>
      <c r="I193" s="32"/>
      <c r="J193" s="222">
        <v>514</v>
      </c>
      <c r="K193" s="221" t="s">
        <v>250</v>
      </c>
      <c r="L193" s="289">
        <f t="shared" si="15"/>
        <v>0</v>
      </c>
      <c r="P193" s="199"/>
      <c r="X193" s="552">
        <v>514</v>
      </c>
      <c r="Y193" s="3">
        <v>514</v>
      </c>
      <c r="AA193" s="386">
        <f t="shared" si="16"/>
        <v>0</v>
      </c>
      <c r="AB193" s="286">
        <f t="shared" si="17"/>
        <v>0</v>
      </c>
    </row>
    <row r="194" spans="1:28" ht="89.25" customHeight="1" x14ac:dyDescent="0.3">
      <c r="A194" s="212">
        <f>'Unit Data from Audit Worksheet'!A244</f>
        <v>990</v>
      </c>
      <c r="B194" s="225" t="str">
        <f>'Unit Data from Audit Worksheet'!C244</f>
        <v>Transfer Note</v>
      </c>
      <c r="C194" s="211" t="str">
        <f>'Unit Data from Audit Worksheet'!D244</f>
        <v>Amount of transfer out of the Electric to the General Fund that is for Payment in Lieu of Taxes (PILOT)</v>
      </c>
      <c r="D194" s="230"/>
      <c r="E194" s="231">
        <f>'Unit Data from Audit Worksheet'!F244</f>
        <v>0</v>
      </c>
      <c r="F194" s="224"/>
      <c r="G194" s="226"/>
      <c r="H194" s="223"/>
      <c r="I194" s="32"/>
      <c r="J194" s="222">
        <v>990</v>
      </c>
      <c r="K194" s="221" t="s">
        <v>583</v>
      </c>
      <c r="L194" s="289">
        <f t="shared" si="15"/>
        <v>0</v>
      </c>
      <c r="P194" s="199"/>
      <c r="X194" s="552">
        <v>990</v>
      </c>
      <c r="Y194" s="3">
        <v>990</v>
      </c>
      <c r="AA194" s="386">
        <f t="shared" si="16"/>
        <v>0</v>
      </c>
      <c r="AB194" s="286">
        <f t="shared" si="17"/>
        <v>0</v>
      </c>
    </row>
    <row r="195" spans="1:28" s="386" customFormat="1" ht="89.25" customHeight="1" x14ac:dyDescent="0.3">
      <c r="A195" s="212">
        <f>'Unit Data from Audit Worksheet'!A245</f>
        <v>1051</v>
      </c>
      <c r="B195" s="225" t="str">
        <f>'Unit Data from Audit Worksheet'!C245</f>
        <v>Electric Fund Revenue, Expenses &amp; Changes in Fund Net Position or Notes to Financial Statements</v>
      </c>
      <c r="C195" s="211" t="str">
        <f>'Unit Data from Audit Worksheet'!D245</f>
        <v>Transfers to Electric Capital Projects</v>
      </c>
      <c r="D195" s="230"/>
      <c r="E195" s="231">
        <f>'Unit Data from Audit Worksheet'!F245</f>
        <v>0</v>
      </c>
      <c r="F195" s="224"/>
      <c r="G195" s="226"/>
      <c r="H195" s="223"/>
      <c r="I195" s="32"/>
      <c r="J195" s="222">
        <v>1051</v>
      </c>
      <c r="K195" s="221" t="s">
        <v>1504</v>
      </c>
      <c r="L195" s="295">
        <f t="shared" si="15"/>
        <v>0</v>
      </c>
      <c r="M195"/>
      <c r="P195" s="199"/>
      <c r="Q195" s="279"/>
      <c r="X195" s="552"/>
      <c r="AB195" s="286"/>
    </row>
    <row r="196" spans="1:28" ht="84.75" customHeight="1" x14ac:dyDescent="0.3">
      <c r="A196" s="323">
        <f>'Unit Data from Audit Worksheet'!A247</f>
        <v>6</v>
      </c>
      <c r="B196" s="47" t="str">
        <f>'Unit Data from Audit Worksheet'!C247</f>
        <v>Fund Balance Note</v>
      </c>
      <c r="C196" s="298" t="str">
        <f>'Unit Data from Audit Worksheet'!D247</f>
        <v>General Fund -  Total Encumbrances.  You will probably have to refer to the note disclosure where the amount of encumbrances is listed.</v>
      </c>
      <c r="D196" s="230"/>
      <c r="E196" s="144">
        <f>'Unit Data from Audit Worksheet'!F247</f>
        <v>0</v>
      </c>
      <c r="F196" s="31">
        <f>IF(L196&lt;0,"Error: Enter as a positive.",)</f>
        <v>0</v>
      </c>
      <c r="G196" s="66"/>
      <c r="H196" s="223"/>
      <c r="I196" s="32"/>
      <c r="J196" s="35">
        <v>6</v>
      </c>
      <c r="K196" s="125" t="s">
        <v>251</v>
      </c>
      <c r="L196" s="289">
        <f t="shared" si="15"/>
        <v>0</v>
      </c>
      <c r="P196" s="199"/>
      <c r="X196" s="552">
        <v>6</v>
      </c>
      <c r="Y196" s="3">
        <v>6</v>
      </c>
      <c r="AA196" s="386">
        <f t="shared" si="16"/>
        <v>0</v>
      </c>
      <c r="AB196" s="286">
        <f t="shared" si="17"/>
        <v>0</v>
      </c>
    </row>
    <row r="197" spans="1:28" ht="117.75" customHeight="1" x14ac:dyDescent="0.3">
      <c r="A197" s="212">
        <f>'Unit Data from Audit Worksheet'!A249</f>
        <v>541</v>
      </c>
      <c r="B197" s="225" t="str">
        <f>'Unit Data from Audit Worksheet'!C249</f>
        <v>Water Sewer - Budget Actual Statement</v>
      </c>
      <c r="C197" s="225"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30"/>
      <c r="E197" s="231">
        <f>'Unit Data from Audit Worksheet'!F249</f>
        <v>0</v>
      </c>
      <c r="F197" s="224"/>
      <c r="G197" s="226"/>
      <c r="H197" s="223"/>
      <c r="I197" s="32"/>
      <c r="J197" s="222">
        <v>541</v>
      </c>
      <c r="K197" s="81" t="s">
        <v>310</v>
      </c>
      <c r="L197" s="289">
        <f t="shared" si="15"/>
        <v>0</v>
      </c>
      <c r="P197" s="199"/>
      <c r="X197" s="552">
        <v>541</v>
      </c>
      <c r="Y197" s="3">
        <v>541</v>
      </c>
      <c r="AA197" s="386">
        <f t="shared" si="16"/>
        <v>0</v>
      </c>
      <c r="AB197" s="286">
        <f t="shared" si="17"/>
        <v>0</v>
      </c>
    </row>
    <row r="198" spans="1:28" ht="94.5" customHeight="1" x14ac:dyDescent="0.3">
      <c r="A198" s="212">
        <f>'Unit Data from Audit Worksheet'!A251</f>
        <v>542</v>
      </c>
      <c r="B198" s="225" t="str">
        <f>'Unit Data from Audit Worksheet'!C251</f>
        <v>Water Sewer - Disclosed in the Notes or in the recently approved Budget for next year.</v>
      </c>
      <c r="C198" s="211" t="str">
        <f>'Unit Data from Audit Worksheet'!D251</f>
        <v>Amount of the Water Sewer Fund Balance appropriated in next year's budget?</v>
      </c>
      <c r="D198" s="230"/>
      <c r="E198" s="231">
        <f>'Unit Data from Audit Worksheet'!F251</f>
        <v>0</v>
      </c>
      <c r="F198" s="224"/>
      <c r="G198" s="226"/>
      <c r="H198" s="223"/>
      <c r="I198" s="32"/>
      <c r="J198" s="222">
        <v>542</v>
      </c>
      <c r="K198" s="221" t="s">
        <v>252</v>
      </c>
      <c r="L198" s="289">
        <f t="shared" si="15"/>
        <v>0</v>
      </c>
      <c r="N198" s="54" t="s">
        <v>301</v>
      </c>
      <c r="P198" s="199"/>
      <c r="X198" s="552">
        <v>542</v>
      </c>
      <c r="Y198" s="3">
        <v>542</v>
      </c>
      <c r="AA198" s="386">
        <f t="shared" si="16"/>
        <v>0</v>
      </c>
      <c r="AB198" s="286">
        <f t="shared" si="17"/>
        <v>0</v>
      </c>
    </row>
    <row r="199" spans="1:28" ht="93.75" customHeight="1" x14ac:dyDescent="0.3">
      <c r="A199" s="212">
        <f>'Unit Data from Audit Worksheet'!A254</f>
        <v>528</v>
      </c>
      <c r="B199" s="225" t="str">
        <f>'Unit Data from Audit Worksheet'!C254</f>
        <v>Analysis of Current Tax Levy Schedule</v>
      </c>
      <c r="C199" s="211" t="str">
        <f>'Unit Data from Audit Worksheet'!D254</f>
        <v>Please enter the Net Current year's levy for property excluding registered motor vehicles-- (after adjusting for discoveries and abatements) - 
Exclude Supplemental Taxes</v>
      </c>
      <c r="D199" s="230"/>
      <c r="E199" s="231">
        <f>'Unit Data from Audit Worksheet'!F254</f>
        <v>0</v>
      </c>
      <c r="F199" s="75" t="str">
        <f>IF(L199=0,"Must be completed if unit levys taxes","")</f>
        <v>Must be completed if unit levys taxes</v>
      </c>
      <c r="G199" s="226"/>
      <c r="H199" s="223"/>
      <c r="I199" s="32"/>
      <c r="J199" s="222">
        <v>528</v>
      </c>
      <c r="K199" s="324" t="s">
        <v>257</v>
      </c>
      <c r="L199" s="289">
        <f t="shared" si="15"/>
        <v>0</v>
      </c>
      <c r="N199" s="76"/>
      <c r="P199" s="199"/>
      <c r="X199" s="552">
        <v>528</v>
      </c>
      <c r="Y199" s="3">
        <v>528</v>
      </c>
      <c r="AA199" s="386">
        <f t="shared" si="16"/>
        <v>0</v>
      </c>
      <c r="AB199" s="286">
        <f t="shared" si="17"/>
        <v>0</v>
      </c>
    </row>
    <row r="200" spans="1:28" s="18" customFormat="1" ht="79.5" customHeight="1" x14ac:dyDescent="0.3">
      <c r="A200" s="212">
        <f>'Unit Data from Audit Worksheet'!A255</f>
        <v>529</v>
      </c>
      <c r="B200" s="225" t="str">
        <f>'Unit Data from Audit Worksheet'!C255</f>
        <v>Analysis of Current Tax Levy Schedule</v>
      </c>
      <c r="C200" s="211" t="str">
        <f>'Unit Data from Audit Worksheet'!D255</f>
        <v>Please enter the Net Current year's levy -- Motor vehicles (only) (after adjusting for discoveries and abatements)
Exclude supplemental taxes</v>
      </c>
      <c r="D200" s="230"/>
      <c r="E200" s="231">
        <f>'Unit Data from Audit Worksheet'!F255</f>
        <v>0</v>
      </c>
      <c r="F200" s="75" t="str">
        <f>IF(L200=0,"Must be completed if unit levys taxes","")</f>
        <v>Must be completed if unit levys taxes</v>
      </c>
      <c r="G200" s="226"/>
      <c r="H200" s="223"/>
      <c r="I200" s="32"/>
      <c r="J200" s="222">
        <v>529</v>
      </c>
      <c r="K200" s="324" t="s">
        <v>258</v>
      </c>
      <c r="L200" s="289">
        <f t="shared" si="15"/>
        <v>0</v>
      </c>
      <c r="M200"/>
      <c r="N200" s="76"/>
      <c r="P200" s="199"/>
      <c r="Q200" s="279"/>
      <c r="R200" s="3"/>
      <c r="S200" s="3"/>
      <c r="T200" s="3"/>
      <c r="U200" s="3"/>
      <c r="V200" s="3"/>
      <c r="W200" s="3"/>
      <c r="X200" s="552">
        <v>529</v>
      </c>
      <c r="Y200" s="3">
        <v>529</v>
      </c>
      <c r="Z200" s="3"/>
      <c r="AA200" s="386">
        <f t="shared" si="16"/>
        <v>0</v>
      </c>
      <c r="AB200" s="286">
        <f t="shared" si="17"/>
        <v>0</v>
      </c>
    </row>
    <row r="201" spans="1:28" s="18" customFormat="1" ht="75" customHeight="1" x14ac:dyDescent="0.3">
      <c r="A201" s="212">
        <f>'Unit Data from Audit Worksheet'!A256</f>
        <v>530</v>
      </c>
      <c r="B201" s="225" t="str">
        <f>'Unit Data from Audit Worksheet'!C256</f>
        <v>Analysis of Current Tax Levy Schedule</v>
      </c>
      <c r="C201" s="211" t="str">
        <f>'Unit Data from Audit Worksheet'!D256</f>
        <v>Uncollected Taxes - Curr Year's Levy Exclude Motor Vehicles
Exclude supplemental taxes</v>
      </c>
      <c r="D201" s="230"/>
      <c r="E201" s="231">
        <f>'Unit Data from Audit Worksheet'!F256</f>
        <v>0</v>
      </c>
      <c r="F201" s="75" t="str">
        <f>IF(L201=0,"Must be completed if unit levys taxes","")</f>
        <v>Must be completed if unit levys taxes</v>
      </c>
      <c r="G201" s="226"/>
      <c r="H201" s="223"/>
      <c r="I201" s="32"/>
      <c r="J201" s="222">
        <v>530</v>
      </c>
      <c r="K201" s="324" t="s">
        <v>259</v>
      </c>
      <c r="L201" s="289">
        <f t="shared" ref="L201:L207" si="18">IF(D201="",E201,D201)</f>
        <v>0</v>
      </c>
      <c r="M201"/>
      <c r="N201" s="76"/>
      <c r="P201" s="199"/>
      <c r="Q201" s="279"/>
      <c r="R201" s="3"/>
      <c r="S201" s="3"/>
      <c r="T201" s="3"/>
      <c r="U201" s="3"/>
      <c r="V201" s="3"/>
      <c r="W201" s="3"/>
      <c r="X201" s="552">
        <v>530</v>
      </c>
      <c r="Y201" s="3">
        <v>530</v>
      </c>
      <c r="Z201" s="3"/>
      <c r="AA201" s="386">
        <f t="shared" si="16"/>
        <v>0</v>
      </c>
      <c r="AB201" s="286">
        <f t="shared" si="17"/>
        <v>0</v>
      </c>
    </row>
    <row r="202" spans="1:28" s="18" customFormat="1" ht="68.25" customHeight="1" x14ac:dyDescent="0.3">
      <c r="A202" s="212">
        <f>'Unit Data from Audit Worksheet'!A257</f>
        <v>531</v>
      </c>
      <c r="B202" s="225" t="str">
        <f>'Unit Data from Audit Worksheet'!C257</f>
        <v>Analysis of Current Tax Levy Schedule</v>
      </c>
      <c r="C202" s="211" t="str">
        <f>'Unit Data from Audit Worksheet'!D257</f>
        <v>Uncollected Taxes - Curr Year's Levy Motor Vehicles
Exclude supplemental taxes</v>
      </c>
      <c r="D202" s="230"/>
      <c r="E202" s="231">
        <f>'Unit Data from Audit Worksheet'!F257</f>
        <v>0</v>
      </c>
      <c r="F202" s="75"/>
      <c r="G202" s="226"/>
      <c r="H202" s="223"/>
      <c r="I202" s="32"/>
      <c r="J202" s="222">
        <v>531</v>
      </c>
      <c r="K202" s="324" t="s">
        <v>260</v>
      </c>
      <c r="L202" s="289">
        <f t="shared" si="18"/>
        <v>0</v>
      </c>
      <c r="M202"/>
      <c r="N202" s="76" t="str">
        <f>IF(T183=0,"Must be completed if unit levys taxes, zero acceptable if Motor Vehicle collection rate is 100%","")</f>
        <v>Must be completed if unit levys taxes, zero acceptable if Motor Vehicle collection rate is 100%</v>
      </c>
      <c r="P202" s="199"/>
      <c r="Q202" s="279"/>
      <c r="R202" s="3"/>
      <c r="S202" s="3"/>
      <c r="T202" s="3"/>
      <c r="U202" s="3"/>
      <c r="V202" s="3"/>
      <c r="W202" s="3"/>
      <c r="X202" s="552">
        <v>531</v>
      </c>
      <c r="Y202" s="3">
        <v>531</v>
      </c>
      <c r="Z202" s="3"/>
      <c r="AA202" s="386">
        <f t="shared" si="16"/>
        <v>0</v>
      </c>
      <c r="AB202" s="286">
        <f t="shared" si="17"/>
        <v>0</v>
      </c>
    </row>
    <row r="203" spans="1:28" ht="90.75" customHeight="1" x14ac:dyDescent="0.3">
      <c r="A203" s="212">
        <f>'Unit Data from Audit Worksheet'!A258</f>
        <v>61</v>
      </c>
      <c r="B203" s="225" t="str">
        <f>'Unit Data from Audit Worksheet'!C258</f>
        <v>Analysis of Current Tax Levy Schedule</v>
      </c>
      <c r="C203" s="211"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6" t="str">
        <f>IF(Q180=1," Included in error count"," ")</f>
        <v xml:space="preserve"> </v>
      </c>
      <c r="H203" s="226">
        <f>ROUND(IFERROR(((L199+L200)-(L201+L202))/(L199+L200)*100,0),2)</f>
        <v>0</v>
      </c>
      <c r="I203" s="32"/>
      <c r="J203" s="222">
        <v>61</v>
      </c>
      <c r="K203" s="52" t="s">
        <v>254</v>
      </c>
      <c r="L203" s="733">
        <f t="shared" si="18"/>
        <v>0</v>
      </c>
      <c r="N203" s="76"/>
      <c r="P203" s="199"/>
      <c r="X203" s="552">
        <v>61</v>
      </c>
      <c r="Y203" s="3">
        <v>61</v>
      </c>
      <c r="AA203" s="386">
        <f t="shared" si="16"/>
        <v>0</v>
      </c>
      <c r="AB203" s="286">
        <f t="shared" si="17"/>
        <v>0</v>
      </c>
    </row>
    <row r="204" spans="1:28" ht="89.25" customHeight="1" x14ac:dyDescent="0.3">
      <c r="A204" s="212">
        <f>'Unit Data from Audit Worksheet'!A259</f>
        <v>102</v>
      </c>
      <c r="B204" s="225" t="str">
        <f>'Unit Data from Audit Worksheet'!C259</f>
        <v>Analysis of Current Tax Levy Schedule</v>
      </c>
      <c r="C204" s="211"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6" t="str">
        <f>IF(Q181=1," Included in error count"," ")</f>
        <v xml:space="preserve"> </v>
      </c>
      <c r="H204" s="226">
        <f>ROUND(IFERROR(((L199)-(L201))/(L199)*100,0),2)</f>
        <v>0</v>
      </c>
      <c r="I204" s="32"/>
      <c r="J204" s="222">
        <v>102</v>
      </c>
      <c r="K204" s="52" t="s">
        <v>255</v>
      </c>
      <c r="L204" s="733">
        <f t="shared" si="18"/>
        <v>0</v>
      </c>
      <c r="N204" s="76"/>
      <c r="P204" s="199"/>
      <c r="X204" s="552">
        <v>102</v>
      </c>
      <c r="Y204" s="3">
        <v>102</v>
      </c>
      <c r="AA204" s="386">
        <f t="shared" si="16"/>
        <v>0</v>
      </c>
      <c r="AB204" s="286">
        <f t="shared" si="17"/>
        <v>0</v>
      </c>
    </row>
    <row r="205" spans="1:28" ht="87.75" customHeight="1" x14ac:dyDescent="0.3">
      <c r="A205" s="212">
        <f>'Unit Data from Audit Worksheet'!A260</f>
        <v>103</v>
      </c>
      <c r="B205" s="225" t="str">
        <f>'Unit Data from Audit Worksheet'!C260</f>
        <v>Analysis of Current Tax Levy Schedule</v>
      </c>
      <c r="C205" s="211"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6" t="str">
        <f>IF(Q182=1," Included in error count"," ")</f>
        <v xml:space="preserve"> </v>
      </c>
      <c r="H205" s="226">
        <f>ROUND(IFERROR(((L200)-(L202))/(L200)*100,0),2)</f>
        <v>0</v>
      </c>
      <c r="I205" s="32"/>
      <c r="J205" s="222">
        <v>103</v>
      </c>
      <c r="K205" s="52" t="s">
        <v>256</v>
      </c>
      <c r="L205" s="733">
        <f t="shared" si="18"/>
        <v>0</v>
      </c>
      <c r="N205" s="76"/>
      <c r="P205" s="199"/>
      <c r="X205" s="552">
        <v>103</v>
      </c>
      <c r="Y205" s="3">
        <v>103</v>
      </c>
      <c r="AA205" s="386">
        <f t="shared" si="16"/>
        <v>0</v>
      </c>
      <c r="AB205" s="286">
        <f t="shared" si="17"/>
        <v>0</v>
      </c>
    </row>
    <row r="206" spans="1:28" ht="86.25" customHeight="1" x14ac:dyDescent="0.3">
      <c r="A206" s="212">
        <f>'Unit Data from Audit Worksheet'!A261</f>
        <v>544</v>
      </c>
      <c r="B206" s="225" t="str">
        <f>'Unit Data from Audit Worksheet'!C261</f>
        <v>Analysis of Current Tax Levy Schedule</v>
      </c>
      <c r="C206" s="211" t="str">
        <f>'Unit Data from Audit Worksheet'!D261</f>
        <v>Property Tax Increase for Year Audited- enter amount of  increase in cents per $100 - leave blank if no increase 
Exclude supplemental taxes</v>
      </c>
      <c r="D206" s="230"/>
      <c r="E206" s="138">
        <f>'Unit Data from Audit Worksheet'!F261</f>
        <v>0</v>
      </c>
      <c r="F206" s="96"/>
      <c r="G206" s="226"/>
      <c r="H206" s="223">
        <f>'Unit Data from Audit Worksheet'!I261</f>
        <v>0</v>
      </c>
      <c r="I206" s="32"/>
      <c r="J206" s="222">
        <v>544</v>
      </c>
      <c r="K206" s="52" t="s">
        <v>52</v>
      </c>
      <c r="L206" s="325">
        <f t="shared" si="18"/>
        <v>0</v>
      </c>
      <c r="N206" s="54" t="s">
        <v>301</v>
      </c>
      <c r="P206" s="199"/>
      <c r="X206" s="552">
        <v>544</v>
      </c>
      <c r="Y206" s="3">
        <v>544</v>
      </c>
      <c r="AA206" s="386">
        <f t="shared" si="16"/>
        <v>0</v>
      </c>
      <c r="AB206" s="286">
        <f t="shared" si="17"/>
        <v>0</v>
      </c>
    </row>
    <row r="207" spans="1:28" ht="93.75" customHeight="1" x14ac:dyDescent="0.3">
      <c r="A207" s="212">
        <f>'Unit Data from Audit Worksheet'!A262</f>
        <v>545</v>
      </c>
      <c r="B207" s="225" t="str">
        <f>'Unit Data from Audit Worksheet'!C262</f>
        <v>Analysis of Current Tax Levy Schedule</v>
      </c>
      <c r="C207" s="211" t="str">
        <f>'Unit Data from Audit Worksheet'!D262</f>
        <v>Property Tax Increase for budget year after fiscal year being reported - enter amount of increase in cents per $100- leave blank if no increase
Exclude supplemental taxes</v>
      </c>
      <c r="D207" s="230"/>
      <c r="E207" s="138">
        <f>'Unit Data from Audit Worksheet'!F262</f>
        <v>0</v>
      </c>
      <c r="F207" s="224"/>
      <c r="G207" s="226"/>
      <c r="H207" s="223">
        <f>'Unit Data from Audit Worksheet'!I262</f>
        <v>0</v>
      </c>
      <c r="I207" s="32"/>
      <c r="J207" s="97">
        <v>545</v>
      </c>
      <c r="K207" s="52" t="s">
        <v>53</v>
      </c>
      <c r="L207" s="325">
        <f t="shared" si="18"/>
        <v>0</v>
      </c>
      <c r="N207" s="54" t="s">
        <v>301</v>
      </c>
      <c r="O207" s="297"/>
      <c r="P207" s="199"/>
      <c r="X207" s="552">
        <v>545</v>
      </c>
      <c r="Y207" s="3">
        <v>545</v>
      </c>
      <c r="AA207" s="386">
        <f t="shared" si="16"/>
        <v>0</v>
      </c>
      <c r="AB207" s="286">
        <f t="shared" si="17"/>
        <v>0</v>
      </c>
    </row>
    <row r="208" spans="1:28" ht="72.75" customHeight="1" x14ac:dyDescent="0.3">
      <c r="A208" s="212">
        <f>'Unit Data from Audit Worksheet'!A263</f>
        <v>624</v>
      </c>
      <c r="B208" s="225"/>
      <c r="C208" s="211" t="str">
        <f>'Unit Data from Audit Worksheet'!D263</f>
        <v>Does the County collect real estate property taxes on your behalf? Select "1" for "yes and "2" for "No"</v>
      </c>
      <c r="D208" s="230"/>
      <c r="E208" s="146">
        <f>'Unit Data from Audit Worksheet'!F263</f>
        <v>0</v>
      </c>
      <c r="F208" s="224"/>
      <c r="G208" s="226"/>
      <c r="H208" s="223"/>
      <c r="I208" s="32"/>
      <c r="J208" s="97">
        <v>624</v>
      </c>
      <c r="K208" s="52" t="s">
        <v>358</v>
      </c>
      <c r="L208" s="289">
        <f t="shared" ref="L208:L226" si="19">IF(D208="",E208,D208)</f>
        <v>0</v>
      </c>
      <c r="P208" s="199"/>
      <c r="X208" s="552">
        <v>624</v>
      </c>
      <c r="Y208" s="3">
        <v>624</v>
      </c>
      <c r="AA208" s="386">
        <f t="shared" si="16"/>
        <v>0</v>
      </c>
      <c r="AB208" s="286">
        <f t="shared" si="17"/>
        <v>0</v>
      </c>
    </row>
    <row r="209" spans="1:28" ht="72.75" customHeight="1" x14ac:dyDescent="0.3">
      <c r="A209" s="212">
        <f>'Unit Data from Audit Worksheet'!A264</f>
        <v>648</v>
      </c>
      <c r="B209" s="225"/>
      <c r="C209" s="211" t="str">
        <f>'Unit Data from Audit Worksheet'!D264</f>
        <v>Please enter your tax rate for ad valorem in effect for fiscal year audited.  Example 60 cents per 100 would be entered as .60</v>
      </c>
      <c r="D209" s="230"/>
      <c r="E209" s="138">
        <f>'Unit Data from Audit Worksheet'!F264</f>
        <v>0</v>
      </c>
      <c r="F209" s="224"/>
      <c r="G209" s="226"/>
      <c r="H209" s="223"/>
      <c r="I209" s="32"/>
      <c r="J209" s="97">
        <v>648</v>
      </c>
      <c r="K209" s="326" t="s">
        <v>608</v>
      </c>
      <c r="L209" s="734">
        <f t="shared" si="19"/>
        <v>0</v>
      </c>
      <c r="P209" s="199"/>
      <c r="X209" s="552">
        <v>648</v>
      </c>
      <c r="Y209" s="3">
        <v>648</v>
      </c>
      <c r="AA209" s="386">
        <f t="shared" si="16"/>
        <v>0</v>
      </c>
      <c r="AB209" s="286">
        <f t="shared" si="17"/>
        <v>0</v>
      </c>
    </row>
    <row r="210" spans="1:28" ht="161.25" customHeight="1" x14ac:dyDescent="0.3">
      <c r="A210" s="212">
        <f>'Unit Data from Audit Worksheet'!A265</f>
        <v>991</v>
      </c>
      <c r="B210" s="225"/>
      <c r="C210" s="211" t="str">
        <f>'Unit Data from Audit Worksheet'!D265</f>
        <v>The Counties listed in cell H260 and municipalities within these counties are scheduled to revalue property listing by 1/1/2024 according to the Dept. of Revenue records.  Please indicate if you expect your revaluation to: 
Enter  "20" for increase, 
            "21" for decrease, 
            "22" for no change,
            "23" if this question is not applicable
Select from drop list.</v>
      </c>
      <c r="D210" s="230"/>
      <c r="E210" s="146">
        <f>'Unit Data from Audit Worksheet'!F265</f>
        <v>0</v>
      </c>
      <c r="F210" s="224"/>
      <c r="G210" s="226"/>
      <c r="H210" s="223" t="str">
        <f>'Unit Data from Audit Worksheet'!H265</f>
        <v>Cabarrus, Carteret, Edgecome, Franklin, Granville, Halifax, Nash, Perquimans, Pitt, Richmond, Roberson, Rockingham, Vance, Wake, Wilson, Yancey</v>
      </c>
      <c r="I210" s="32"/>
      <c r="J210" s="97">
        <v>991</v>
      </c>
      <c r="K210" s="52" t="s">
        <v>874</v>
      </c>
      <c r="L210" s="289">
        <f t="shared" si="19"/>
        <v>0</v>
      </c>
      <c r="P210" s="199"/>
      <c r="X210" s="552">
        <v>991</v>
      </c>
      <c r="Y210" s="3">
        <v>991</v>
      </c>
      <c r="AA210" s="386">
        <f t="shared" ref="AA210:AA260" si="20">A210-J210</f>
        <v>0</v>
      </c>
      <c r="AB210" s="286">
        <f t="shared" ref="AB210:AB246" si="21">E210-L210</f>
        <v>0</v>
      </c>
    </row>
    <row r="211" spans="1:28" ht="87.75" customHeight="1" x14ac:dyDescent="0.3">
      <c r="A211" s="212">
        <f>'Unit Data from Audit Worksheet'!A267</f>
        <v>620</v>
      </c>
      <c r="B211" s="225"/>
      <c r="C211" s="211" t="str">
        <f>'Unit Data from Audit Worksheet'!D267</f>
        <v>Do you expect to issue debt requiring LGC approval within 12 months from the date that the audit is submitted - select "1" for yes and "2" for no</v>
      </c>
      <c r="D211" s="230"/>
      <c r="E211" s="146">
        <f>'Unit Data from Audit Worksheet'!F267</f>
        <v>0</v>
      </c>
      <c r="F211" s="224"/>
      <c r="G211" s="226"/>
      <c r="H211" s="223">
        <f>'Unit Data from Audit Worksheet'!I267</f>
        <v>0</v>
      </c>
      <c r="I211" s="32"/>
      <c r="J211" s="97">
        <v>620</v>
      </c>
      <c r="K211" s="52" t="s">
        <v>603</v>
      </c>
      <c r="L211" s="289">
        <f t="shared" si="19"/>
        <v>0</v>
      </c>
      <c r="N211" s="128"/>
      <c r="P211" s="199"/>
      <c r="X211" s="552">
        <v>620</v>
      </c>
      <c r="Y211" s="3">
        <v>620</v>
      </c>
      <c r="AA211" s="386">
        <f t="shared" si="20"/>
        <v>0</v>
      </c>
      <c r="AB211" s="286">
        <f t="shared" si="21"/>
        <v>0</v>
      </c>
    </row>
    <row r="212" spans="1:28" ht="87.75" customHeight="1" x14ac:dyDescent="0.3">
      <c r="A212" s="212">
        <f>'TD Info Completed by Auditor'!A11</f>
        <v>906</v>
      </c>
      <c r="B212" s="124" t="s">
        <v>600</v>
      </c>
      <c r="C212" s="212" t="str">
        <f>'TD Info Completed by Auditor'!B11</f>
        <v>Is the Independent Auditor's Report Opinion Unmodified?</v>
      </c>
      <c r="D212" s="230"/>
      <c r="E212" s="214">
        <f>IF(+'TD Info Completed by Auditor'!C11="Yes",1,IF(+'TD Info Completed by Auditor'!C11="No",2,IF(+'TD Info Completed by Auditor'!C11="N/A",3,0)))</f>
        <v>0</v>
      </c>
      <c r="F212" s="224"/>
      <c r="G212" s="226"/>
      <c r="H212" s="223"/>
      <c r="I212" s="32"/>
      <c r="J212" s="182">
        <v>906</v>
      </c>
      <c r="K212" s="52" t="s">
        <v>472</v>
      </c>
      <c r="L212" s="295">
        <f t="shared" si="19"/>
        <v>0</v>
      </c>
      <c r="N212" s="246" t="s">
        <v>657</v>
      </c>
      <c r="P212" s="195"/>
      <c r="X212" s="286" t="e">
        <v>#N/A</v>
      </c>
      <c r="AA212" s="386">
        <f t="shared" si="20"/>
        <v>0</v>
      </c>
      <c r="AB212" s="286">
        <f t="shared" si="21"/>
        <v>0</v>
      </c>
    </row>
    <row r="213" spans="1:28" ht="87.75" customHeight="1" x14ac:dyDescent="0.3">
      <c r="A213" s="212">
        <f>'TD Info Completed by Auditor'!A12</f>
        <v>907</v>
      </c>
      <c r="B213" s="124" t="s">
        <v>600</v>
      </c>
      <c r="C213" s="212" t="str">
        <f>'TD Info Completed by Auditor'!B12</f>
        <v xml:space="preserve">Is there a finding for lack of segregation of duties at this unit? </v>
      </c>
      <c r="D213" s="230"/>
      <c r="E213" s="214">
        <f>IF(+'TD Info Completed by Auditor'!C12="Yes",1,IF(+'TD Info Completed by Auditor'!C12="No",2,IF(+'TD Info Completed by Auditor'!C12="N/A",3,0)))</f>
        <v>0</v>
      </c>
      <c r="F213" s="224"/>
      <c r="G213" s="226"/>
      <c r="H213" s="223"/>
      <c r="I213" s="32"/>
      <c r="J213" s="182">
        <v>907</v>
      </c>
      <c r="K213" s="52" t="s">
        <v>473</v>
      </c>
      <c r="L213" s="295">
        <f t="shared" si="19"/>
        <v>0</v>
      </c>
      <c r="N213" s="246" t="s">
        <v>657</v>
      </c>
      <c r="P213" s="196"/>
      <c r="X213" s="286" t="e">
        <v>#N/A</v>
      </c>
      <c r="Y213" s="386"/>
      <c r="AA213" s="386">
        <f t="shared" si="20"/>
        <v>0</v>
      </c>
      <c r="AB213" s="286">
        <f t="shared" si="21"/>
        <v>0</v>
      </c>
    </row>
    <row r="214" spans="1:28" s="386" customFormat="1" ht="87.75" customHeight="1" x14ac:dyDescent="0.3">
      <c r="A214" s="212">
        <f>'TD Info Completed by Auditor'!A13</f>
        <v>1055</v>
      </c>
      <c r="B214" s="124"/>
      <c r="C214" s="212" t="str">
        <f>'TD Info Completed by Auditor'!B13</f>
        <v xml:space="preserve"> Did your audit disclose bank reconciliations or subsidiary ledger reconciliations not performed timely? (Yes or No)</v>
      </c>
      <c r="D214" s="230"/>
      <c r="E214" s="214">
        <f>IF(+'TD Info Completed by Auditor'!C13="Yes",1,IF(+'TD Info Completed by Auditor'!C13="No",2,IF(+'TD Info Completed by Auditor'!C13="N/A",3,0)))</f>
        <v>0</v>
      </c>
      <c r="F214" s="224"/>
      <c r="G214" s="226"/>
      <c r="H214" s="223"/>
      <c r="I214" s="32"/>
      <c r="J214" s="182">
        <v>1055</v>
      </c>
      <c r="K214" s="212" t="s">
        <v>1602</v>
      </c>
      <c r="L214" s="295">
        <f t="shared" si="19"/>
        <v>0</v>
      </c>
      <c r="M214"/>
      <c r="N214" s="246" t="s">
        <v>657</v>
      </c>
      <c r="P214" s="197"/>
      <c r="Q214" s="279"/>
      <c r="X214" s="286"/>
      <c r="AA214" s="386">
        <f t="shared" si="20"/>
        <v>0</v>
      </c>
      <c r="AB214" s="286"/>
    </row>
    <row r="215" spans="1:28" s="386" customFormat="1" ht="87.75" customHeight="1" x14ac:dyDescent="0.3">
      <c r="A215" s="212">
        <f>'TD Info Completed by Auditor'!A14</f>
        <v>1056</v>
      </c>
      <c r="B215" s="124"/>
      <c r="C215" s="212" t="str">
        <f>'TD Info Completed by Auditor'!B14</f>
        <v>Did your audit disclose as a finding that the unit’s records were not completed by the agreed upon time? (Yes or No)</v>
      </c>
      <c r="D215" s="230"/>
      <c r="E215" s="214">
        <f>IF(+'TD Info Completed by Auditor'!C14="Yes",1,IF(+'TD Info Completed by Auditor'!C14="No",2,IF(+'TD Info Completed by Auditor'!C14="N/A",3,0)))</f>
        <v>0</v>
      </c>
      <c r="F215" s="224"/>
      <c r="G215" s="226"/>
      <c r="H215" s="223"/>
      <c r="I215" s="32"/>
      <c r="J215" s="182">
        <v>1056</v>
      </c>
      <c r="K215" s="212" t="s">
        <v>1603</v>
      </c>
      <c r="L215" s="295">
        <f t="shared" si="19"/>
        <v>0</v>
      </c>
      <c r="M215"/>
      <c r="N215" s="246" t="s">
        <v>657</v>
      </c>
      <c r="P215" s="197"/>
      <c r="Q215" s="279"/>
      <c r="X215" s="286"/>
      <c r="AA215" s="386">
        <f t="shared" si="20"/>
        <v>0</v>
      </c>
      <c r="AB215" s="286"/>
    </row>
    <row r="216" spans="1:28" s="386" customFormat="1" ht="87.75" customHeight="1" x14ac:dyDescent="0.3">
      <c r="A216" s="212">
        <f>'TD Info Completed by Auditor'!A15</f>
        <v>1057</v>
      </c>
      <c r="B216" s="124"/>
      <c r="C216" s="212" t="str">
        <f>'TD Info Completed by Auditor'!B15</f>
        <v>Did your audit disclose any budget violations at the adopted ordinance level? (Yes or No)</v>
      </c>
      <c r="D216" s="230"/>
      <c r="E216" s="214">
        <f>IF(+'TD Info Completed by Auditor'!C15="Yes",1,IF(+'TD Info Completed by Auditor'!C15="No",2,IF(+'TD Info Completed by Auditor'!C15="N/A",3,0)))</f>
        <v>0</v>
      </c>
      <c r="F216" s="224"/>
      <c r="G216" s="226"/>
      <c r="H216" s="223"/>
      <c r="I216" s="32"/>
      <c r="J216" s="182">
        <v>1057</v>
      </c>
      <c r="K216" s="777" t="s">
        <v>2864</v>
      </c>
      <c r="L216" s="295">
        <f t="shared" si="19"/>
        <v>0</v>
      </c>
      <c r="M216"/>
      <c r="N216" s="246" t="s">
        <v>657</v>
      </c>
      <c r="P216" s="197"/>
      <c r="Q216" s="279"/>
      <c r="X216" s="286"/>
      <c r="AA216" s="386">
        <f t="shared" si="20"/>
        <v>0</v>
      </c>
      <c r="AB216" s="286"/>
    </row>
    <row r="217" spans="1:28" s="386" customFormat="1" ht="87.75" customHeight="1" x14ac:dyDescent="0.3">
      <c r="A217" s="212">
        <f>'TD Info Completed by Auditor'!A16</f>
        <v>1058</v>
      </c>
      <c r="B217" s="124"/>
      <c r="C217" s="212" t="str">
        <f>'TD Info Completed by Auditor'!B16</f>
        <v>Did your audit disclose as a finding any statutory violations? (not including budget violations) (Yes or No) If the answer  is "Yes", review whether this needs to be disclosed in the Stewardship, Compliance and Accountability Note</v>
      </c>
      <c r="D217" s="230"/>
      <c r="E217" s="214">
        <f>IF(+'TD Info Completed by Auditor'!C16="Yes",1,IF(+'TD Info Completed by Auditor'!C16="No",2,IF(+'TD Info Completed by Auditor'!C16="N/A",3,0)))</f>
        <v>0</v>
      </c>
      <c r="F217" s="224"/>
      <c r="G217" s="226"/>
      <c r="H217" s="223"/>
      <c r="I217" s="32"/>
      <c r="J217" s="182">
        <v>1058</v>
      </c>
      <c r="K217" s="179" t="s">
        <v>1604</v>
      </c>
      <c r="L217" s="295">
        <f t="shared" si="19"/>
        <v>0</v>
      </c>
      <c r="M217"/>
      <c r="N217" s="246" t="s">
        <v>657</v>
      </c>
      <c r="P217" s="197"/>
      <c r="Q217" s="279"/>
      <c r="X217" s="286"/>
      <c r="AA217" s="386">
        <f t="shared" si="20"/>
        <v>0</v>
      </c>
      <c r="AB217" s="286"/>
    </row>
    <row r="218" spans="1:28" s="386" customFormat="1" ht="159" customHeight="1" x14ac:dyDescent="0.3">
      <c r="A218" s="212">
        <f>'TD Info Completed by Auditor'!A17</f>
        <v>1059</v>
      </c>
      <c r="B218" s="124"/>
      <c r="C218" s="304"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30"/>
      <c r="E218" s="214">
        <f>IF(+'TD Info Completed by Auditor'!C17="Yes",1,IF(+'TD Info Completed by Auditor'!C17="No",2,IF(+'TD Info Completed by Auditor'!C17="N/A",3,0)))</f>
        <v>0</v>
      </c>
      <c r="F218" s="224"/>
      <c r="G218" s="226"/>
      <c r="H218" s="223"/>
      <c r="I218" s="32"/>
      <c r="J218" s="182">
        <v>1059</v>
      </c>
      <c r="K218" s="777" t="s">
        <v>1641</v>
      </c>
      <c r="L218" s="295">
        <f t="shared" si="19"/>
        <v>0</v>
      </c>
      <c r="M218"/>
      <c r="N218" s="246" t="s">
        <v>657</v>
      </c>
      <c r="P218" s="197"/>
      <c r="Q218" s="279"/>
      <c r="X218" s="286"/>
      <c r="AA218" s="386">
        <f t="shared" si="20"/>
        <v>0</v>
      </c>
      <c r="AB218" s="286"/>
    </row>
    <row r="219" spans="1:28" s="386" customFormat="1" ht="159" customHeight="1" x14ac:dyDescent="0.3">
      <c r="A219" s="304">
        <v>1078</v>
      </c>
      <c r="B219" s="209"/>
      <c r="C219" s="304"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30"/>
      <c r="E219" s="997">
        <f>IF(+'TD Info Completed by Auditor'!C18="Yes",1,IF(+'TD Info Completed by Auditor'!C18="No",2,IF(+'TD Info Completed by Auditor'!C18="N/A",3,0)))</f>
        <v>0</v>
      </c>
      <c r="F219" s="227"/>
      <c r="G219" s="226"/>
      <c r="H219" s="223"/>
      <c r="I219" s="32"/>
      <c r="J219" s="119">
        <v>1078</v>
      </c>
      <c r="K219" s="304" t="s">
        <v>2865</v>
      </c>
      <c r="L219" s="998">
        <f t="shared" si="19"/>
        <v>0</v>
      </c>
      <c r="M219" s="180"/>
      <c r="N219" s="246"/>
      <c r="P219" s="197"/>
      <c r="Q219" s="279"/>
      <c r="X219" s="286"/>
      <c r="AB219" s="286"/>
    </row>
    <row r="220" spans="1:28" s="386" customFormat="1" ht="133.19999999999999" customHeight="1" x14ac:dyDescent="0.3">
      <c r="A220" s="304">
        <v>1067</v>
      </c>
      <c r="B220" s="209"/>
      <c r="C220" s="304"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30"/>
      <c r="E220" s="214">
        <f>IF(+'TD Info Completed by Auditor'!C19="Yes",1,IF(+'TD Info Completed by Auditor'!C19="No",2,IF(+'TD Info Completed by Auditor'!C19="N/A",3,0)))</f>
        <v>0</v>
      </c>
      <c r="G220" s="224"/>
      <c r="H220" s="223"/>
      <c r="I220" s="32"/>
      <c r="J220" s="119">
        <v>1067</v>
      </c>
      <c r="K220" s="304" t="s">
        <v>1985</v>
      </c>
      <c r="L220" s="306">
        <f t="shared" si="19"/>
        <v>0</v>
      </c>
      <c r="M220" s="180"/>
      <c r="N220" s="246" t="s">
        <v>657</v>
      </c>
      <c r="P220" s="197"/>
      <c r="Q220" s="279"/>
      <c r="X220" s="286"/>
      <c r="AB220" s="286"/>
    </row>
    <row r="221" spans="1:28" s="386" customFormat="1" ht="87.75" customHeight="1" x14ac:dyDescent="0.3">
      <c r="A221" s="212">
        <f>'TD Info Completed by Auditor'!A20</f>
        <v>951</v>
      </c>
      <c r="B221" s="124" t="s">
        <v>600</v>
      </c>
      <c r="C221" s="212" t="str">
        <f>'TD Info Completed by Auditor'!B20</f>
        <v>Is there a finding for lack of technical skills, knowledge and experience (SKE) at this unit?</v>
      </c>
      <c r="D221" s="230"/>
      <c r="E221" s="214">
        <f>IF(+'TD Info Completed by Auditor'!C20="Yes",1,IF(+'TD Info Completed by Auditor'!C20="No",2,IF(+'TD Info Completed by Auditor'!C20="N/A",3,0)))</f>
        <v>0</v>
      </c>
      <c r="F221" s="224"/>
      <c r="G221" s="226"/>
      <c r="H221" s="223"/>
      <c r="I221" s="32"/>
      <c r="J221" s="182">
        <v>951</v>
      </c>
      <c r="K221" s="52" t="s">
        <v>474</v>
      </c>
      <c r="L221" s="295">
        <f>IF(D221="",E221,D221)</f>
        <v>0</v>
      </c>
      <c r="M221"/>
      <c r="N221" s="246" t="s">
        <v>657</v>
      </c>
      <c r="P221" s="197"/>
      <c r="Q221" s="279"/>
      <c r="X221" s="286"/>
      <c r="AB221" s="286"/>
    </row>
    <row r="222" spans="1:28" ht="87.75" customHeight="1" x14ac:dyDescent="0.3">
      <c r="A222" s="212">
        <f>'TD Info Completed by Auditor'!A21</f>
        <v>953</v>
      </c>
      <c r="B222" s="124" t="s">
        <v>600</v>
      </c>
      <c r="C222" s="212" t="str">
        <f>'TD Info Completed by Auditor'!B21</f>
        <v xml:space="preserve">Is there is a going concern noted in the audit report? </v>
      </c>
      <c r="D222" s="230"/>
      <c r="E222" s="214">
        <f>IF(+'TD Info Completed by Auditor'!C21="Yes",1,IF(+'TD Info Completed by Auditor'!C21="No",2,IF(+'TD Info Completed by Auditor'!C21="N/A",3,0)))</f>
        <v>0</v>
      </c>
      <c r="F222" s="224"/>
      <c r="G222" s="226"/>
      <c r="H222" s="223"/>
      <c r="I222" s="32"/>
      <c r="J222" s="182">
        <v>953</v>
      </c>
      <c r="K222" s="999" t="s">
        <v>2866</v>
      </c>
      <c r="L222" s="295">
        <f t="shared" si="19"/>
        <v>0</v>
      </c>
      <c r="N222" s="246" t="s">
        <v>657</v>
      </c>
      <c r="P222" s="197"/>
      <c r="X222" s="286" t="e">
        <v>#N/A</v>
      </c>
      <c r="Y222" s="386"/>
      <c r="AA222" s="386">
        <f t="shared" si="20"/>
        <v>0</v>
      </c>
      <c r="AB222" s="286">
        <f t="shared" si="21"/>
        <v>0</v>
      </c>
    </row>
    <row r="223" spans="1:28" ht="87.75" customHeight="1" x14ac:dyDescent="0.3">
      <c r="A223" s="212">
        <f>'TD Info Completed by Auditor'!A22</f>
        <v>955</v>
      </c>
      <c r="B223" s="124" t="s">
        <v>600</v>
      </c>
      <c r="C223" s="212" t="str">
        <f>'TD Info Completed by Auditor'!B22</f>
        <v>Number of significant deficiency findings (financial statement findings only)
Exclude findings reported in questions  907, 951</v>
      </c>
      <c r="D223" s="230"/>
      <c r="E223" s="214">
        <f>'TD Info Completed by Auditor'!C22</f>
        <v>0</v>
      </c>
      <c r="F223" s="224"/>
      <c r="G223" s="226"/>
      <c r="H223" s="223"/>
      <c r="I223" s="32"/>
      <c r="J223" s="182">
        <v>955</v>
      </c>
      <c r="K223" s="52" t="s">
        <v>604</v>
      </c>
      <c r="L223" s="295">
        <f t="shared" si="19"/>
        <v>0</v>
      </c>
      <c r="N223" s="246" t="s">
        <v>657</v>
      </c>
      <c r="P223" s="197"/>
      <c r="X223" s="286" t="e">
        <v>#N/A</v>
      </c>
      <c r="Y223" s="386"/>
      <c r="AA223" s="386">
        <f t="shared" si="20"/>
        <v>0</v>
      </c>
      <c r="AB223" s="286">
        <f t="shared" si="21"/>
        <v>0</v>
      </c>
    </row>
    <row r="224" spans="1:28" ht="87.75" customHeight="1" x14ac:dyDescent="0.3">
      <c r="A224" s="212">
        <f>'TD Info Completed by Auditor'!A23</f>
        <v>957</v>
      </c>
      <c r="B224" s="124" t="s">
        <v>600</v>
      </c>
      <c r="C224" s="212" t="str">
        <f>'TD Info Completed by Auditor'!B23</f>
        <v>Number of material weakness findings (financial statement findings only)
Exclude findings reported in questions  907, 951</v>
      </c>
      <c r="D224" s="230"/>
      <c r="E224" s="214">
        <f>'TD Info Completed by Auditor'!C23</f>
        <v>0</v>
      </c>
      <c r="F224" s="224"/>
      <c r="G224" s="226"/>
      <c r="H224" s="223"/>
      <c r="I224" s="32"/>
      <c r="J224" s="182">
        <v>957</v>
      </c>
      <c r="K224" s="52" t="s">
        <v>605</v>
      </c>
      <c r="L224" s="295">
        <f t="shared" si="19"/>
        <v>0</v>
      </c>
      <c r="N224" s="246" t="s">
        <v>657</v>
      </c>
      <c r="P224" s="197"/>
      <c r="X224" s="286" t="e">
        <v>#N/A</v>
      </c>
      <c r="Y224" s="386"/>
      <c r="AA224" s="386">
        <f t="shared" si="20"/>
        <v>0</v>
      </c>
      <c r="AB224" s="286">
        <f t="shared" si="21"/>
        <v>0</v>
      </c>
    </row>
    <row r="225" spans="1:28" ht="289.2" customHeight="1" x14ac:dyDescent="0.3">
      <c r="A225" s="212">
        <f>'TD Info Completed by Auditor'!A24</f>
        <v>973</v>
      </c>
      <c r="B225" s="124" t="s">
        <v>600</v>
      </c>
      <c r="C225" s="212"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30"/>
      <c r="E225" s="214">
        <f>IF(+'TD Info Completed by Auditor'!C24&gt;0,1,IF(+'TD Info Completed by Auditor'!C24&gt;0,2,IF(+'TD Info Completed by Auditor'!C24&gt;0,3,0)))</f>
        <v>0</v>
      </c>
      <c r="F225" s="224"/>
      <c r="G225" s="226"/>
      <c r="H225" s="223"/>
      <c r="I225" s="32"/>
      <c r="J225" s="182">
        <v>973</v>
      </c>
      <c r="K225" s="52" t="s">
        <v>1564</v>
      </c>
      <c r="L225" s="295">
        <f>IF(D225="",E225,D225)</f>
        <v>0</v>
      </c>
      <c r="N225" s="246" t="s">
        <v>657</v>
      </c>
      <c r="P225" s="203"/>
      <c r="X225" s="286" t="e">
        <v>#N/A</v>
      </c>
      <c r="Y225" s="386"/>
      <c r="AA225" s="386">
        <f>A225-J225</f>
        <v>0</v>
      </c>
      <c r="AB225" s="286">
        <f>E225-L225</f>
        <v>0</v>
      </c>
    </row>
    <row r="226" spans="1:28" ht="87.75" customHeight="1" x14ac:dyDescent="0.3">
      <c r="A226" s="212">
        <f>'TD Info Completed by Auditor'!A25</f>
        <v>959</v>
      </c>
      <c r="B226" s="124" t="s">
        <v>600</v>
      </c>
      <c r="C226" s="212" t="str">
        <f>'TD Info Completed by Auditor'!B25</f>
        <v>Did the Unit have debt service payments deferred or restructured in this fiscal year? (does not include refinancings designed to take advantage of lower interest rates)  Select Yes, No, or NA</v>
      </c>
      <c r="D226" s="230"/>
      <c r="E226" s="214">
        <f>IF(+'TD Info Completed by Auditor'!C25="Yes",1,IF(+'TD Info Completed by Auditor'!C25="No",2,IF(+'TD Info Completed by Auditor'!C25="N/A",3,0)))</f>
        <v>0</v>
      </c>
      <c r="F226" s="224"/>
      <c r="G226" s="226"/>
      <c r="H226" s="223"/>
      <c r="I226" s="32"/>
      <c r="J226" s="182">
        <v>959</v>
      </c>
      <c r="K226" s="52" t="s">
        <v>659</v>
      </c>
      <c r="L226" s="295">
        <f t="shared" si="19"/>
        <v>0</v>
      </c>
      <c r="N226" s="246" t="s">
        <v>657</v>
      </c>
      <c r="P226" s="197"/>
      <c r="X226" s="286" t="e">
        <v>#N/A</v>
      </c>
      <c r="Y226" s="386"/>
      <c r="AA226" s="386">
        <f t="shared" si="20"/>
        <v>0</v>
      </c>
      <c r="AB226" s="286">
        <f t="shared" si="21"/>
        <v>0</v>
      </c>
    </row>
    <row r="227" spans="1:28" s="386" customFormat="1" ht="177.75" customHeight="1" x14ac:dyDescent="0.3">
      <c r="A227" s="212">
        <f>'TD Info Completed by Auditor'!A26</f>
        <v>974</v>
      </c>
      <c r="B227" s="124" t="s">
        <v>600</v>
      </c>
      <c r="C227" s="212"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30"/>
      <c r="E227" s="214">
        <f>IF(+'TD Info Completed by Auditor'!C26="Yes",1,IF(+'TD Info Completed by Auditor'!C26="No",2,IF(+'TD Info Completed by Auditor'!C26="N/A",3,0)))</f>
        <v>0</v>
      </c>
      <c r="F227" s="224"/>
      <c r="G227" s="226"/>
      <c r="H227" s="223"/>
      <c r="I227" s="32"/>
      <c r="J227" s="182">
        <v>974</v>
      </c>
      <c r="K227" s="52" t="s">
        <v>809</v>
      </c>
      <c r="L227" s="295">
        <f t="shared" ref="L227" si="22">IF(D227="",E227,D227)</f>
        <v>0</v>
      </c>
      <c r="M227"/>
      <c r="N227" s="246" t="s">
        <v>657</v>
      </c>
      <c r="P227" s="203"/>
      <c r="Q227" s="279"/>
      <c r="X227" s="286"/>
      <c r="AB227" s="286"/>
    </row>
    <row r="228" spans="1:28" ht="87.75" customHeight="1" x14ac:dyDescent="0.3">
      <c r="A228" s="212">
        <f>'TD Info Completed by Auditor'!A33</f>
        <v>975</v>
      </c>
      <c r="B228" s="124" t="s">
        <v>600</v>
      </c>
      <c r="C228" s="211" t="str">
        <f>'TD Info Completed by Auditor'!B33</f>
        <v>Does the Performance Indicator Print worksheet in this workbook have a red shaded cell?</v>
      </c>
      <c r="D228" s="230"/>
      <c r="E228" s="214">
        <f>IF(+'TD Info Completed by Auditor'!C33="Yes",1,IF(+'TD Info Completed by Auditor'!C33="No",2,IF(+'TD Info Completed by Auditor'!C33="N/A",3,0)))</f>
        <v>0</v>
      </c>
      <c r="F228" s="224"/>
      <c r="G228" s="226"/>
      <c r="H228" s="223"/>
      <c r="I228" s="32"/>
      <c r="J228" s="182">
        <v>975</v>
      </c>
      <c r="K228" s="52" t="s">
        <v>606</v>
      </c>
      <c r="L228" s="295">
        <f>IF(D228="",E228,D228)</f>
        <v>0</v>
      </c>
      <c r="N228" s="246" t="s">
        <v>657</v>
      </c>
      <c r="P228" s="203"/>
      <c r="Q228" s="318"/>
      <c r="X228" s="286" t="e">
        <v>#N/A</v>
      </c>
      <c r="Y228" s="386"/>
      <c r="AA228" s="386">
        <f t="shared" si="20"/>
        <v>0</v>
      </c>
      <c r="AB228" s="286">
        <f t="shared" si="21"/>
        <v>0</v>
      </c>
    </row>
    <row r="229" spans="1:28" s="386" customFormat="1" ht="87.75" customHeight="1" x14ac:dyDescent="0.3">
      <c r="A229" s="304">
        <v>1068</v>
      </c>
      <c r="B229" s="304" t="s">
        <v>600</v>
      </c>
      <c r="C229" s="304" t="str">
        <f>'TD Info Completed by Auditor'!B35</f>
        <v xml:space="preserve">Does the unit have a self-insurance fund? </v>
      </c>
      <c r="D229" s="230"/>
      <c r="E229" s="779">
        <f>IF(+'TD Info Completed by Auditor'!C35="Yes",1,IF(+'TD Info Completed by Auditor'!C35="No",2,IF(+'TD Info Completed by Auditor'!C35="N/A",3,0)))</f>
        <v>0</v>
      </c>
      <c r="F229" s="780"/>
      <c r="G229" s="781"/>
      <c r="H229" s="782"/>
      <c r="I229" s="32"/>
      <c r="J229" s="783">
        <v>1068</v>
      </c>
      <c r="K229" s="304" t="s">
        <v>1646</v>
      </c>
      <c r="L229" s="790">
        <f t="shared" ref="L229:L232" si="23">IF(D229="",E229,D229)</f>
        <v>0</v>
      </c>
      <c r="M229" s="180"/>
      <c r="N229" s="246" t="s">
        <v>657</v>
      </c>
      <c r="P229" s="203"/>
      <c r="Q229" s="318"/>
      <c r="X229" s="286"/>
      <c r="AB229" s="286"/>
    </row>
    <row r="230" spans="1:28" s="386" customFormat="1" ht="87.75" customHeight="1" x14ac:dyDescent="0.3">
      <c r="A230" s="304">
        <v>1069</v>
      </c>
      <c r="B230" s="304" t="s">
        <v>600</v>
      </c>
      <c r="C230" s="627" t="str">
        <f>'TD Info Completed by Auditor'!B36</f>
        <v>If the unit is self-insured for employee health care, does the unit use a qualified consultant to establish rates and appropriate reserve levels?</v>
      </c>
      <c r="D230" s="230"/>
      <c r="E230" s="779">
        <f>IF(+'TD Info Completed by Auditor'!C36="Yes",1,IF(+'TD Info Completed by Auditor'!C36="No",2,IF(+'TD Info Completed by Auditor'!C36="N/A",3,0)))</f>
        <v>0</v>
      </c>
      <c r="F230" s="780"/>
      <c r="G230" s="781"/>
      <c r="H230" s="782"/>
      <c r="I230" s="32"/>
      <c r="J230" s="783">
        <v>1069</v>
      </c>
      <c r="K230" s="627" t="s">
        <v>1654</v>
      </c>
      <c r="L230" s="790">
        <f t="shared" si="23"/>
        <v>0</v>
      </c>
      <c r="M230" s="180"/>
      <c r="N230" s="246" t="s">
        <v>657</v>
      </c>
      <c r="P230" s="203"/>
      <c r="Q230" s="318"/>
      <c r="X230" s="286"/>
      <c r="AB230" s="286"/>
    </row>
    <row r="231" spans="1:28" s="386" customFormat="1" ht="96" customHeight="1" x14ac:dyDescent="0.3">
      <c r="A231" s="304">
        <v>1070</v>
      </c>
      <c r="B231" s="304" t="s">
        <v>600</v>
      </c>
      <c r="C231" s="304" t="str">
        <f>'TD Info Completed by Auditor'!B37</f>
        <v>Does the Unit have a non-state administered pension plan?
(Note - OPEB is not a pension plan.)</v>
      </c>
      <c r="D231" s="230"/>
      <c r="E231" s="779">
        <f>IF(+'TD Info Completed by Auditor'!C37="Yes",1,IF(+'TD Info Completed by Auditor'!C37="No",2,IF(+'TD Info Completed by Auditor'!C37="N/A",3,0)))</f>
        <v>0</v>
      </c>
      <c r="F231" s="780"/>
      <c r="G231" s="781"/>
      <c r="H231" s="782"/>
      <c r="I231" s="32"/>
      <c r="J231" s="783">
        <v>1070</v>
      </c>
      <c r="K231" s="304" t="s">
        <v>2878</v>
      </c>
      <c r="L231" s="786">
        <f t="shared" si="23"/>
        <v>0</v>
      </c>
      <c r="M231" s="180"/>
      <c r="N231" s="246" t="s">
        <v>657</v>
      </c>
      <c r="P231" s="203"/>
      <c r="Q231" s="318"/>
      <c r="X231" s="286"/>
      <c r="AB231" s="286"/>
    </row>
    <row r="232" spans="1:28" s="386" customFormat="1" ht="87.75" customHeight="1" x14ac:dyDescent="0.3">
      <c r="A232" s="304">
        <v>1071</v>
      </c>
      <c r="B232" s="304" t="s">
        <v>600</v>
      </c>
      <c r="C232" s="304" t="str">
        <f>'TD Info Completed by Auditor'!B38</f>
        <v>Please list the amount of ARPA funds expended in total this fiscal year for non-capital purposes.  Enter "0" if no ARPA funds expended for this fiscal year for non-capital purposes.</v>
      </c>
      <c r="D232" s="230"/>
      <c r="E232" s="785">
        <f>'TD Info Completed by Auditor'!C38</f>
        <v>0</v>
      </c>
      <c r="F232" s="780"/>
      <c r="G232" s="781"/>
      <c r="H232" s="782"/>
      <c r="I232" s="32"/>
      <c r="J232" s="783">
        <v>1071</v>
      </c>
      <c r="K232" s="304" t="s">
        <v>2851</v>
      </c>
      <c r="L232" s="790">
        <f t="shared" si="23"/>
        <v>0</v>
      </c>
      <c r="M232" s="180"/>
      <c r="N232" s="246" t="s">
        <v>657</v>
      </c>
      <c r="P232" s="203"/>
      <c r="Q232" s="318"/>
      <c r="X232" s="286"/>
      <c r="AB232" s="286"/>
    </row>
    <row r="233" spans="1:28" ht="121.2" customHeight="1" x14ac:dyDescent="0.3">
      <c r="A233" s="327">
        <v>336</v>
      </c>
      <c r="B233" s="237"/>
      <c r="C233" s="328" t="s">
        <v>667</v>
      </c>
      <c r="D233" s="329" t="s">
        <v>636</v>
      </c>
      <c r="E233" s="330" t="s">
        <v>637</v>
      </c>
      <c r="F233" s="238" t="s">
        <v>1137</v>
      </c>
      <c r="G233" s="226"/>
      <c r="H233" s="223"/>
      <c r="I233" s="32"/>
      <c r="J233" s="239">
        <v>336</v>
      </c>
      <c r="K233" s="331" t="s">
        <v>640</v>
      </c>
      <c r="L233" s="332">
        <f>L10-L11-L12-L13-L14-L15-L16</f>
        <v>0</v>
      </c>
      <c r="N233" s="247" t="s">
        <v>638</v>
      </c>
      <c r="P233" s="203"/>
      <c r="Q233" s="318"/>
      <c r="X233" s="286" t="e">
        <v>#N/A</v>
      </c>
      <c r="Y233" s="386"/>
      <c r="AA233" s="386">
        <f t="shared" si="20"/>
        <v>0</v>
      </c>
      <c r="AB233" s="286" t="e">
        <f t="shared" si="21"/>
        <v>#VALUE!</v>
      </c>
    </row>
    <row r="234" spans="1:28" ht="129" customHeight="1" x14ac:dyDescent="0.3">
      <c r="A234" s="327">
        <v>44</v>
      </c>
      <c r="B234" s="237"/>
      <c r="C234" s="238" t="s">
        <v>668</v>
      </c>
      <c r="D234" s="329" t="s">
        <v>628</v>
      </c>
      <c r="E234" s="333" t="s">
        <v>629</v>
      </c>
      <c r="F234" s="238" t="s">
        <v>1138</v>
      </c>
      <c r="G234" s="226"/>
      <c r="H234" s="223"/>
      <c r="I234" s="32"/>
      <c r="J234" s="239">
        <v>44</v>
      </c>
      <c r="K234" s="331" t="s">
        <v>641</v>
      </c>
      <c r="L234" s="332">
        <f>L76-L77-L74</f>
        <v>0</v>
      </c>
      <c r="N234" s="247" t="s">
        <v>639</v>
      </c>
      <c r="P234" s="203"/>
      <c r="Q234" s="318"/>
      <c r="X234" s="286" t="e">
        <v>#N/A</v>
      </c>
      <c r="Y234" s="386"/>
      <c r="AA234" s="386">
        <f t="shared" si="20"/>
        <v>0</v>
      </c>
      <c r="AB234" s="286" t="e">
        <f t="shared" si="21"/>
        <v>#VALUE!</v>
      </c>
    </row>
    <row r="235" spans="1:28" ht="169.5" customHeight="1" x14ac:dyDescent="0.3">
      <c r="A235" s="327">
        <v>45</v>
      </c>
      <c r="B235" s="237"/>
      <c r="C235" s="238" t="s">
        <v>669</v>
      </c>
      <c r="D235" s="329" t="s">
        <v>630</v>
      </c>
      <c r="E235" s="330" t="s">
        <v>631</v>
      </c>
      <c r="F235" s="238" t="s">
        <v>1137</v>
      </c>
      <c r="G235" s="226"/>
      <c r="H235" s="223"/>
      <c r="I235" s="32"/>
      <c r="J235" s="239">
        <v>45</v>
      </c>
      <c r="K235" s="331" t="s">
        <v>642</v>
      </c>
      <c r="L235" s="332">
        <f>L80-L81-L82-L83-L84-L85-L79</f>
        <v>0</v>
      </c>
      <c r="N235" s="247" t="s">
        <v>650</v>
      </c>
      <c r="P235" s="203"/>
      <c r="Q235" s="318"/>
      <c r="X235" s="286" t="e">
        <v>#N/A</v>
      </c>
      <c r="Y235" s="386"/>
      <c r="AA235" s="386">
        <f t="shared" si="20"/>
        <v>0</v>
      </c>
      <c r="AB235" s="286" t="e">
        <f t="shared" si="21"/>
        <v>#VALUE!</v>
      </c>
    </row>
    <row r="236" spans="1:28" ht="87.75" customHeight="1" x14ac:dyDescent="0.3">
      <c r="A236" s="327">
        <v>47</v>
      </c>
      <c r="B236" s="237"/>
      <c r="C236" s="238" t="s">
        <v>644</v>
      </c>
      <c r="D236" s="329" t="s">
        <v>632</v>
      </c>
      <c r="E236" s="330" t="s">
        <v>634</v>
      </c>
      <c r="F236" s="238" t="s">
        <v>1137</v>
      </c>
      <c r="G236" s="226"/>
      <c r="H236" s="223"/>
      <c r="I236" s="32"/>
      <c r="J236" s="239">
        <v>47</v>
      </c>
      <c r="K236" s="331" t="s">
        <v>643</v>
      </c>
      <c r="L236" s="332">
        <f>L94-L95-L92</f>
        <v>0</v>
      </c>
      <c r="N236" s="247" t="s">
        <v>651</v>
      </c>
      <c r="P236" s="203"/>
      <c r="Q236" s="318"/>
      <c r="X236" s="286" t="e">
        <v>#N/A</v>
      </c>
      <c r="Y236" s="386"/>
      <c r="AA236" s="386">
        <f t="shared" si="20"/>
        <v>0</v>
      </c>
      <c r="AB236" s="286" t="e">
        <f t="shared" si="21"/>
        <v>#VALUE!</v>
      </c>
    </row>
    <row r="237" spans="1:28" ht="152.25" customHeight="1" x14ac:dyDescent="0.3">
      <c r="A237" s="327">
        <v>48</v>
      </c>
      <c r="B237" s="237"/>
      <c r="C237" s="238" t="s">
        <v>645</v>
      </c>
      <c r="D237" s="329" t="s">
        <v>633</v>
      </c>
      <c r="E237" s="330" t="s">
        <v>635</v>
      </c>
      <c r="F237" s="238" t="s">
        <v>1137</v>
      </c>
      <c r="G237" s="226"/>
      <c r="H237" s="223"/>
      <c r="I237" s="32"/>
      <c r="J237" s="239">
        <v>48</v>
      </c>
      <c r="K237" s="331" t="s">
        <v>115</v>
      </c>
      <c r="L237" s="332">
        <f>L99-L100-L101-L102-L103-L104-L98</f>
        <v>0</v>
      </c>
      <c r="N237" s="247" t="s">
        <v>652</v>
      </c>
      <c r="P237" s="203"/>
      <c r="Q237" s="318"/>
      <c r="X237" s="286" t="e">
        <v>#N/A</v>
      </c>
      <c r="Y237" s="386"/>
      <c r="AA237" s="386">
        <f t="shared" si="20"/>
        <v>0</v>
      </c>
      <c r="AB237" s="286" t="e">
        <f t="shared" si="21"/>
        <v>#VALUE!</v>
      </c>
    </row>
    <row r="238" spans="1:28" ht="113.4" customHeight="1" x14ac:dyDescent="0.3">
      <c r="A238" s="334"/>
      <c r="B238" s="90"/>
      <c r="C238" s="335"/>
      <c r="D238" s="129"/>
      <c r="E238" s="137"/>
      <c r="F238" s="59"/>
      <c r="G238" s="131"/>
      <c r="H238" s="132"/>
      <c r="I238" s="32"/>
      <c r="J238" s="240">
        <v>998</v>
      </c>
      <c r="K238" s="241" t="s">
        <v>277</v>
      </c>
      <c r="L238" s="336" t="e">
        <f>VLOOKUP('Unit Data from Audit Worksheet'!D2,'Unit Names(H)'!$A$2:$C$95,3,FALSE)</f>
        <v>#N/A</v>
      </c>
      <c r="N238" s="247" t="s">
        <v>646</v>
      </c>
      <c r="P238" s="203"/>
      <c r="Q238" s="318"/>
      <c r="X238" s="286" t="e">
        <v>#N/A</v>
      </c>
      <c r="Y238" s="386"/>
      <c r="AA238" s="386">
        <f t="shared" si="20"/>
        <v>-998</v>
      </c>
      <c r="AB238" s="286" t="e">
        <f t="shared" si="21"/>
        <v>#N/A</v>
      </c>
    </row>
    <row r="239" spans="1:28" ht="119.4" customHeight="1" x14ac:dyDescent="0.3">
      <c r="A239" s="334"/>
      <c r="B239" s="90"/>
      <c r="C239" s="335"/>
      <c r="D239" s="337"/>
      <c r="E239" s="338"/>
      <c r="F239" s="339"/>
      <c r="G239" s="340"/>
      <c r="H239" s="341"/>
      <c r="I239" s="32"/>
      <c r="J239" s="242">
        <v>995</v>
      </c>
      <c r="K239" s="243" t="s">
        <v>275</v>
      </c>
      <c r="L239" s="735" t="e">
        <f>INDEX('PY1 Data(H)'!$A$1:$CZ$282,MATCH('PY1 Data(H)'!$A236,'PY1 Data(H)'!$A$1:$A$282,0),MATCH('Unit Data from Audit Worksheet'!$D$2,'PY1 Data(H)'!$A$1:$CZ$1,0))</f>
        <v>#N/A</v>
      </c>
      <c r="N239" s="247" t="s">
        <v>653</v>
      </c>
      <c r="P239" s="203"/>
      <c r="Q239" s="318"/>
      <c r="X239" s="286" t="e">
        <v>#N/A</v>
      </c>
      <c r="Y239" s="386"/>
      <c r="AA239" s="386">
        <f t="shared" si="20"/>
        <v>-995</v>
      </c>
      <c r="AB239" s="577" t="e">
        <f t="shared" si="21"/>
        <v>#N/A</v>
      </c>
    </row>
    <row r="240" spans="1:28" ht="104.4" customHeight="1" x14ac:dyDescent="0.3">
      <c r="A240" s="334"/>
      <c r="B240" s="90"/>
      <c r="C240" s="335"/>
      <c r="D240" s="337"/>
      <c r="E240" s="338"/>
      <c r="F240" s="339"/>
      <c r="G240" s="340"/>
      <c r="H240" s="341"/>
      <c r="I240" s="32"/>
      <c r="J240" s="242">
        <v>996</v>
      </c>
      <c r="K240" s="243" t="s">
        <v>276</v>
      </c>
      <c r="L240" s="735" t="e">
        <f>INDEX('PY1 Data(H)'!$A$1:$CZ$282,MATCH('PY1 Data(H)'!$A237,'PY1 Data(H)'!$A$1:$A$282,0),MATCH('Unit Data from Audit Worksheet'!$D$2,'PY1 Data(H)'!$A$1:$CZ$1,0))</f>
        <v>#N/A</v>
      </c>
      <c r="N240" s="247" t="s">
        <v>654</v>
      </c>
      <c r="P240" s="203"/>
      <c r="Q240" s="318"/>
      <c r="X240" s="286" t="e">
        <v>#N/A</v>
      </c>
      <c r="Y240" s="386"/>
      <c r="AA240" s="386">
        <f t="shared" si="20"/>
        <v>-996</v>
      </c>
      <c r="AB240" s="577" t="e">
        <f t="shared" si="21"/>
        <v>#N/A</v>
      </c>
    </row>
    <row r="241" spans="1:28" ht="43.2" x14ac:dyDescent="0.3">
      <c r="A241" s="334"/>
      <c r="B241" s="90"/>
      <c r="C241" s="335"/>
      <c r="D241" s="337"/>
      <c r="E241" s="338"/>
      <c r="F241" s="339"/>
      <c r="G241" s="340"/>
      <c r="H241" s="342"/>
      <c r="I241" s="32"/>
      <c r="J241" s="158">
        <v>554</v>
      </c>
      <c r="K241" s="343" t="s">
        <v>320</v>
      </c>
      <c r="L241" s="313"/>
      <c r="N241" s="344"/>
      <c r="P241" s="203"/>
      <c r="Q241" s="318"/>
      <c r="X241" s="286" t="e">
        <v>#N/A</v>
      </c>
      <c r="Y241" s="386"/>
      <c r="AA241" s="386">
        <f t="shared" si="20"/>
        <v>-554</v>
      </c>
      <c r="AB241" s="286">
        <f t="shared" si="21"/>
        <v>0</v>
      </c>
    </row>
    <row r="242" spans="1:28" ht="43.2" x14ac:dyDescent="0.3">
      <c r="A242" s="334"/>
      <c r="B242" s="90"/>
      <c r="C242" s="335"/>
      <c r="D242" s="337"/>
      <c r="E242" s="338"/>
      <c r="F242" s="339"/>
      <c r="G242" s="340"/>
      <c r="H242" s="342"/>
      <c r="I242" s="32"/>
      <c r="J242" s="158">
        <v>555</v>
      </c>
      <c r="K242" s="343" t="s">
        <v>321</v>
      </c>
      <c r="L242" s="313"/>
      <c r="N242" s="344"/>
      <c r="P242" s="203"/>
      <c r="Q242" s="318"/>
      <c r="X242" s="286" t="e">
        <v>#N/A</v>
      </c>
      <c r="Y242" s="386"/>
      <c r="AA242" s="386">
        <f t="shared" si="20"/>
        <v>-555</v>
      </c>
      <c r="AB242" s="286">
        <f t="shared" si="21"/>
        <v>0</v>
      </c>
    </row>
    <row r="243" spans="1:28" ht="43.2" x14ac:dyDescent="0.3">
      <c r="A243" s="334"/>
      <c r="B243" s="90"/>
      <c r="C243" s="335"/>
      <c r="D243" s="337"/>
      <c r="E243" s="338"/>
      <c r="F243" s="339"/>
      <c r="G243" s="340"/>
      <c r="H243" s="342"/>
      <c r="I243" s="32"/>
      <c r="J243" s="158">
        <v>556</v>
      </c>
      <c r="K243" s="343" t="s">
        <v>322</v>
      </c>
      <c r="L243" s="313"/>
      <c r="N243" s="344"/>
      <c r="P243" s="203"/>
      <c r="Q243" s="318"/>
      <c r="X243" s="286" t="e">
        <v>#N/A</v>
      </c>
      <c r="Y243" s="386"/>
      <c r="AA243" s="386">
        <f t="shared" si="20"/>
        <v>-556</v>
      </c>
      <c r="AB243" s="286">
        <f t="shared" si="21"/>
        <v>0</v>
      </c>
    </row>
    <row r="244" spans="1:28" ht="43.2" x14ac:dyDescent="0.3">
      <c r="A244" s="334"/>
      <c r="B244" s="90"/>
      <c r="C244" s="335"/>
      <c r="D244" s="337"/>
      <c r="E244" s="338"/>
      <c r="F244" s="339"/>
      <c r="G244" s="340"/>
      <c r="H244" s="342"/>
      <c r="I244" s="32"/>
      <c r="J244" s="158">
        <v>557</v>
      </c>
      <c r="K244" s="343" t="s">
        <v>323</v>
      </c>
      <c r="L244" s="313"/>
      <c r="N244" s="344"/>
      <c r="P244" s="204"/>
      <c r="X244" s="286" t="e">
        <v>#N/A</v>
      </c>
      <c r="Y244" s="386"/>
      <c r="AA244" s="386">
        <f t="shared" si="20"/>
        <v>-557</v>
      </c>
      <c r="AB244" s="286">
        <f t="shared" si="21"/>
        <v>0</v>
      </c>
    </row>
    <row r="245" spans="1:28" ht="43.2" x14ac:dyDescent="0.3">
      <c r="A245" s="334"/>
      <c r="B245" s="90"/>
      <c r="C245" s="335"/>
      <c r="D245" s="337"/>
      <c r="E245" s="338"/>
      <c r="F245" s="339"/>
      <c r="G245" s="340"/>
      <c r="H245" s="342"/>
      <c r="I245" s="32"/>
      <c r="J245" s="158">
        <v>606</v>
      </c>
      <c r="K245" s="343" t="s">
        <v>450</v>
      </c>
      <c r="L245" s="313"/>
      <c r="N245" s="344"/>
      <c r="P245" s="204"/>
      <c r="X245" s="286" t="e">
        <v>#N/A</v>
      </c>
      <c r="Y245" s="386"/>
      <c r="AA245" s="386">
        <f t="shared" si="20"/>
        <v>-606</v>
      </c>
      <c r="AB245" s="286">
        <f t="shared" si="21"/>
        <v>0</v>
      </c>
    </row>
    <row r="246" spans="1:28" s="18" customFormat="1" ht="22.5" customHeight="1" x14ac:dyDescent="0.3">
      <c r="A246" s="334"/>
      <c r="B246" s="90"/>
      <c r="C246" s="335"/>
      <c r="D246" s="129"/>
      <c r="E246" s="130"/>
      <c r="F246" s="59"/>
      <c r="G246" s="131"/>
      <c r="H246" s="132"/>
      <c r="I246" s="32"/>
      <c r="J246" s="133"/>
      <c r="K246" s="346"/>
      <c r="L246" s="347"/>
      <c r="M246"/>
      <c r="N246" s="246"/>
      <c r="P246" s="204"/>
      <c r="Q246" s="279"/>
      <c r="R246" s="3"/>
      <c r="S246" s="3"/>
      <c r="T246" s="3"/>
      <c r="U246" s="3"/>
      <c r="V246" s="3"/>
      <c r="W246" s="3"/>
      <c r="X246" s="286" t="e">
        <v>#N/A</v>
      </c>
      <c r="Y246" s="386"/>
      <c r="Z246" s="3"/>
      <c r="AA246" s="386">
        <f t="shared" si="20"/>
        <v>0</v>
      </c>
      <c r="AB246" s="286">
        <f t="shared" si="21"/>
        <v>0</v>
      </c>
    </row>
    <row r="247" spans="1:28" ht="99" customHeight="1" x14ac:dyDescent="0.3">
      <c r="A247" s="212">
        <f>'Unit Data from Audit Worksheet'!A269</f>
        <v>947</v>
      </c>
      <c r="B247" s="124"/>
      <c r="C247" s="211" t="str">
        <f>'Unit Data from Audit Worksheet'!D269</f>
        <v>First name of finance officer or interim finance officer (please enter “vacant” for first name if the position is currently vacant)</v>
      </c>
      <c r="D247" s="233"/>
      <c r="E247" s="172">
        <f>'Unit Data from Audit Worksheet'!F269</f>
        <v>0</v>
      </c>
      <c r="F247" s="224" t="str">
        <f>'Unit Data from Audit Worksheet'!G269</f>
        <v>Please do not leave blank</v>
      </c>
      <c r="G247" s="226"/>
      <c r="H247" s="223"/>
      <c r="I247" s="32"/>
      <c r="J247" s="161">
        <v>947</v>
      </c>
      <c r="K247" s="348" t="s">
        <v>409</v>
      </c>
      <c r="L247" s="349">
        <f t="shared" ref="L247:L258" si="24">IF(D247="",E247,D247)</f>
        <v>0</v>
      </c>
      <c r="N247" s="344"/>
      <c r="P247" s="204"/>
      <c r="Q247" s="78"/>
      <c r="X247" s="286">
        <v>947</v>
      </c>
      <c r="Y247" s="3">
        <v>947</v>
      </c>
      <c r="AA247" s="386">
        <f t="shared" si="20"/>
        <v>0</v>
      </c>
      <c r="AB247" s="286" t="b">
        <f>EXACT(E247,L247)</f>
        <v>1</v>
      </c>
    </row>
    <row r="248" spans="1:28" ht="128.25" customHeight="1" x14ac:dyDescent="0.3">
      <c r="A248" s="212">
        <f>'Unit Data from Audit Worksheet'!A270</f>
        <v>948</v>
      </c>
      <c r="B248" s="124"/>
      <c r="C248" s="211" t="str">
        <f>'Unit Data from Audit Worksheet'!D270</f>
        <v>Last name of finance officer or interim finance officer (please enter “vacant” for last name if the position is currently vacant)</v>
      </c>
      <c r="D248" s="233"/>
      <c r="E248" s="350">
        <f>'Unit Data from Audit Worksheet'!F270</f>
        <v>0</v>
      </c>
      <c r="F248" s="224" t="str">
        <f>'Unit Data from Audit Worksheet'!G270</f>
        <v>Please do not leave blank</v>
      </c>
      <c r="G248" s="226"/>
      <c r="H248" s="223"/>
      <c r="I248" s="32"/>
      <c r="J248" s="161">
        <v>948</v>
      </c>
      <c r="K248" s="348" t="s">
        <v>410</v>
      </c>
      <c r="L248" s="349">
        <f t="shared" si="24"/>
        <v>0</v>
      </c>
      <c r="N248" s="344"/>
      <c r="P248" s="204"/>
      <c r="X248" s="286">
        <v>948</v>
      </c>
      <c r="Y248" s="3">
        <v>948</v>
      </c>
      <c r="AA248" s="386">
        <f t="shared" si="20"/>
        <v>0</v>
      </c>
      <c r="AB248" s="286" t="b">
        <f t="shared" ref="AB248:AB260" si="25">EXACT(E248,L248)</f>
        <v>1</v>
      </c>
    </row>
    <row r="249" spans="1:28" ht="61.5" customHeight="1" x14ac:dyDescent="0.3">
      <c r="A249" s="212">
        <f>'Unit Data from Audit Worksheet'!A271</f>
        <v>949</v>
      </c>
      <c r="B249" s="124"/>
      <c r="C249" s="211" t="str">
        <f>'Unit Data from Audit Worksheet'!D271</f>
        <v>Is the finance officer serving in a permanent role or an interim role? (select permanent/interim/vacant)</v>
      </c>
      <c r="D249" s="233"/>
      <c r="E249" s="172">
        <f>'Unit Data from Audit Worksheet'!F271</f>
        <v>0</v>
      </c>
      <c r="F249" s="224" t="str">
        <f>'Unit Data from Audit Worksheet'!G271</f>
        <v>Please do not leave blank</v>
      </c>
      <c r="G249" s="226"/>
      <c r="H249" s="223"/>
      <c r="I249" s="32"/>
      <c r="J249" s="161">
        <v>949</v>
      </c>
      <c r="K249" s="348" t="s">
        <v>433</v>
      </c>
      <c r="L249" s="349">
        <f t="shared" si="24"/>
        <v>0</v>
      </c>
      <c r="N249" s="344"/>
      <c r="P249" s="204"/>
      <c r="X249" s="286">
        <v>949</v>
      </c>
      <c r="Y249" s="3">
        <v>949</v>
      </c>
      <c r="AA249" s="386">
        <f t="shared" si="20"/>
        <v>0</v>
      </c>
      <c r="AB249" s="286" t="b">
        <f t="shared" si="25"/>
        <v>1</v>
      </c>
    </row>
    <row r="250" spans="1:28" ht="93.75" customHeight="1" x14ac:dyDescent="0.3">
      <c r="A250" s="212">
        <f>'Unit Data from Audit Worksheet'!A272</f>
        <v>950</v>
      </c>
      <c r="B250" s="124"/>
      <c r="C250" s="211" t="str">
        <f>'Unit Data from Audit Worksheet'!D272</f>
        <v>Has the finance officer or interim finance officer been formally appointed by the local government, public authority, or designated official?  (Y/N)</v>
      </c>
      <c r="D250" s="233"/>
      <c r="E250" s="172">
        <f>'Unit Data from Audit Worksheet'!F272</f>
        <v>0</v>
      </c>
      <c r="F250" s="224" t="str">
        <f>'Unit Data from Audit Worksheet'!G272</f>
        <v>Please do not leave blank</v>
      </c>
      <c r="G250" s="226"/>
      <c r="H250" s="223"/>
      <c r="I250" s="32"/>
      <c r="J250" s="161">
        <v>950</v>
      </c>
      <c r="K250" s="348" t="s">
        <v>434</v>
      </c>
      <c r="L250" s="349">
        <f t="shared" si="24"/>
        <v>0</v>
      </c>
      <c r="N250" s="344"/>
      <c r="P250" s="204"/>
      <c r="X250" s="286">
        <v>950</v>
      </c>
      <c r="Y250" s="3">
        <v>950</v>
      </c>
      <c r="AA250" s="386">
        <f t="shared" si="20"/>
        <v>0</v>
      </c>
      <c r="AB250" s="286" t="b">
        <f t="shared" si="25"/>
        <v>1</v>
      </c>
    </row>
    <row r="251" spans="1:28" ht="153.75" customHeight="1" x14ac:dyDescent="0.3">
      <c r="A251" s="212">
        <f>'Unit Data from Audit Worksheet'!A273</f>
        <v>952</v>
      </c>
      <c r="B251" s="124"/>
      <c r="C251" s="211" t="str">
        <f>'Unit Data from Audit Worksheet'!D273</f>
        <v>Date on which the local government, public authority, or designated official appointed the finance officer?      Date Format  MM/DD/YYYY</v>
      </c>
      <c r="D251" s="233"/>
      <c r="E251" s="656" t="str">
        <f>IF('Unit Data from Audit Worksheet'!F273&gt;0,'Unit Data from Audit Worksheet'!F273," ")</f>
        <v xml:space="preserve"> </v>
      </c>
      <c r="F251" s="224" t="str">
        <f>'Unit Data from Audit Worksheet'!G273</f>
        <v>Leave blank if data not available</v>
      </c>
      <c r="G251" s="226"/>
      <c r="H251" s="223"/>
      <c r="I251" s="32"/>
      <c r="J251" s="161">
        <v>952</v>
      </c>
      <c r="K251" s="348" t="s">
        <v>435</v>
      </c>
      <c r="L251" s="351" t="str">
        <f t="shared" si="24"/>
        <v xml:space="preserve"> </v>
      </c>
      <c r="N251" s="344"/>
      <c r="P251" s="204"/>
      <c r="X251" s="286">
        <v>952</v>
      </c>
      <c r="Y251" s="3">
        <v>952</v>
      </c>
      <c r="AA251" s="386">
        <f t="shared" si="20"/>
        <v>0</v>
      </c>
      <c r="AB251" s="286" t="b">
        <f t="shared" si="25"/>
        <v>1</v>
      </c>
    </row>
    <row r="252" spans="1:28" ht="30.75" customHeight="1" x14ac:dyDescent="0.3">
      <c r="A252" s="352">
        <f>'Unit Data from Audit Worksheet'!A281</f>
        <v>960</v>
      </c>
      <c r="B252" s="168"/>
      <c r="C252" s="169" t="str">
        <f>'Unit Data from Audit Worksheet'!B281</f>
        <v>Name of Finance Officer</v>
      </c>
      <c r="D252" s="233"/>
      <c r="E252" s="353">
        <f>'Unit Data from Audit Worksheet'!D281</f>
        <v>0</v>
      </c>
      <c r="F252" s="354" t="str">
        <f>'Unit Data from Audit Worksheet'!F281</f>
        <v>Required</v>
      </c>
      <c r="G252" s="226"/>
      <c r="H252" s="223"/>
      <c r="I252" s="32"/>
      <c r="J252" s="171">
        <v>960</v>
      </c>
      <c r="K252" s="355" t="s">
        <v>429</v>
      </c>
      <c r="L252" s="356">
        <f t="shared" si="24"/>
        <v>0</v>
      </c>
      <c r="N252" s="311"/>
      <c r="P252" s="204"/>
      <c r="X252" s="286">
        <v>960</v>
      </c>
      <c r="Y252" s="3">
        <v>960</v>
      </c>
      <c r="AA252" s="386">
        <f t="shared" si="20"/>
        <v>0</v>
      </c>
      <c r="AB252" s="286" t="b">
        <f t="shared" si="25"/>
        <v>1</v>
      </c>
    </row>
    <row r="253" spans="1:28" ht="30.75" customHeight="1" x14ac:dyDescent="0.3">
      <c r="A253" s="352">
        <f>'Unit Data from Audit Worksheet'!A282</f>
        <v>962</v>
      </c>
      <c r="B253" s="168"/>
      <c r="C253" s="169" t="str">
        <f>'Unit Data from Audit Worksheet'!B282</f>
        <v>Title of Official</v>
      </c>
      <c r="D253" s="233"/>
      <c r="E253" s="353">
        <f>'Unit Data from Audit Worksheet'!D282</f>
        <v>0</v>
      </c>
      <c r="F253" s="354" t="str">
        <f>'Unit Data from Audit Worksheet'!F282</f>
        <v>Required</v>
      </c>
      <c r="G253" s="226"/>
      <c r="H253" s="223"/>
      <c r="I253" s="32"/>
      <c r="J253" s="171">
        <v>962</v>
      </c>
      <c r="K253" s="355" t="s">
        <v>405</v>
      </c>
      <c r="L253" s="356">
        <f t="shared" si="24"/>
        <v>0</v>
      </c>
      <c r="N253" s="311"/>
      <c r="P253" s="204"/>
      <c r="X253" s="286">
        <v>962</v>
      </c>
      <c r="Y253" s="3">
        <v>962</v>
      </c>
      <c r="AA253" s="386">
        <f t="shared" si="20"/>
        <v>0</v>
      </c>
      <c r="AB253" s="286" t="b">
        <f t="shared" si="25"/>
        <v>1</v>
      </c>
    </row>
    <row r="254" spans="1:28" ht="30.75" customHeight="1" x14ac:dyDescent="0.3">
      <c r="A254" s="352">
        <f>'Unit Data from Audit Worksheet'!A283</f>
        <v>964</v>
      </c>
      <c r="B254" s="168"/>
      <c r="C254" s="170" t="str">
        <f>'Unit Data from Audit Worksheet'!B283</f>
        <v>Date                        (Enter as "MM/DD/YYYY")</v>
      </c>
      <c r="D254" s="233"/>
      <c r="E254" s="357">
        <f>'Unit Data from Audit Worksheet'!D283</f>
        <v>0</v>
      </c>
      <c r="F254" s="354" t="str">
        <f>'Unit Data from Audit Worksheet'!F283</f>
        <v>Required</v>
      </c>
      <c r="G254" s="580"/>
      <c r="H254" s="223"/>
      <c r="I254" s="32"/>
      <c r="J254" s="171">
        <v>964</v>
      </c>
      <c r="K254" s="355" t="s">
        <v>460</v>
      </c>
      <c r="L254" s="358">
        <f t="shared" si="24"/>
        <v>0</v>
      </c>
      <c r="N254" s="311"/>
      <c r="P254" s="204"/>
      <c r="X254" s="286">
        <v>964</v>
      </c>
      <c r="Y254" s="3">
        <v>964</v>
      </c>
      <c r="AA254" s="386">
        <f t="shared" si="20"/>
        <v>0</v>
      </c>
      <c r="AB254" s="286" t="b">
        <f t="shared" si="25"/>
        <v>1</v>
      </c>
    </row>
    <row r="255" spans="1:28" ht="30.75" customHeight="1" x14ac:dyDescent="0.3">
      <c r="A255" s="352">
        <f>'Unit Data from Audit Worksheet'!A284</f>
        <v>966</v>
      </c>
      <c r="B255" s="168"/>
      <c r="C255" s="169" t="s">
        <v>1139</v>
      </c>
      <c r="D255" s="233"/>
      <c r="E255" s="579" t="str">
        <f>_xlfn.TEXTJOIN(",",,TEXT('Unit Data from Audit Worksheet'!D284,"###-###-####")," "&amp;'Unit Data from Audit Worksheet'!D285)</f>
        <v xml:space="preserve">--, </v>
      </c>
      <c r="F255" s="354" t="str">
        <f>'Unit Data from Audit Worksheet'!F284</f>
        <v>Required</v>
      </c>
      <c r="G255" s="226"/>
      <c r="H255" s="223"/>
      <c r="I255" s="32"/>
      <c r="J255" s="171">
        <v>966</v>
      </c>
      <c r="K255" s="355" t="s">
        <v>407</v>
      </c>
      <c r="L255" s="356" t="str">
        <f t="shared" si="24"/>
        <v xml:space="preserve">--, </v>
      </c>
      <c r="N255" s="311"/>
      <c r="P255" s="204"/>
      <c r="X255" s="286">
        <v>966</v>
      </c>
      <c r="Y255" s="3">
        <v>966</v>
      </c>
      <c r="AA255" s="386">
        <f t="shared" si="20"/>
        <v>0</v>
      </c>
      <c r="AB255" s="286" t="b">
        <f t="shared" si="25"/>
        <v>1</v>
      </c>
    </row>
    <row r="256" spans="1:28" ht="30.75" customHeight="1" x14ac:dyDescent="0.3">
      <c r="A256" s="352">
        <f>'Unit Data from Audit Worksheet'!A286</f>
        <v>968</v>
      </c>
      <c r="B256" s="168"/>
      <c r="C256" s="169" t="str">
        <f>'Unit Data from Audit Worksheet'!B286</f>
        <v>E-mail address</v>
      </c>
      <c r="D256" s="233"/>
      <c r="E256" s="353">
        <f>'Unit Data from Audit Worksheet'!D286</f>
        <v>0</v>
      </c>
      <c r="F256" s="354" t="str">
        <f>'Unit Data from Audit Worksheet'!F286</f>
        <v>Required</v>
      </c>
      <c r="G256" s="226"/>
      <c r="H256" s="223"/>
      <c r="I256" s="32"/>
      <c r="J256" s="171">
        <v>968</v>
      </c>
      <c r="K256" s="355" t="s">
        <v>408</v>
      </c>
      <c r="L256" s="356">
        <f t="shared" si="24"/>
        <v>0</v>
      </c>
      <c r="N256" s="311"/>
      <c r="P256" s="204"/>
      <c r="X256" s="286">
        <v>968</v>
      </c>
      <c r="Y256" s="3">
        <v>968</v>
      </c>
      <c r="AA256" s="386">
        <f t="shared" si="20"/>
        <v>0</v>
      </c>
      <c r="AB256" s="286" t="b">
        <f t="shared" si="25"/>
        <v>1</v>
      </c>
    </row>
    <row r="257" spans="1:28" ht="111" customHeight="1" x14ac:dyDescent="0.3">
      <c r="A257" s="359">
        <v>980</v>
      </c>
      <c r="B257" s="237" t="s">
        <v>600</v>
      </c>
      <c r="C257" s="248" t="str">
        <f>'TD Info Completed by Auditor'!B32</f>
        <v>Date the auditor presented or plans to present Financial Performance Indicators of Concern (FPIC) to the Governing Board.  If there are no FPICs to present to the governing board,  enter "7/1/2023" to indicate that an FPIC response is not required.</v>
      </c>
      <c r="D257" s="233"/>
      <c r="E257" s="635" t="str">
        <f>IF('TD Info Completed by Auditor'!C32&gt;0,'TD Info Completed by Auditor'!C32," ")</f>
        <v xml:space="preserve"> </v>
      </c>
      <c r="F257" s="360" t="s">
        <v>656</v>
      </c>
      <c r="G257" s="226"/>
      <c r="H257" s="223"/>
      <c r="I257" s="32"/>
      <c r="J257" s="249">
        <v>980</v>
      </c>
      <c r="K257" s="250" t="s">
        <v>592</v>
      </c>
      <c r="L257" s="361" t="str">
        <f t="shared" si="24"/>
        <v xml:space="preserve"> </v>
      </c>
      <c r="N257" s="389" t="s">
        <v>657</v>
      </c>
      <c r="P257" s="204"/>
      <c r="X257" s="286" t="e">
        <v>#N/A</v>
      </c>
      <c r="AA257" s="386">
        <f t="shared" si="20"/>
        <v>0</v>
      </c>
      <c r="AB257" s="286" t="b">
        <f t="shared" si="25"/>
        <v>1</v>
      </c>
    </row>
    <row r="258" spans="1:28" s="386" customFormat="1" ht="135.6" customHeight="1" x14ac:dyDescent="0.3">
      <c r="A258" s="212">
        <f>'Unit Data from Audit Worksheet'!A77</f>
        <v>590</v>
      </c>
      <c r="B258" s="212" t="str">
        <f>'Unit Data from Audit Worksheet'!B77</f>
        <v>Fiscal Review, UAL Determination, Financial Performance Indicator</v>
      </c>
      <c r="C258" s="74" t="str">
        <f>'Unit Data from Audit Worksheet'!D77</f>
        <v>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3"/>
      <c r="E258" s="664" t="str">
        <f>CONCATENATE('Unit Data from Audit Worksheet'!F77," - ",'Unit Data from Audit Worksheet'!G77)</f>
        <v xml:space="preserve"> - </v>
      </c>
      <c r="F258" s="660"/>
      <c r="G258" s="226"/>
      <c r="H258" s="223"/>
      <c r="I258" s="32"/>
      <c r="J258" s="249">
        <v>590</v>
      </c>
      <c r="K258" s="250" t="s">
        <v>1550</v>
      </c>
      <c r="L258" s="665" t="str">
        <f t="shared" si="24"/>
        <v xml:space="preserve"> - </v>
      </c>
      <c r="M258"/>
      <c r="N258" s="389"/>
      <c r="P258" s="204"/>
      <c r="Q258" s="279"/>
      <c r="X258" s="286"/>
      <c r="AB258" s="286"/>
    </row>
    <row r="259" spans="1:28" s="386" customFormat="1" ht="135.6" customHeight="1" x14ac:dyDescent="0.3">
      <c r="A259" s="1019">
        <f>'TD Info Completed by Auditor'!A31</f>
        <v>1079</v>
      </c>
      <c r="B259" s="1019"/>
      <c r="C259" s="1020" t="str">
        <f>'TD Info Completed by Auditor'!B31</f>
        <v>What date was the audit report submitted to the LGC?  (Note audit reports are due four months after fiscal year end regardless of the contract submission date.)  Enter as "MM/DD/YYYY"</v>
      </c>
      <c r="D259" s="233"/>
      <c r="E259" s="1021">
        <f>'TD Info Completed by Auditor'!C31</f>
        <v>0</v>
      </c>
      <c r="F259" s="1022"/>
      <c r="G259" s="226"/>
      <c r="H259" s="223"/>
      <c r="I259" s="1023"/>
      <c r="J259" s="1024">
        <v>1079</v>
      </c>
      <c r="K259" s="1025" t="s">
        <v>2876</v>
      </c>
      <c r="L259" s="1026">
        <f>E259</f>
        <v>0</v>
      </c>
      <c r="M259" s="180"/>
      <c r="N259" s="389"/>
      <c r="P259" s="204"/>
      <c r="Q259" s="279"/>
      <c r="X259" s="286"/>
      <c r="AB259" s="286"/>
    </row>
    <row r="260" spans="1:28" ht="83.4" customHeight="1" x14ac:dyDescent="0.3">
      <c r="A260" s="334"/>
      <c r="B260" s="90"/>
      <c r="C260" s="335"/>
      <c r="D260" s="337"/>
      <c r="E260" s="338"/>
      <c r="F260" s="339"/>
      <c r="G260" s="340"/>
      <c r="H260" s="341"/>
      <c r="I260" s="32"/>
      <c r="J260" s="161">
        <v>999</v>
      </c>
      <c r="K260" s="348" t="s">
        <v>278</v>
      </c>
      <c r="L260" s="362" t="e">
        <f>'Unit Data from Audit Worksheet'!D3</f>
        <v>#N/A</v>
      </c>
      <c r="N260" s="363" t="s">
        <v>2879</v>
      </c>
      <c r="O260" s="363" t="s">
        <v>655</v>
      </c>
      <c r="P260" s="204"/>
      <c r="X260" s="286" t="e">
        <v>#N/A</v>
      </c>
      <c r="AA260" s="386">
        <f t="shared" si="20"/>
        <v>-999</v>
      </c>
      <c r="AB260" s="286" t="e">
        <f t="shared" si="25"/>
        <v>#N/A</v>
      </c>
    </row>
    <row r="261" spans="1:28" x14ac:dyDescent="0.3">
      <c r="A261" s="187"/>
      <c r="B261" s="187"/>
      <c r="C261" s="187"/>
      <c r="D261" s="187"/>
      <c r="E261" s="187"/>
      <c r="F261" s="187"/>
      <c r="G261" s="187"/>
      <c r="H261" s="187"/>
      <c r="I261" s="187"/>
      <c r="J261" s="3"/>
      <c r="K261" s="3"/>
      <c r="L261" s="3"/>
      <c r="N261" s="4"/>
      <c r="P261" s="204"/>
      <c r="AA261" s="386"/>
    </row>
    <row r="262" spans="1:28" s="386" customFormat="1" x14ac:dyDescent="0.3">
      <c r="A262" s="187"/>
      <c r="B262" s="187"/>
      <c r="C262" s="187"/>
      <c r="D262" s="187"/>
      <c r="E262" s="187"/>
      <c r="F262" s="187"/>
      <c r="G262" s="187"/>
      <c r="H262" s="187"/>
      <c r="I262" s="187"/>
      <c r="M262"/>
      <c r="N262" s="4"/>
      <c r="P262" s="204"/>
      <c r="Q262" s="279"/>
    </row>
    <row r="263" spans="1:28" x14ac:dyDescent="0.3">
      <c r="C263" s="646"/>
      <c r="D263" s="365"/>
      <c r="E263" s="366"/>
      <c r="F263" s="366"/>
      <c r="G263" s="367"/>
      <c r="H263" s="366"/>
      <c r="I263" s="368"/>
      <c r="K263" s="728" t="s">
        <v>1551</v>
      </c>
      <c r="L263" s="730" t="e">
        <f>SUM(L4:L245)</f>
        <v>#N/A</v>
      </c>
      <c r="N263" s="4"/>
      <c r="P263" s="204"/>
      <c r="AA263" s="386"/>
    </row>
    <row r="264" spans="1:28" ht="19.2" customHeight="1" x14ac:dyDescent="0.3">
      <c r="A264"/>
      <c r="B264"/>
      <c r="C264"/>
      <c r="D264"/>
      <c r="E264"/>
      <c r="F264"/>
      <c r="G264" s="367"/>
      <c r="H264" s="366"/>
      <c r="I264" s="368"/>
      <c r="K264" s="729" t="s">
        <v>1535</v>
      </c>
      <c r="L264" s="730"/>
      <c r="N264" s="4"/>
      <c r="P264" s="204"/>
      <c r="AA264" s="386"/>
    </row>
    <row r="265" spans="1:28" ht="21.6" customHeight="1" x14ac:dyDescent="0.7">
      <c r="B265" s="3"/>
      <c r="C265" s="3"/>
      <c r="D265" s="73"/>
      <c r="E265" s="96"/>
      <c r="F265" s="73"/>
      <c r="G265" s="367"/>
      <c r="H265" s="366"/>
      <c r="I265" s="368"/>
      <c r="J265" s="148"/>
      <c r="K265" s="147"/>
      <c r="L265" s="730" t="e">
        <f>L263-L264</f>
        <v>#N/A</v>
      </c>
      <c r="N265" s="4"/>
      <c r="P265" s="204"/>
      <c r="Y265" s="386">
        <v>590</v>
      </c>
      <c r="AA265" s="386"/>
    </row>
    <row r="266" spans="1:28" ht="25.2" customHeight="1" x14ac:dyDescent="0.3">
      <c r="A266" s="187"/>
      <c r="B266" s="187"/>
      <c r="C266" s="187"/>
      <c r="D266" s="187"/>
      <c r="E266" s="187"/>
      <c r="F266" s="366"/>
      <c r="G266" s="367"/>
      <c r="H266" s="366"/>
      <c r="I266" s="368"/>
      <c r="K266" s="10"/>
      <c r="L266" s="369"/>
      <c r="P266" s="204"/>
      <c r="X266" s="286">
        <f>SUM(X5:X211)</f>
        <v>83710</v>
      </c>
      <c r="Y266" s="3">
        <v>96734</v>
      </c>
      <c r="AA266" s="386"/>
    </row>
    <row r="267" spans="1:28" x14ac:dyDescent="0.3">
      <c r="A267" s="187"/>
      <c r="B267" s="187"/>
      <c r="C267" s="187"/>
      <c r="D267" s="187"/>
      <c r="E267" s="187"/>
      <c r="F267" s="366"/>
      <c r="G267" s="367"/>
      <c r="H267" s="366"/>
      <c r="I267" s="368"/>
      <c r="K267" s="10"/>
      <c r="P267" s="204"/>
      <c r="X267" s="286">
        <f>SUM(X247:X256)</f>
        <v>9566</v>
      </c>
      <c r="AA267" s="386"/>
    </row>
    <row r="268" spans="1:28" ht="18.75" customHeight="1" x14ac:dyDescent="0.3">
      <c r="A268" s="187"/>
      <c r="B268" s="187"/>
      <c r="C268" s="187"/>
      <c r="D268" s="187"/>
      <c r="E268" s="187"/>
      <c r="F268" s="366"/>
      <c r="G268" s="367"/>
      <c r="H268" s="366"/>
      <c r="I268" s="368"/>
      <c r="K268" s="10"/>
      <c r="L268"/>
      <c r="P268" s="204"/>
      <c r="Y268" s="3" t="s">
        <v>892</v>
      </c>
      <c r="AA268" s="386"/>
    </row>
    <row r="269" spans="1:28" ht="30.75" customHeight="1" x14ac:dyDescent="0.3">
      <c r="A269" s="187"/>
      <c r="B269" s="187"/>
      <c r="C269" s="187"/>
      <c r="D269" s="187"/>
      <c r="E269" s="187"/>
      <c r="F269" s="366"/>
      <c r="G269" s="367"/>
      <c r="H269" s="366"/>
      <c r="I269" s="368"/>
      <c r="K269" s="10"/>
      <c r="L269" s="369"/>
      <c r="P269" s="204"/>
      <c r="X269" s="286">
        <f>SUM(X266:X268)</f>
        <v>93276</v>
      </c>
      <c r="Y269" s="3">
        <f>Y266</f>
        <v>96734</v>
      </c>
      <c r="Z269" s="286">
        <f>X269-Y269</f>
        <v>-3458</v>
      </c>
      <c r="AA269" s="386"/>
    </row>
    <row r="270" spans="1:28" ht="30.75" customHeight="1" x14ac:dyDescent="0.3">
      <c r="A270" s="187"/>
      <c r="B270" s="187"/>
      <c r="C270" s="187"/>
      <c r="D270" s="187"/>
      <c r="E270" s="187"/>
      <c r="F270" s="366"/>
      <c r="G270" s="367"/>
      <c r="H270" s="366"/>
      <c r="I270" s="368"/>
      <c r="K270" s="10"/>
      <c r="L270" s="369"/>
      <c r="P270" s="204"/>
      <c r="AA270" s="386"/>
    </row>
    <row r="271" spans="1:28" ht="30.75" customHeight="1" x14ac:dyDescent="0.3">
      <c r="A271" s="187"/>
      <c r="B271" s="187"/>
      <c r="C271" s="187"/>
      <c r="D271" s="187"/>
      <c r="E271" s="187"/>
      <c r="F271" s="366"/>
      <c r="G271" s="367"/>
      <c r="H271" s="366"/>
      <c r="I271" s="368"/>
      <c r="K271" s="10"/>
      <c r="L271" s="369"/>
      <c r="P271" s="204"/>
      <c r="AA271" s="386"/>
    </row>
    <row r="272" spans="1:28" ht="30.75" customHeight="1" x14ac:dyDescent="0.3">
      <c r="A272" s="187"/>
      <c r="B272" s="187"/>
      <c r="C272" s="187"/>
      <c r="D272" s="187"/>
      <c r="E272" s="187"/>
      <c r="F272" s="366"/>
      <c r="G272" s="367"/>
      <c r="H272" s="366"/>
      <c r="I272" s="368"/>
      <c r="K272" s="10"/>
      <c r="L272" s="369"/>
      <c r="P272" s="204"/>
      <c r="AA272" s="386"/>
    </row>
    <row r="273" spans="1:27" ht="30.75" customHeight="1" x14ac:dyDescent="0.3">
      <c r="A273" s="187"/>
      <c r="B273" s="187"/>
      <c r="C273" s="187"/>
      <c r="D273" s="187"/>
      <c r="E273" s="187"/>
      <c r="F273" s="366"/>
      <c r="G273" s="367"/>
      <c r="H273" s="366"/>
      <c r="I273" s="368"/>
      <c r="K273" s="10"/>
      <c r="L273" s="369"/>
      <c r="P273" s="204"/>
      <c r="AA273" s="386"/>
    </row>
    <row r="274" spans="1:27" x14ac:dyDescent="0.3">
      <c r="A274" s="187"/>
      <c r="B274" s="187"/>
      <c r="C274" s="187"/>
      <c r="D274" s="187"/>
      <c r="E274" s="187"/>
      <c r="I274" s="368"/>
      <c r="K274" s="10"/>
      <c r="L274" s="369"/>
      <c r="P274" s="204"/>
      <c r="AA274" s="386"/>
    </row>
    <row r="275" spans="1:27" x14ac:dyDescent="0.3">
      <c r="A275" s="187"/>
      <c r="B275" s="187"/>
      <c r="C275" s="187"/>
      <c r="D275" s="187"/>
      <c r="E275" s="187"/>
      <c r="I275" s="368"/>
      <c r="L275" s="369"/>
      <c r="P275" s="204"/>
      <c r="AA275" s="386"/>
    </row>
    <row r="276" spans="1:27" x14ac:dyDescent="0.3">
      <c r="A276" s="5"/>
      <c r="B276" s="370"/>
      <c r="C276" s="23"/>
      <c r="D276" s="72"/>
      <c r="I276" s="368"/>
      <c r="L276" s="369"/>
      <c r="P276" s="204"/>
      <c r="AA276" s="386"/>
    </row>
    <row r="277" spans="1:27" x14ac:dyDescent="0.3">
      <c r="A277" s="5"/>
      <c r="B277" s="370"/>
      <c r="C277" s="23"/>
      <c r="D277" s="72"/>
      <c r="L277" s="369"/>
      <c r="P277" s="204"/>
      <c r="AA277" s="386"/>
    </row>
    <row r="278" spans="1:27" x14ac:dyDescent="0.3">
      <c r="D278" s="72"/>
      <c r="P278" s="204"/>
      <c r="AA278" s="386"/>
    </row>
    <row r="279" spans="1:27" x14ac:dyDescent="0.3">
      <c r="D279" s="72"/>
      <c r="P279" s="204"/>
      <c r="AA279" s="386"/>
    </row>
    <row r="280" spans="1:27" x14ac:dyDescent="0.3">
      <c r="D280" s="72"/>
      <c r="P280" s="204"/>
      <c r="AA280" s="386"/>
    </row>
    <row r="281" spans="1:27" x14ac:dyDescent="0.3">
      <c r="D281" s="72"/>
      <c r="P281" s="204"/>
      <c r="AA281" s="386"/>
    </row>
    <row r="282" spans="1:27" x14ac:dyDescent="0.3">
      <c r="A282" s="5"/>
      <c r="B282" s="370"/>
      <c r="C282" s="23"/>
      <c r="D282" s="72"/>
      <c r="P282" s="204"/>
      <c r="AA282" s="386"/>
    </row>
    <row r="283" spans="1:27" x14ac:dyDescent="0.3">
      <c r="A283" s="5"/>
      <c r="B283" s="370"/>
      <c r="C283" s="23"/>
      <c r="D283" s="72"/>
      <c r="P283" s="204"/>
      <c r="AA283" s="386"/>
    </row>
    <row r="284" spans="1:27" x14ac:dyDescent="0.3">
      <c r="D284" s="72"/>
      <c r="P284" s="204"/>
      <c r="AA284" s="386"/>
    </row>
    <row r="285" spans="1:27" x14ac:dyDescent="0.3">
      <c r="D285" s="72"/>
      <c r="P285" s="204"/>
      <c r="AA285" s="386"/>
    </row>
    <row r="286" spans="1:27" x14ac:dyDescent="0.3">
      <c r="D286" s="72"/>
      <c r="P286" s="204"/>
      <c r="AA286" s="386"/>
    </row>
    <row r="287" spans="1:27" x14ac:dyDescent="0.3">
      <c r="D287" s="72"/>
      <c r="P287" s="204"/>
      <c r="AA287" s="386"/>
    </row>
    <row r="288" spans="1:27" x14ac:dyDescent="0.3">
      <c r="A288" s="5"/>
      <c r="B288" s="370"/>
      <c r="C288" s="23"/>
      <c r="D288" s="72"/>
      <c r="P288" s="204"/>
      <c r="AA288" s="386"/>
    </row>
    <row r="289" spans="1:27" x14ac:dyDescent="0.3">
      <c r="A289" s="5"/>
      <c r="B289" s="370"/>
      <c r="C289" s="23"/>
      <c r="D289" s="72"/>
      <c r="P289" s="204"/>
      <c r="AA289" s="386"/>
    </row>
    <row r="290" spans="1:27" x14ac:dyDescent="0.3">
      <c r="D290" s="72"/>
      <c r="P290" s="204"/>
      <c r="AA290" s="386"/>
    </row>
    <row r="291" spans="1:27" x14ac:dyDescent="0.3">
      <c r="D291" s="72"/>
      <c r="P291" s="204"/>
      <c r="AA291" s="386"/>
    </row>
    <row r="292" spans="1:27" x14ac:dyDescent="0.3">
      <c r="D292" s="72"/>
      <c r="P292" s="204"/>
      <c r="AA292" s="386"/>
    </row>
    <row r="293" spans="1:27" x14ac:dyDescent="0.3">
      <c r="D293" s="72"/>
      <c r="P293" s="204"/>
      <c r="AA293" s="386"/>
    </row>
    <row r="294" spans="1:27" x14ac:dyDescent="0.3">
      <c r="A294" s="5"/>
      <c r="B294" s="370"/>
      <c r="C294" s="23"/>
      <c r="D294" s="72"/>
      <c r="P294" s="204"/>
      <c r="AA294" s="386"/>
    </row>
    <row r="295" spans="1:27" x14ac:dyDescent="0.3">
      <c r="A295" s="5"/>
      <c r="B295" s="370"/>
      <c r="C295" s="23"/>
      <c r="D295" s="72"/>
      <c r="P295" s="204"/>
      <c r="AA295" s="386"/>
    </row>
    <row r="296" spans="1:27" x14ac:dyDescent="0.3">
      <c r="A296" s="5"/>
      <c r="B296" s="370"/>
      <c r="C296" s="23"/>
      <c r="D296" s="72"/>
      <c r="P296" s="204"/>
      <c r="AA296" s="386"/>
    </row>
    <row r="297" spans="1:27" x14ac:dyDescent="0.3">
      <c r="A297" s="5"/>
      <c r="B297" s="370"/>
      <c r="C297" s="23"/>
      <c r="D297" s="72"/>
      <c r="P297" s="204"/>
      <c r="AA297" s="386"/>
    </row>
    <row r="298" spans="1:27" x14ac:dyDescent="0.3">
      <c r="D298" s="72"/>
      <c r="P298" s="204"/>
      <c r="AA298" s="386"/>
    </row>
    <row r="299" spans="1:27" x14ac:dyDescent="0.3">
      <c r="D299" s="72"/>
      <c r="P299" s="204"/>
      <c r="AA299" s="386"/>
    </row>
    <row r="300" spans="1:27" x14ac:dyDescent="0.3">
      <c r="D300" s="72"/>
      <c r="P300" s="204"/>
      <c r="AA300" s="386"/>
    </row>
    <row r="301" spans="1:27" x14ac:dyDescent="0.3">
      <c r="A301" s="5"/>
      <c r="B301" s="370"/>
      <c r="C301" s="23"/>
      <c r="D301" s="72"/>
      <c r="P301" s="204"/>
      <c r="AA301" s="386"/>
    </row>
    <row r="302" spans="1:27" x14ac:dyDescent="0.3">
      <c r="A302" s="5"/>
      <c r="B302" s="370"/>
      <c r="C302" s="23"/>
      <c r="D302" s="72"/>
      <c r="P302" s="204"/>
      <c r="AA302" s="386"/>
    </row>
    <row r="303" spans="1:27" x14ac:dyDescent="0.3">
      <c r="A303" s="5"/>
      <c r="B303" s="370"/>
      <c r="C303" s="23"/>
      <c r="D303" s="72"/>
      <c r="P303" s="204"/>
      <c r="AA303" s="386"/>
    </row>
    <row r="304" spans="1:27" x14ac:dyDescent="0.3">
      <c r="A304" s="5"/>
      <c r="B304" s="370"/>
      <c r="C304" s="23"/>
      <c r="D304" s="72"/>
      <c r="P304" s="204"/>
      <c r="AA304" s="386"/>
    </row>
    <row r="305" spans="1:27" x14ac:dyDescent="0.3">
      <c r="A305" s="5"/>
      <c r="B305" s="370"/>
      <c r="C305" s="23"/>
      <c r="D305" s="72"/>
      <c r="P305" s="204"/>
      <c r="AA305" s="386"/>
    </row>
    <row r="306" spans="1:27" x14ac:dyDescent="0.3">
      <c r="A306" s="5"/>
      <c r="B306" s="370"/>
      <c r="C306" s="23"/>
      <c r="D306" s="72"/>
      <c r="P306" s="204"/>
      <c r="AA306" s="386"/>
    </row>
    <row r="307" spans="1:27" x14ac:dyDescent="0.3">
      <c r="A307" s="5"/>
      <c r="B307" s="370"/>
      <c r="C307" s="23"/>
      <c r="D307" s="72"/>
      <c r="P307" s="204"/>
      <c r="AA307" s="386"/>
    </row>
    <row r="308" spans="1:27" x14ac:dyDescent="0.3">
      <c r="A308" s="5"/>
      <c r="B308" s="370"/>
      <c r="C308" s="23"/>
      <c r="D308" s="72"/>
      <c r="P308" s="204"/>
      <c r="AA308" s="386"/>
    </row>
    <row r="309" spans="1:27" x14ac:dyDescent="0.3">
      <c r="A309" s="5"/>
      <c r="B309" s="370"/>
      <c r="C309" s="23"/>
      <c r="D309" s="72"/>
      <c r="P309" s="204"/>
      <c r="AA309" s="386"/>
    </row>
    <row r="310" spans="1:27" x14ac:dyDescent="0.3">
      <c r="A310" s="5"/>
      <c r="B310" s="370"/>
      <c r="C310" s="23"/>
      <c r="D310" s="72"/>
      <c r="P310" s="204"/>
      <c r="AA310" s="386"/>
    </row>
    <row r="311" spans="1:27" x14ac:dyDescent="0.3">
      <c r="A311" s="5"/>
      <c r="B311" s="370"/>
      <c r="C311" s="23"/>
      <c r="D311" s="72"/>
      <c r="P311" s="204"/>
      <c r="AA311" s="386"/>
    </row>
    <row r="312" spans="1:27" x14ac:dyDescent="0.3">
      <c r="A312" s="5"/>
      <c r="B312" s="370"/>
      <c r="C312" s="23"/>
      <c r="D312" s="72"/>
      <c r="P312" s="204"/>
      <c r="AA312" s="386"/>
    </row>
    <row r="313" spans="1:27" x14ac:dyDescent="0.3">
      <c r="A313" s="5"/>
      <c r="B313" s="370"/>
      <c r="C313" s="23"/>
      <c r="D313" s="72"/>
      <c r="P313" s="204"/>
      <c r="AA313" s="386"/>
    </row>
    <row r="314" spans="1:27" x14ac:dyDescent="0.3">
      <c r="A314" s="5"/>
      <c r="B314" s="370"/>
      <c r="C314" s="23"/>
      <c r="D314" s="72"/>
      <c r="P314" s="204"/>
      <c r="AA314" s="386"/>
    </row>
    <row r="315" spans="1:27" x14ac:dyDescent="0.3">
      <c r="A315" s="5"/>
      <c r="B315" s="370"/>
      <c r="C315" s="23"/>
      <c r="D315" s="72"/>
      <c r="P315" s="204"/>
      <c r="AA315" s="386"/>
    </row>
    <row r="316" spans="1:27" x14ac:dyDescent="0.3">
      <c r="A316" s="5"/>
      <c r="B316" s="370"/>
      <c r="C316" s="23"/>
      <c r="D316" s="72"/>
      <c r="P316" s="204"/>
      <c r="AA316" s="386"/>
    </row>
    <row r="317" spans="1:27" x14ac:dyDescent="0.3">
      <c r="A317" s="5"/>
      <c r="B317" s="370"/>
      <c r="C317" s="23"/>
      <c r="D317" s="72"/>
      <c r="P317" s="204"/>
      <c r="AA317" s="386"/>
    </row>
    <row r="318" spans="1:27" x14ac:dyDescent="0.3">
      <c r="A318" s="5"/>
      <c r="B318" s="370"/>
      <c r="C318" s="23"/>
      <c r="D318" s="72"/>
      <c r="P318" s="204"/>
      <c r="AA318" s="386"/>
    </row>
    <row r="319" spans="1:27" x14ac:dyDescent="0.3">
      <c r="A319" s="5"/>
      <c r="B319" s="370"/>
      <c r="C319" s="23"/>
      <c r="D319" s="72"/>
      <c r="P319" s="204"/>
      <c r="AA319" s="386"/>
    </row>
    <row r="320" spans="1:27" x14ac:dyDescent="0.3">
      <c r="A320" s="5"/>
      <c r="B320" s="370"/>
      <c r="C320" s="23"/>
      <c r="D320" s="72"/>
      <c r="P320" s="204"/>
    </row>
    <row r="321" spans="1:16" x14ac:dyDescent="0.3">
      <c r="A321" s="5"/>
      <c r="B321" s="370"/>
      <c r="C321" s="23"/>
      <c r="D321" s="72"/>
      <c r="P321" s="204"/>
    </row>
    <row r="322" spans="1:16" x14ac:dyDescent="0.3">
      <c r="A322" s="5"/>
      <c r="B322" s="370"/>
      <c r="C322" s="23"/>
      <c r="D322" s="72"/>
      <c r="P322" s="204"/>
    </row>
    <row r="323" spans="1:16" x14ac:dyDescent="0.3">
      <c r="A323" s="5"/>
      <c r="B323" s="370"/>
      <c r="C323" s="23"/>
      <c r="D323" s="72"/>
      <c r="P323" s="204"/>
    </row>
    <row r="324" spans="1:16" x14ac:dyDescent="0.3">
      <c r="A324" s="5"/>
      <c r="B324" s="370"/>
      <c r="C324" s="23"/>
      <c r="D324" s="72"/>
      <c r="P324" s="204"/>
    </row>
    <row r="325" spans="1:16" x14ac:dyDescent="0.3">
      <c r="A325" s="5"/>
      <c r="B325" s="370"/>
      <c r="C325" s="23"/>
      <c r="D325" s="72"/>
      <c r="P325" s="204"/>
    </row>
    <row r="326" spans="1:16" x14ac:dyDescent="0.3">
      <c r="A326" s="5"/>
      <c r="B326" s="370"/>
      <c r="C326" s="23"/>
      <c r="D326" s="72"/>
      <c r="P326" s="204"/>
    </row>
    <row r="327" spans="1:16" x14ac:dyDescent="0.3">
      <c r="A327" s="5"/>
      <c r="B327" s="370"/>
      <c r="C327" s="23"/>
      <c r="D327" s="72"/>
      <c r="P327" s="204"/>
    </row>
    <row r="328" spans="1:16" x14ac:dyDescent="0.3">
      <c r="A328" s="5"/>
      <c r="B328" s="370"/>
      <c r="C328" s="23"/>
      <c r="D328" s="72"/>
      <c r="P328" s="204"/>
    </row>
    <row r="329" spans="1:16" x14ac:dyDescent="0.3">
      <c r="A329" s="5"/>
      <c r="B329" s="370"/>
      <c r="C329" s="23"/>
      <c r="D329" s="72"/>
      <c r="P329" s="204"/>
    </row>
    <row r="330" spans="1:16" x14ac:dyDescent="0.3">
      <c r="A330" s="5"/>
      <c r="B330" s="370"/>
      <c r="C330" s="23"/>
      <c r="D330" s="72"/>
      <c r="P330" s="204"/>
    </row>
    <row r="331" spans="1:16" x14ac:dyDescent="0.3">
      <c r="A331" s="5"/>
      <c r="B331" s="370"/>
      <c r="C331" s="23"/>
      <c r="D331" s="72"/>
      <c r="P331" s="204"/>
    </row>
    <row r="332" spans="1:16" x14ac:dyDescent="0.3">
      <c r="A332" s="5"/>
      <c r="B332" s="370"/>
      <c r="C332" s="23"/>
      <c r="D332" s="72"/>
      <c r="P332" s="204"/>
    </row>
    <row r="333" spans="1:16" x14ac:dyDescent="0.3">
      <c r="A333" s="5"/>
      <c r="B333" s="370"/>
      <c r="C333" s="23"/>
      <c r="D333" s="72"/>
      <c r="P333" s="204"/>
    </row>
    <row r="334" spans="1:16" x14ac:dyDescent="0.3">
      <c r="A334" s="5"/>
      <c r="B334" s="370"/>
      <c r="C334" s="23"/>
      <c r="D334" s="72"/>
      <c r="P334" s="204"/>
    </row>
    <row r="335" spans="1:16" x14ac:dyDescent="0.3">
      <c r="A335" s="5"/>
      <c r="B335" s="370"/>
      <c r="C335" s="23"/>
      <c r="D335" s="72"/>
      <c r="P335" s="204"/>
    </row>
    <row r="336" spans="1:16" x14ac:dyDescent="0.3">
      <c r="A336" s="5"/>
      <c r="B336" s="370"/>
      <c r="C336" s="23"/>
      <c r="D336" s="72"/>
      <c r="P336" s="204"/>
    </row>
    <row r="337" spans="1:16" x14ac:dyDescent="0.3">
      <c r="A337" s="5"/>
      <c r="B337" s="370"/>
      <c r="C337" s="23"/>
      <c r="D337" s="72"/>
      <c r="P337" s="204"/>
    </row>
    <row r="338" spans="1:16" x14ac:dyDescent="0.3">
      <c r="A338" s="5"/>
      <c r="B338" s="370"/>
      <c r="C338" s="23"/>
      <c r="D338" s="72"/>
      <c r="P338" s="204"/>
    </row>
    <row r="339" spans="1:16" x14ac:dyDescent="0.3">
      <c r="A339" s="5"/>
      <c r="B339" s="370"/>
      <c r="C339" s="23"/>
      <c r="D339" s="72"/>
      <c r="P339" s="204"/>
    </row>
    <row r="340" spans="1:16" x14ac:dyDescent="0.3">
      <c r="A340" s="5"/>
      <c r="B340" s="370"/>
      <c r="C340" s="23"/>
      <c r="D340" s="72"/>
      <c r="P340" s="204"/>
    </row>
    <row r="341" spans="1:16" x14ac:dyDescent="0.3">
      <c r="A341" s="5"/>
      <c r="B341" s="370"/>
      <c r="C341" s="23"/>
      <c r="D341" s="72"/>
      <c r="P341" s="204"/>
    </row>
    <row r="342" spans="1:16" x14ac:dyDescent="0.3">
      <c r="A342" s="5"/>
      <c r="B342" s="370"/>
      <c r="C342" s="23"/>
      <c r="D342" s="72"/>
      <c r="P342" s="204"/>
    </row>
    <row r="343" spans="1:16" x14ac:dyDescent="0.3">
      <c r="A343" s="5"/>
      <c r="B343" s="370"/>
      <c r="C343" s="23"/>
      <c r="D343" s="72"/>
      <c r="P343" s="204"/>
    </row>
    <row r="344" spans="1:16" x14ac:dyDescent="0.3">
      <c r="A344" s="5"/>
      <c r="B344" s="370"/>
      <c r="C344" s="23"/>
      <c r="D344" s="72"/>
      <c r="P344" s="204"/>
    </row>
    <row r="345" spans="1:16" x14ac:dyDescent="0.3">
      <c r="A345" s="5"/>
      <c r="B345" s="370"/>
      <c r="C345" s="23"/>
      <c r="D345" s="72"/>
      <c r="P345" s="204"/>
    </row>
    <row r="346" spans="1:16" x14ac:dyDescent="0.3">
      <c r="A346" s="5"/>
      <c r="B346" s="370"/>
      <c r="C346" s="23"/>
      <c r="D346" s="72"/>
      <c r="P346" s="204"/>
    </row>
    <row r="347" spans="1:16" x14ac:dyDescent="0.3">
      <c r="A347" s="5"/>
      <c r="B347" s="370"/>
      <c r="C347" s="23"/>
      <c r="D347" s="72"/>
      <c r="P347" s="204"/>
    </row>
    <row r="348" spans="1:16" x14ac:dyDescent="0.3">
      <c r="A348" s="5"/>
      <c r="B348" s="370"/>
      <c r="C348" s="23"/>
      <c r="D348" s="72"/>
      <c r="P348" s="204"/>
    </row>
    <row r="349" spans="1:16" x14ac:dyDescent="0.3">
      <c r="A349" s="5"/>
      <c r="B349" s="370"/>
      <c r="C349" s="23"/>
      <c r="D349" s="72"/>
      <c r="P349" s="204"/>
    </row>
    <row r="350" spans="1:16" x14ac:dyDescent="0.3">
      <c r="A350" s="5"/>
      <c r="B350" s="370"/>
      <c r="C350" s="23"/>
      <c r="D350" s="72"/>
      <c r="P350" s="204"/>
    </row>
    <row r="351" spans="1:16" x14ac:dyDescent="0.3">
      <c r="A351" s="5"/>
      <c r="B351" s="370"/>
      <c r="C351" s="23"/>
      <c r="D351" s="72"/>
      <c r="P351" s="204"/>
    </row>
    <row r="352" spans="1:16" x14ac:dyDescent="0.3">
      <c r="A352" s="5"/>
      <c r="B352" s="370"/>
      <c r="C352" s="23"/>
      <c r="D352" s="72"/>
      <c r="P352" s="204"/>
    </row>
    <row r="353" spans="1:16" x14ac:dyDescent="0.3">
      <c r="A353" s="5"/>
      <c r="B353" s="370"/>
      <c r="C353" s="23"/>
      <c r="D353" s="72"/>
      <c r="P353" s="204"/>
    </row>
    <row r="354" spans="1:16" x14ac:dyDescent="0.3">
      <c r="A354" s="5"/>
      <c r="B354" s="370"/>
      <c r="C354" s="23"/>
      <c r="D354" s="72"/>
      <c r="P354" s="204"/>
    </row>
    <row r="355" spans="1:16" x14ac:dyDescent="0.3">
      <c r="A355" s="5"/>
      <c r="B355" s="370"/>
      <c r="C355" s="23"/>
      <c r="D355" s="72"/>
      <c r="P355" s="204"/>
    </row>
    <row r="356" spans="1:16" x14ac:dyDescent="0.3">
      <c r="A356" s="5"/>
      <c r="B356" s="370"/>
      <c r="C356" s="23"/>
      <c r="D356" s="72"/>
      <c r="P356" s="204"/>
    </row>
    <row r="357" spans="1:16" x14ac:dyDescent="0.3">
      <c r="A357" s="5"/>
      <c r="B357" s="370"/>
      <c r="C357" s="23"/>
      <c r="D357" s="72"/>
      <c r="P357" s="204"/>
    </row>
    <row r="358" spans="1:16" x14ac:dyDescent="0.3">
      <c r="A358" s="5"/>
      <c r="B358" s="370"/>
      <c r="C358" s="23"/>
      <c r="D358" s="72"/>
      <c r="P358" s="204"/>
    </row>
    <row r="359" spans="1:16" x14ac:dyDescent="0.3">
      <c r="A359" s="5"/>
      <c r="B359" s="370"/>
      <c r="C359" s="23"/>
      <c r="D359" s="72"/>
      <c r="P359" s="204"/>
    </row>
    <row r="360" spans="1:16" x14ac:dyDescent="0.3">
      <c r="A360" s="5"/>
      <c r="B360" s="370"/>
      <c r="C360" s="23"/>
      <c r="D360" s="72"/>
      <c r="P360" s="204"/>
    </row>
    <row r="361" spans="1:16" x14ac:dyDescent="0.3">
      <c r="A361" s="5"/>
      <c r="B361" s="370"/>
      <c r="C361" s="23"/>
      <c r="D361" s="72"/>
      <c r="P361" s="204"/>
    </row>
    <row r="362" spans="1:16" x14ac:dyDescent="0.3">
      <c r="A362" s="5"/>
      <c r="B362" s="370"/>
      <c r="C362" s="23"/>
      <c r="D362" s="72"/>
      <c r="P362" s="204"/>
    </row>
    <row r="363" spans="1:16" x14ac:dyDescent="0.3">
      <c r="A363" s="5"/>
      <c r="B363" s="370"/>
      <c r="C363" s="23"/>
      <c r="D363" s="72"/>
      <c r="P363" s="204"/>
    </row>
    <row r="364" spans="1:16" x14ac:dyDescent="0.3">
      <c r="A364" s="5"/>
      <c r="B364" s="370"/>
      <c r="C364" s="23"/>
      <c r="D364" s="72"/>
      <c r="P364" s="204"/>
    </row>
    <row r="365" spans="1:16" x14ac:dyDescent="0.3">
      <c r="A365" s="5"/>
      <c r="B365" s="370"/>
      <c r="C365" s="23"/>
      <c r="D365" s="72"/>
      <c r="P365" s="204"/>
    </row>
    <row r="366" spans="1:16" x14ac:dyDescent="0.3">
      <c r="A366" s="5"/>
      <c r="B366" s="370"/>
      <c r="C366" s="23"/>
      <c r="D366" s="72"/>
      <c r="P366" s="204"/>
    </row>
    <row r="367" spans="1:16" x14ac:dyDescent="0.3">
      <c r="A367" s="5"/>
      <c r="B367" s="370"/>
      <c r="C367" s="23"/>
      <c r="D367" s="72"/>
      <c r="P367" s="204"/>
    </row>
    <row r="368" spans="1:16" x14ac:dyDescent="0.3">
      <c r="A368" s="5"/>
      <c r="B368" s="370"/>
      <c r="C368" s="23"/>
      <c r="D368" s="72"/>
      <c r="P368" s="204"/>
    </row>
    <row r="369" spans="1:16" x14ac:dyDescent="0.3">
      <c r="A369" s="5"/>
      <c r="B369" s="370"/>
      <c r="C369" s="23"/>
      <c r="D369" s="72"/>
      <c r="P369" s="204"/>
    </row>
    <row r="370" spans="1:16" x14ac:dyDescent="0.3">
      <c r="A370" s="5"/>
      <c r="B370" s="370"/>
      <c r="C370" s="23"/>
      <c r="D370" s="72"/>
      <c r="P370" s="204"/>
    </row>
    <row r="371" spans="1:16" x14ac:dyDescent="0.3">
      <c r="A371" s="5"/>
      <c r="B371" s="370"/>
      <c r="C371" s="23"/>
      <c r="D371" s="72"/>
      <c r="P371" s="204"/>
    </row>
    <row r="372" spans="1:16" x14ac:dyDescent="0.3">
      <c r="A372" s="5"/>
      <c r="B372" s="370"/>
      <c r="C372" s="23"/>
      <c r="D372" s="72"/>
      <c r="P372" s="204"/>
    </row>
    <row r="373" spans="1:16" x14ac:dyDescent="0.3">
      <c r="A373" s="5"/>
      <c r="B373" s="370"/>
      <c r="C373" s="23"/>
      <c r="D373" s="72"/>
      <c r="P373" s="204"/>
    </row>
    <row r="374" spans="1:16" x14ac:dyDescent="0.3">
      <c r="A374" s="5"/>
      <c r="B374" s="370"/>
      <c r="C374" s="23"/>
      <c r="D374" s="72"/>
      <c r="P374" s="204"/>
    </row>
    <row r="375" spans="1:16" x14ac:dyDescent="0.3">
      <c r="A375" s="5"/>
      <c r="B375" s="370"/>
      <c r="C375" s="23"/>
      <c r="D375" s="72"/>
      <c r="P375" s="204"/>
    </row>
    <row r="376" spans="1:16" x14ac:dyDescent="0.3">
      <c r="A376" s="5"/>
      <c r="B376" s="370"/>
      <c r="C376" s="23"/>
      <c r="D376" s="72"/>
      <c r="P376" s="204"/>
    </row>
    <row r="377" spans="1:16" x14ac:dyDescent="0.3">
      <c r="A377" s="5"/>
      <c r="B377" s="370"/>
      <c r="C377" s="23"/>
      <c r="D377" s="72"/>
      <c r="P377" s="204"/>
    </row>
    <row r="378" spans="1:16" x14ac:dyDescent="0.3">
      <c r="A378" s="5"/>
      <c r="B378" s="370"/>
      <c r="C378" s="23"/>
      <c r="D378" s="72"/>
      <c r="P378" s="204"/>
    </row>
    <row r="379" spans="1:16" x14ac:dyDescent="0.3">
      <c r="A379" s="5"/>
      <c r="B379" s="370"/>
      <c r="C379" s="23"/>
      <c r="D379" s="72"/>
    </row>
    <row r="380" spans="1:16" x14ac:dyDescent="0.3">
      <c r="A380" s="5"/>
      <c r="B380" s="370"/>
      <c r="C380" s="23"/>
      <c r="D380" s="72"/>
      <c r="P380" s="204"/>
    </row>
    <row r="381" spans="1:16" x14ac:dyDescent="0.3">
      <c r="A381" s="5"/>
      <c r="B381" s="370"/>
      <c r="C381" s="23"/>
      <c r="D381" s="72"/>
    </row>
    <row r="382" spans="1:16" x14ac:dyDescent="0.3">
      <c r="A382" s="5"/>
      <c r="B382" s="370"/>
      <c r="C382" s="23"/>
      <c r="D382" s="72"/>
    </row>
    <row r="383" spans="1:16" x14ac:dyDescent="0.3">
      <c r="A383" s="5"/>
      <c r="B383" s="370"/>
      <c r="C383" s="23"/>
      <c r="D383" s="72"/>
    </row>
    <row r="384" spans="1:16" x14ac:dyDescent="0.3">
      <c r="A384" s="5"/>
      <c r="B384" s="370"/>
      <c r="C384" s="23"/>
      <c r="D384" s="72"/>
    </row>
    <row r="385" spans="1:4" x14ac:dyDescent="0.3">
      <c r="A385" s="5"/>
      <c r="B385" s="370"/>
      <c r="C385" s="23"/>
      <c r="D385" s="72"/>
    </row>
    <row r="386" spans="1:4" x14ac:dyDescent="0.3">
      <c r="A386" s="5"/>
      <c r="B386" s="370"/>
      <c r="C386" s="23"/>
      <c r="D386" s="72"/>
    </row>
    <row r="387" spans="1:4" x14ac:dyDescent="0.3">
      <c r="A387" s="5"/>
      <c r="B387" s="370"/>
      <c r="C387" s="23"/>
      <c r="D387" s="72"/>
    </row>
    <row r="388" spans="1:4" x14ac:dyDescent="0.3">
      <c r="A388" s="5"/>
      <c r="B388" s="370"/>
      <c r="C388" s="23"/>
      <c r="D388" s="72"/>
    </row>
    <row r="389" spans="1:4" x14ac:dyDescent="0.3">
      <c r="A389" s="5"/>
      <c r="B389" s="370"/>
      <c r="C389" s="23"/>
      <c r="D389" s="72"/>
    </row>
    <row r="390" spans="1:4" x14ac:dyDescent="0.3">
      <c r="A390" s="5"/>
      <c r="B390" s="370"/>
      <c r="C390" s="23"/>
      <c r="D390" s="72"/>
    </row>
    <row r="391" spans="1:4" x14ac:dyDescent="0.3">
      <c r="A391" s="5"/>
      <c r="B391" s="370"/>
      <c r="C391" s="23"/>
      <c r="D391" s="72"/>
    </row>
    <row r="392" spans="1:4" x14ac:dyDescent="0.3">
      <c r="A392" s="5"/>
      <c r="B392" s="370"/>
      <c r="C392" s="23"/>
      <c r="D392" s="72"/>
    </row>
    <row r="393" spans="1:4" x14ac:dyDescent="0.3">
      <c r="A393" s="5"/>
      <c r="B393" s="370"/>
      <c r="C393" s="23"/>
      <c r="D393" s="72"/>
    </row>
    <row r="394" spans="1:4" x14ac:dyDescent="0.3">
      <c r="A394" s="5"/>
      <c r="B394" s="370"/>
      <c r="C394" s="23"/>
      <c r="D394" s="72"/>
    </row>
    <row r="395" spans="1:4" x14ac:dyDescent="0.3">
      <c r="A395" s="5"/>
      <c r="B395" s="370"/>
      <c r="C395" s="23"/>
      <c r="D395" s="72"/>
    </row>
    <row r="396" spans="1:4" x14ac:dyDescent="0.3">
      <c r="A396" s="5"/>
      <c r="B396" s="370"/>
      <c r="C396" s="23"/>
      <c r="D396" s="72"/>
    </row>
    <row r="397" spans="1:4" x14ac:dyDescent="0.3">
      <c r="A397" s="5"/>
      <c r="B397" s="370"/>
      <c r="C397" s="23"/>
      <c r="D397" s="72"/>
    </row>
    <row r="398" spans="1:4" x14ac:dyDescent="0.3">
      <c r="A398" s="5"/>
      <c r="B398" s="370"/>
      <c r="C398" s="23"/>
      <c r="D398" s="72"/>
    </row>
    <row r="399" spans="1:4" x14ac:dyDescent="0.3">
      <c r="A399" s="5"/>
      <c r="B399" s="370"/>
      <c r="C399" s="23"/>
      <c r="D399" s="72"/>
    </row>
    <row r="400" spans="1:4" x14ac:dyDescent="0.3">
      <c r="A400" s="5"/>
      <c r="B400" s="370"/>
      <c r="C400" s="23"/>
      <c r="D400" s="72"/>
    </row>
    <row r="401" spans="1:4" x14ac:dyDescent="0.3">
      <c r="A401" s="5"/>
      <c r="B401" s="370"/>
      <c r="C401" s="23"/>
      <c r="D401" s="72"/>
    </row>
    <row r="402" spans="1:4" x14ac:dyDescent="0.3">
      <c r="A402" s="5"/>
      <c r="B402" s="370"/>
      <c r="C402" s="23"/>
      <c r="D402" s="72"/>
    </row>
    <row r="403" spans="1:4" x14ac:dyDescent="0.3">
      <c r="A403" s="5"/>
      <c r="B403" s="370"/>
      <c r="C403" s="23"/>
      <c r="D403" s="72"/>
    </row>
    <row r="404" spans="1:4" x14ac:dyDescent="0.3">
      <c r="A404" s="5"/>
      <c r="B404" s="370"/>
      <c r="C404" s="23"/>
      <c r="D404" s="72"/>
    </row>
    <row r="405" spans="1:4" x14ac:dyDescent="0.3">
      <c r="A405" s="5"/>
      <c r="B405" s="370"/>
      <c r="C405" s="23"/>
      <c r="D405" s="72"/>
    </row>
    <row r="406" spans="1:4" x14ac:dyDescent="0.3">
      <c r="A406" s="5"/>
      <c r="B406" s="370"/>
      <c r="C406" s="23"/>
      <c r="D406" s="72"/>
    </row>
    <row r="407" spans="1:4" x14ac:dyDescent="0.3">
      <c r="A407" s="5"/>
      <c r="B407" s="370"/>
      <c r="C407" s="23"/>
      <c r="D407" s="72"/>
    </row>
    <row r="408" spans="1:4" x14ac:dyDescent="0.3">
      <c r="A408" s="5"/>
      <c r="B408" s="370"/>
      <c r="C408" s="23"/>
      <c r="D408" s="72"/>
    </row>
    <row r="409" spans="1:4" x14ac:dyDescent="0.3">
      <c r="A409" s="5"/>
      <c r="B409" s="370"/>
      <c r="C409" s="23"/>
      <c r="D409" s="72"/>
    </row>
    <row r="410" spans="1:4" x14ac:dyDescent="0.3">
      <c r="A410" s="5"/>
      <c r="B410" s="370"/>
      <c r="C410" s="23"/>
      <c r="D410" s="72"/>
    </row>
    <row r="411" spans="1:4" x14ac:dyDescent="0.3">
      <c r="A411" s="5"/>
      <c r="B411" s="370"/>
      <c r="C411" s="23"/>
      <c r="D411" s="72"/>
    </row>
    <row r="412" spans="1:4" x14ac:dyDescent="0.3">
      <c r="A412" s="5"/>
      <c r="B412" s="370"/>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7"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08" t="s">
        <v>1597</v>
      </c>
      <c r="C1" s="708"/>
      <c r="D1" s="708"/>
    </row>
    <row r="2" spans="2:8" ht="27" customHeight="1" x14ac:dyDescent="0.3">
      <c r="B2" s="1180"/>
      <c r="C2" s="1180"/>
      <c r="D2" s="1180"/>
    </row>
    <row r="3" spans="2:8" ht="26.4" customHeight="1" x14ac:dyDescent="0.35">
      <c r="B3" s="697" t="str">
        <f>'Unit Data from Audit Worksheet'!D2</f>
        <v>Select Unit Name from Drop Down List</v>
      </c>
      <c r="C3" s="568"/>
      <c r="D3" s="698">
        <v>2023</v>
      </c>
      <c r="F3" s="711" t="s">
        <v>1598</v>
      </c>
      <c r="G3" s="712" t="s">
        <v>41</v>
      </c>
    </row>
    <row r="4" spans="2:8" ht="18.600000000000001" customHeight="1" x14ac:dyDescent="0.3">
      <c r="B4" s="699" t="s">
        <v>71</v>
      </c>
      <c r="C4" s="265"/>
    </row>
    <row r="5" spans="2:8" ht="19.2" customHeight="1" x14ac:dyDescent="0.3">
      <c r="B5" s="607" t="s">
        <v>1576</v>
      </c>
      <c r="C5" s="607"/>
      <c r="D5" s="268"/>
    </row>
    <row r="6" spans="2:8" ht="19.95" customHeight="1" x14ac:dyDescent="0.3">
      <c r="B6" s="685" t="s">
        <v>1592</v>
      </c>
      <c r="C6" s="685"/>
      <c r="D6" s="701">
        <f>Import!L38</f>
        <v>0</v>
      </c>
      <c r="F6" s="681">
        <v>506</v>
      </c>
      <c r="G6" s="527" t="s">
        <v>189</v>
      </c>
    </row>
    <row r="7" spans="2:8" ht="19.95" customHeight="1" x14ac:dyDescent="0.3">
      <c r="B7" s="685" t="s">
        <v>1577</v>
      </c>
      <c r="C7" s="685"/>
      <c r="D7" s="702">
        <f>Import!L39</f>
        <v>0</v>
      </c>
      <c r="F7" s="681">
        <v>536</v>
      </c>
      <c r="G7" s="527" t="s">
        <v>190</v>
      </c>
    </row>
    <row r="8" spans="2:8" ht="19.95" customHeight="1" x14ac:dyDescent="0.3">
      <c r="B8" s="685" t="s">
        <v>1578</v>
      </c>
      <c r="C8" s="685"/>
      <c r="D8" s="702">
        <f>Import!L69</f>
        <v>0</v>
      </c>
      <c r="F8" s="561">
        <v>647</v>
      </c>
      <c r="G8" s="624" t="s">
        <v>808</v>
      </c>
    </row>
    <row r="9" spans="2:8" ht="19.95" customHeight="1" x14ac:dyDescent="0.3">
      <c r="B9" s="691" t="s">
        <v>1596</v>
      </c>
      <c r="C9" s="692"/>
      <c r="D9" s="702">
        <f>-Import!L48</f>
        <v>0</v>
      </c>
      <c r="F9" s="693">
        <v>11</v>
      </c>
      <c r="G9" s="694" t="s">
        <v>194</v>
      </c>
    </row>
    <row r="10" spans="2:8" ht="19.95" customHeight="1" x14ac:dyDescent="0.3">
      <c r="B10" s="608" t="s">
        <v>1495</v>
      </c>
      <c r="C10" s="608"/>
      <c r="D10" s="703"/>
    </row>
    <row r="11" spans="2:8" ht="19.95" customHeight="1" x14ac:dyDescent="0.3">
      <c r="B11" s="685" t="s">
        <v>1579</v>
      </c>
      <c r="C11" s="685"/>
      <c r="D11" s="704">
        <f>Import!L43</f>
        <v>0</v>
      </c>
      <c r="F11" s="155">
        <v>4</v>
      </c>
      <c r="G11" s="527" t="s">
        <v>1580</v>
      </c>
    </row>
    <row r="12" spans="2:8" ht="19.95" customHeight="1" x14ac:dyDescent="0.3">
      <c r="B12" s="685" t="s">
        <v>1496</v>
      </c>
      <c r="C12" s="685"/>
      <c r="D12" s="704">
        <f>Import!L196</f>
        <v>0</v>
      </c>
      <c r="F12" s="155">
        <v>6</v>
      </c>
      <c r="G12" s="527" t="s">
        <v>251</v>
      </c>
    </row>
    <row r="13" spans="2:8" ht="19.95" customHeight="1" x14ac:dyDescent="0.3">
      <c r="B13" s="685" t="s">
        <v>1581</v>
      </c>
      <c r="C13" s="685"/>
      <c r="D13" s="705">
        <f>Import!L44</f>
        <v>0</v>
      </c>
      <c r="F13" s="155">
        <v>5</v>
      </c>
      <c r="G13" s="527" t="s">
        <v>1582</v>
      </c>
    </row>
    <row r="14" spans="2:8" ht="24.6" customHeight="1" thickBot="1" x14ac:dyDescent="0.35">
      <c r="B14" s="686" t="s">
        <v>1594</v>
      </c>
      <c r="C14" s="685"/>
      <c r="D14" s="709">
        <f>SUM(D6:D9)-SUM(D11:D13)</f>
        <v>0</v>
      </c>
      <c r="E14" s="687"/>
      <c r="F14" s="155" t="s">
        <v>1568</v>
      </c>
      <c r="G14" s="695" t="s">
        <v>1936</v>
      </c>
      <c r="H14" s="726"/>
    </row>
    <row r="15" spans="2:8" ht="19.95" customHeight="1" thickTop="1" x14ac:dyDescent="0.3">
      <c r="B15" s="19"/>
      <c r="C15" s="19"/>
      <c r="D15" s="610"/>
    </row>
    <row r="16" spans="2:8" ht="19.95" customHeight="1" x14ac:dyDescent="0.3">
      <c r="B16" s="607"/>
      <c r="C16" s="607"/>
      <c r="D16" s="611"/>
    </row>
    <row r="17" spans="2:18" ht="19.95" customHeight="1" x14ac:dyDescent="0.3">
      <c r="B17" s="19" t="s">
        <v>1497</v>
      </c>
      <c r="C17" s="19"/>
      <c r="D17" s="268"/>
    </row>
    <row r="18" spans="2:18" ht="19.95" customHeight="1" x14ac:dyDescent="0.3">
      <c r="B18" s="685" t="s">
        <v>1583</v>
      </c>
      <c r="C18" s="685"/>
      <c r="D18" s="706">
        <f>Import!L59</f>
        <v>0</v>
      </c>
      <c r="F18" s="155">
        <v>532</v>
      </c>
      <c r="G18" s="527" t="s">
        <v>926</v>
      </c>
    </row>
    <row r="19" spans="2:18" ht="13.95" customHeight="1" x14ac:dyDescent="0.3">
      <c r="C19" s="19"/>
      <c r="D19" s="704"/>
    </row>
    <row r="20" spans="2:18" ht="16.95" customHeight="1" x14ac:dyDescent="0.3">
      <c r="B20" s="19" t="s">
        <v>1498</v>
      </c>
      <c r="C20" s="19"/>
      <c r="D20" s="704"/>
    </row>
    <row r="21" spans="2:18" ht="19.95" customHeight="1" x14ac:dyDescent="0.3">
      <c r="B21" s="685" t="s">
        <v>1584</v>
      </c>
      <c r="C21" s="685"/>
      <c r="D21" s="707">
        <f>Import!L62</f>
        <v>0</v>
      </c>
      <c r="F21" s="155">
        <v>20</v>
      </c>
      <c r="G21" s="527" t="s">
        <v>1585</v>
      </c>
    </row>
    <row r="22" spans="2:18" ht="33.6" customHeight="1" x14ac:dyDescent="0.3">
      <c r="B22" s="685" t="s">
        <v>1586</v>
      </c>
      <c r="C22" s="685"/>
      <c r="D22" s="704">
        <f>Import!L65</f>
        <v>0</v>
      </c>
      <c r="F22" s="155">
        <v>509</v>
      </c>
      <c r="G22" s="527" t="s">
        <v>290</v>
      </c>
    </row>
    <row r="23" spans="2:18" ht="28.95" customHeight="1" x14ac:dyDescent="0.3">
      <c r="B23" s="685" t="s">
        <v>1587</v>
      </c>
      <c r="C23" s="685"/>
      <c r="D23" s="707">
        <f>Import!L63</f>
        <v>0</v>
      </c>
      <c r="F23" s="155">
        <v>533</v>
      </c>
      <c r="G23" s="527" t="s">
        <v>927</v>
      </c>
    </row>
    <row r="24" spans="2:18" ht="38.4" customHeight="1" x14ac:dyDescent="0.3">
      <c r="B24" s="685" t="s">
        <v>1588</v>
      </c>
      <c r="C24" s="685"/>
      <c r="D24" s="707">
        <f>Import!L64</f>
        <v>0</v>
      </c>
      <c r="F24" s="155">
        <v>508</v>
      </c>
      <c r="G24" s="527" t="s">
        <v>292</v>
      </c>
    </row>
    <row r="25" spans="2:18" ht="39" customHeight="1" x14ac:dyDescent="0.3">
      <c r="B25" s="691" t="s">
        <v>1593</v>
      </c>
      <c r="C25" s="685"/>
      <c r="D25" s="725">
        <f>Import!L60</f>
        <v>0</v>
      </c>
      <c r="F25" s="693">
        <v>1050</v>
      </c>
      <c r="G25" s="700" t="s">
        <v>1511</v>
      </c>
    </row>
    <row r="26" spans="2:18" ht="25.95" customHeight="1" thickBot="1" x14ac:dyDescent="0.35">
      <c r="B26" s="686" t="s">
        <v>1589</v>
      </c>
      <c r="C26" s="688"/>
      <c r="D26" s="710">
        <f>D18+D21+D22-D23-D24-D25</f>
        <v>0</v>
      </c>
      <c r="F26" s="155" t="s">
        <v>1568</v>
      </c>
      <c r="G26" s="695" t="s">
        <v>1595</v>
      </c>
    </row>
    <row r="27" spans="2:18" ht="19.95" customHeight="1" thickTop="1" x14ac:dyDescent="0.3">
      <c r="B27" s="268"/>
      <c r="C27" s="268"/>
      <c r="D27" s="268"/>
    </row>
    <row r="28" spans="2:18" s="528" customFormat="1" ht="40.950000000000003" customHeight="1" thickBot="1" x14ac:dyDescent="0.35">
      <c r="B28" s="686" t="s">
        <v>1590</v>
      </c>
      <c r="C28" s="688"/>
      <c r="D28" s="612" t="e">
        <f>D14/D26</f>
        <v>#DIV/0!</v>
      </c>
      <c r="F28" s="155" t="s">
        <v>1568</v>
      </c>
      <c r="G28" s="696" t="s">
        <v>1591</v>
      </c>
      <c r="I28" s="180"/>
      <c r="J28" s="180"/>
      <c r="K28" s="180"/>
      <c r="L28" s="180"/>
      <c r="M28" s="180"/>
      <c r="N28" s="180"/>
      <c r="O28" s="180"/>
      <c r="P28" s="180"/>
      <c r="Q28" s="180"/>
      <c r="R28" s="180"/>
    </row>
    <row r="29" spans="2:18" s="528" customFormat="1" ht="15" thickTop="1" x14ac:dyDescent="0.3">
      <c r="B29" s="608"/>
      <c r="C29" s="608"/>
      <c r="D29" s="689"/>
      <c r="F29" s="155"/>
      <c r="G29" s="696"/>
      <c r="I29" s="180"/>
      <c r="J29" s="180"/>
      <c r="K29" s="180"/>
      <c r="L29" s="180"/>
      <c r="M29" s="180"/>
      <c r="N29" s="180"/>
      <c r="O29" s="180"/>
      <c r="P29" s="180"/>
      <c r="Q29" s="180"/>
      <c r="R29" s="180"/>
    </row>
    <row r="30" spans="2:18" s="528" customFormat="1" x14ac:dyDescent="0.3">
      <c r="B30" s="608"/>
      <c r="C30" s="608"/>
      <c r="D30" s="689"/>
      <c r="F30" s="155"/>
      <c r="G30" s="696"/>
      <c r="I30" s="180"/>
      <c r="J30" s="180"/>
      <c r="K30" s="180"/>
      <c r="L30" s="180"/>
      <c r="M30" s="180"/>
      <c r="N30" s="180"/>
      <c r="O30" s="180"/>
      <c r="P30" s="180"/>
      <c r="Q30" s="180"/>
      <c r="R30" s="180"/>
    </row>
    <row r="31" spans="2:18" s="528" customFormat="1" x14ac:dyDescent="0.3">
      <c r="B31" s="690"/>
      <c r="C31" s="690"/>
      <c r="D31" s="689"/>
      <c r="F31" s="155"/>
      <c r="G31" s="696"/>
      <c r="I31" s="180"/>
      <c r="J31" s="180"/>
      <c r="K31" s="180"/>
      <c r="L31" s="180"/>
      <c r="M31" s="180"/>
      <c r="N31" s="180"/>
      <c r="O31" s="180"/>
      <c r="P31" s="180"/>
      <c r="Q31" s="180"/>
      <c r="R31" s="180"/>
    </row>
    <row r="32" spans="2:18" x14ac:dyDescent="0.3">
      <c r="B32" s="584"/>
      <c r="C32" s="584"/>
      <c r="D32" s="609"/>
    </row>
  </sheetData>
  <sheetProtection algorithmName="SHA-512" hashValue="brm2Fn1QvqB9x3qVZ0ATdw3ocZCRzOWTYFNtn9DUXc/ZewyUAh7Uqze//qm+mSSZA4uE7aeB93gFIZwK52gJYQ==" saltValue="zTwpkEGrT1Jcrym1gRe+HQ==" spinCount="100000" sheet="1" formatCells="0" formatColumns="0" formatRows="0"/>
  <mergeCells count="1">
    <mergeCell ref="B2:D2"/>
  </mergeCells>
  <pageMargins left="0.7" right="0.7" top="0.75" bottom="0.75" header="0.3" footer="0.3"/>
  <pageSetup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7" sqref="C7"/>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81" t="s">
        <v>104</v>
      </c>
      <c r="C2" s="1181"/>
      <c r="D2" s="1181"/>
      <c r="E2" s="1181"/>
      <c r="F2" s="606"/>
      <c r="G2" s="261"/>
    </row>
    <row r="4" spans="1:11" ht="15.6" x14ac:dyDescent="0.3">
      <c r="A4" s="261"/>
      <c r="B4" s="262" t="str">
        <f>'Unit Data from Audit Worksheet'!D2</f>
        <v>Select Unit Name from Drop Down List</v>
      </c>
      <c r="C4" s="683">
        <f>'Unit Data from Audit Worksheet'!F5</f>
        <v>2023</v>
      </c>
      <c r="E4" s="673">
        <f>'Unit Data from Audit Worksheet'!F5</f>
        <v>2023</v>
      </c>
    </row>
    <row r="5" spans="1:11" ht="27.6" x14ac:dyDescent="0.4">
      <c r="A5" s="264"/>
      <c r="B5" s="265" t="s">
        <v>71</v>
      </c>
      <c r="C5" s="263" t="s">
        <v>72</v>
      </c>
      <c r="D5" s="264"/>
      <c r="E5" s="266" t="s">
        <v>73</v>
      </c>
      <c r="G5" s="155"/>
      <c r="I5" s="180"/>
    </row>
    <row r="6" spans="1:11" x14ac:dyDescent="0.3">
      <c r="A6" s="261"/>
      <c r="B6" s="267" t="s">
        <v>74</v>
      </c>
      <c r="C6" s="268"/>
      <c r="D6" s="268"/>
      <c r="E6" s="268"/>
      <c r="G6" s="155"/>
      <c r="I6" s="180"/>
    </row>
    <row r="7" spans="1:11" x14ac:dyDescent="0.3">
      <c r="A7" s="261"/>
      <c r="B7" s="674" t="s">
        <v>1565</v>
      </c>
      <c r="C7" s="701">
        <f>Import!L38</f>
        <v>0</v>
      </c>
      <c r="D7" s="269"/>
      <c r="E7" s="701">
        <f>C7</f>
        <v>0</v>
      </c>
      <c r="G7" s="675">
        <v>506</v>
      </c>
      <c r="H7" s="676" t="s">
        <v>189</v>
      </c>
      <c r="I7" s="180"/>
    </row>
    <row r="8" spans="1:11" x14ac:dyDescent="0.3">
      <c r="A8" s="261"/>
      <c r="B8" s="674" t="s">
        <v>1566</v>
      </c>
      <c r="C8" s="703">
        <f>Import!L39</f>
        <v>0</v>
      </c>
      <c r="D8" s="270"/>
      <c r="E8" s="270"/>
      <c r="G8" s="675">
        <v>536</v>
      </c>
      <c r="H8" s="676" t="s">
        <v>190</v>
      </c>
      <c r="I8" s="180"/>
    </row>
    <row r="9" spans="1:11" x14ac:dyDescent="0.3">
      <c r="A9" s="261"/>
      <c r="B9" s="674" t="s">
        <v>173</v>
      </c>
      <c r="C9" s="740">
        <f>Import!L43</f>
        <v>0</v>
      </c>
      <c r="D9" s="270"/>
      <c r="E9" s="740">
        <f>C9</f>
        <v>0</v>
      </c>
      <c r="G9" s="675">
        <v>4</v>
      </c>
      <c r="H9" s="676" t="s">
        <v>111</v>
      </c>
      <c r="I9" s="180"/>
    </row>
    <row r="10" spans="1:11" x14ac:dyDescent="0.3">
      <c r="A10" s="261"/>
      <c r="B10" s="674" t="s">
        <v>75</v>
      </c>
      <c r="C10" s="704">
        <f>Import!L196</f>
        <v>0</v>
      </c>
      <c r="D10" s="270"/>
      <c r="E10" s="740">
        <f>C10</f>
        <v>0</v>
      </c>
      <c r="G10" s="675">
        <v>6</v>
      </c>
      <c r="H10" s="676" t="s">
        <v>251</v>
      </c>
      <c r="I10" s="180"/>
    </row>
    <row r="11" spans="1:11" x14ac:dyDescent="0.3">
      <c r="A11" s="261"/>
      <c r="B11" s="674" t="s">
        <v>76</v>
      </c>
      <c r="C11" s="705">
        <f>Import!L44</f>
        <v>0</v>
      </c>
      <c r="D11" s="271"/>
      <c r="E11" s="740">
        <f>C11</f>
        <v>0</v>
      </c>
      <c r="G11" s="675">
        <v>5</v>
      </c>
      <c r="H11" s="676" t="s">
        <v>112</v>
      </c>
      <c r="I11" s="180"/>
    </row>
    <row r="12" spans="1:11" x14ac:dyDescent="0.3">
      <c r="A12" s="19"/>
      <c r="B12" s="674" t="s">
        <v>77</v>
      </c>
      <c r="C12" s="741">
        <f>C7+C8-SUM(C9:C11)</f>
        <v>0</v>
      </c>
      <c r="E12" s="741">
        <f>E7-SUM(E9:E11)</f>
        <v>0</v>
      </c>
      <c r="G12" s="675" t="s">
        <v>1575</v>
      </c>
      <c r="H12" s="677" t="s">
        <v>1613</v>
      </c>
      <c r="I12" s="676" t="s">
        <v>1616</v>
      </c>
      <c r="J12" s="677" t="s">
        <v>1617</v>
      </c>
      <c r="K12" s="678"/>
    </row>
    <row r="13" spans="1:11" x14ac:dyDescent="0.3">
      <c r="A13" s="261"/>
      <c r="B13" s="261"/>
      <c r="C13" s="268"/>
      <c r="D13" s="268"/>
      <c r="E13" s="268"/>
      <c r="G13" s="675"/>
      <c r="H13" s="676"/>
      <c r="I13" s="180"/>
    </row>
    <row r="14" spans="1:11" x14ac:dyDescent="0.3">
      <c r="A14" s="261"/>
      <c r="B14" s="674" t="s">
        <v>1567</v>
      </c>
      <c r="C14" s="742">
        <f>Import!L51</f>
        <v>0</v>
      </c>
      <c r="D14" s="268"/>
      <c r="E14" s="268"/>
      <c r="G14" s="675">
        <v>9</v>
      </c>
      <c r="H14" s="676" t="s">
        <v>195</v>
      </c>
      <c r="I14" s="180"/>
    </row>
    <row r="15" spans="1:11" x14ac:dyDescent="0.3">
      <c r="A15" s="261"/>
      <c r="B15" s="674" t="s">
        <v>78</v>
      </c>
      <c r="C15" s="743">
        <f>C14-C12</f>
        <v>0</v>
      </c>
      <c r="D15" s="268"/>
      <c r="E15" s="268"/>
      <c r="G15" s="675" t="s">
        <v>1575</v>
      </c>
      <c r="H15" s="677" t="s">
        <v>1614</v>
      </c>
      <c r="I15" s="679"/>
    </row>
    <row r="16" spans="1:11" x14ac:dyDescent="0.3">
      <c r="A16" s="261"/>
      <c r="B16" s="272" t="s">
        <v>79</v>
      </c>
      <c r="C16" s="268"/>
      <c r="D16" s="268"/>
      <c r="E16" s="268"/>
      <c r="G16" s="675"/>
      <c r="H16" s="676"/>
      <c r="I16" s="180"/>
    </row>
    <row r="17" spans="1:9" x14ac:dyDescent="0.3">
      <c r="A17" s="273" t="s">
        <v>80</v>
      </c>
      <c r="B17" s="674" t="s">
        <v>1569</v>
      </c>
      <c r="C17" s="743">
        <f>Import!L47</f>
        <v>0</v>
      </c>
      <c r="D17" s="268"/>
      <c r="E17" s="268"/>
      <c r="G17" s="675">
        <v>7</v>
      </c>
      <c r="H17" s="676" t="s">
        <v>193</v>
      </c>
      <c r="I17" s="180"/>
    </row>
    <row r="18" spans="1:9" ht="15" thickBot="1" x14ac:dyDescent="0.35">
      <c r="B18" s="674" t="s">
        <v>81</v>
      </c>
      <c r="C18" s="744">
        <f>(C15-SUM(C17:C17))</f>
        <v>0</v>
      </c>
      <c r="D18" s="268"/>
      <c r="E18" s="268"/>
      <c r="G18" s="675" t="s">
        <v>1575</v>
      </c>
      <c r="H18" s="677" t="s">
        <v>1615</v>
      </c>
      <c r="I18" s="180"/>
    </row>
    <row r="19" spans="1:9" ht="15" thickTop="1" x14ac:dyDescent="0.3">
      <c r="B19" s="261"/>
      <c r="C19" s="268"/>
      <c r="D19" s="268"/>
      <c r="E19" s="268"/>
      <c r="G19" s="675"/>
      <c r="H19" s="676"/>
      <c r="I19" s="180"/>
    </row>
    <row r="20" spans="1:9" ht="15" thickBot="1" x14ac:dyDescent="0.35">
      <c r="B20" s="674" t="s">
        <v>1570</v>
      </c>
      <c r="C20" s="745">
        <f>Import!L46</f>
        <v>0</v>
      </c>
      <c r="D20" s="268"/>
      <c r="E20" s="268"/>
      <c r="G20" s="675">
        <v>391</v>
      </c>
      <c r="H20" s="676" t="s">
        <v>192</v>
      </c>
      <c r="I20" s="180"/>
    </row>
    <row r="21" spans="1:9" ht="15.6" thickTop="1" thickBot="1" x14ac:dyDescent="0.35">
      <c r="B21" s="274"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46">
        <f>ABS(C18-C20)</f>
        <v>0</v>
      </c>
      <c r="D21" s="268"/>
      <c r="E21" s="268"/>
      <c r="G21" s="155"/>
      <c r="I21" s="180"/>
    </row>
    <row r="22" spans="1:9" ht="15" thickTop="1" x14ac:dyDescent="0.3">
      <c r="B22" s="680" t="str">
        <f>IF(C18&gt;C20,"Since Restricted-Stabilization by State Statute was understated, verfiy that the unit did not appropriate fund balance in excess of legal amount available in row 12 above.","")</f>
        <v/>
      </c>
      <c r="C22" s="680"/>
      <c r="D22" s="680"/>
      <c r="E22" s="680"/>
      <c r="F22" s="268"/>
      <c r="G22" s="268"/>
    </row>
    <row r="23" spans="1:9" x14ac:dyDescent="0.3">
      <c r="B23" s="272" t="s">
        <v>82</v>
      </c>
      <c r="C23" s="268"/>
      <c r="D23" s="268"/>
      <c r="E23" s="275" t="s">
        <v>83</v>
      </c>
      <c r="G23" s="155"/>
      <c r="I23" s="180"/>
    </row>
    <row r="24" spans="1:9" x14ac:dyDescent="0.3">
      <c r="B24" s="272"/>
      <c r="C24" s="263" t="s">
        <v>84</v>
      </c>
      <c r="D24" s="268"/>
      <c r="E24" s="263" t="s">
        <v>91</v>
      </c>
      <c r="G24" s="155"/>
      <c r="I24" s="180"/>
    </row>
    <row r="25" spans="1:9" x14ac:dyDescent="0.3">
      <c r="B25" s="267" t="s">
        <v>85</v>
      </c>
      <c r="C25" s="268"/>
      <c r="D25" s="268"/>
      <c r="E25" s="268"/>
      <c r="G25" s="155"/>
      <c r="I25" s="180"/>
    </row>
    <row r="26" spans="1:9" x14ac:dyDescent="0.3">
      <c r="B26" s="674" t="s">
        <v>86</v>
      </c>
      <c r="C26" s="701">
        <f>Import!L59</f>
        <v>0</v>
      </c>
      <c r="D26" s="269"/>
      <c r="E26" s="701">
        <f>C26</f>
        <v>0</v>
      </c>
      <c r="G26" s="681">
        <v>532</v>
      </c>
      <c r="H26" s="684" t="s">
        <v>199</v>
      </c>
      <c r="I26" s="180"/>
    </row>
    <row r="27" spans="1:9" x14ac:dyDescent="0.3">
      <c r="B27" s="267" t="s">
        <v>87</v>
      </c>
      <c r="C27" s="268"/>
      <c r="D27" s="268"/>
      <c r="E27" s="268"/>
      <c r="G27" s="155"/>
      <c r="H27" s="676"/>
      <c r="I27" s="180"/>
    </row>
    <row r="28" spans="1:9" x14ac:dyDescent="0.3">
      <c r="B28" s="674" t="s">
        <v>88</v>
      </c>
      <c r="C28" s="703">
        <f>Import!L62</f>
        <v>0</v>
      </c>
      <c r="D28" s="270"/>
      <c r="E28" s="703">
        <f>C28</f>
        <v>0</v>
      </c>
      <c r="G28" s="681">
        <v>20</v>
      </c>
      <c r="H28" s="676" t="s">
        <v>201</v>
      </c>
      <c r="I28" s="180"/>
    </row>
    <row r="29" spans="1:9" ht="41.4" x14ac:dyDescent="0.3">
      <c r="B29" s="674" t="s">
        <v>1571</v>
      </c>
      <c r="C29" s="703">
        <f>Import!L65</f>
        <v>0</v>
      </c>
      <c r="D29" s="270"/>
      <c r="E29" s="703">
        <f>C29</f>
        <v>0</v>
      </c>
      <c r="G29" s="937">
        <v>509</v>
      </c>
      <c r="H29" s="938" t="s">
        <v>290</v>
      </c>
      <c r="I29" s="180"/>
    </row>
    <row r="30" spans="1:9" ht="21" customHeight="1" x14ac:dyDescent="0.3">
      <c r="B30" s="674" t="s">
        <v>89</v>
      </c>
      <c r="C30" s="703">
        <f>Import!L63</f>
        <v>0</v>
      </c>
      <c r="D30" s="270"/>
      <c r="E30" s="703">
        <f>C30</f>
        <v>0</v>
      </c>
      <c r="G30" s="937">
        <v>533</v>
      </c>
      <c r="H30" s="938" t="s">
        <v>927</v>
      </c>
      <c r="I30" s="180"/>
    </row>
    <row r="31" spans="1:9" ht="41.4" x14ac:dyDescent="0.3">
      <c r="B31" s="674" t="s">
        <v>1572</v>
      </c>
      <c r="C31" s="703">
        <f>Import!L64</f>
        <v>0</v>
      </c>
      <c r="D31" s="270"/>
      <c r="E31" s="703">
        <f>C31</f>
        <v>0</v>
      </c>
      <c r="G31" s="937">
        <v>508</v>
      </c>
      <c r="H31" s="938" t="s">
        <v>292</v>
      </c>
      <c r="I31" s="180"/>
    </row>
    <row r="32" spans="1:9" ht="16.95" customHeight="1" thickBot="1" x14ac:dyDescent="0.35">
      <c r="B32" s="682" t="s">
        <v>1573</v>
      </c>
      <c r="C32" s="747">
        <f>C26+C28+C29-C30-C31</f>
        <v>0</v>
      </c>
      <c r="D32" s="269"/>
      <c r="E32" s="747">
        <f>E26+E28+E29-E30-E31</f>
        <v>0</v>
      </c>
      <c r="G32" s="675" t="s">
        <v>1575</v>
      </c>
      <c r="H32" s="678" t="s">
        <v>1574</v>
      </c>
      <c r="I32" s="180"/>
    </row>
    <row r="33" spans="1:9" ht="15" thickTop="1" x14ac:dyDescent="0.3">
      <c r="B33" s="268"/>
      <c r="C33" s="268"/>
      <c r="D33" s="268"/>
      <c r="E33" s="268"/>
      <c r="G33" s="155"/>
      <c r="I33" s="180"/>
    </row>
    <row r="34" spans="1:9" ht="15" thickBot="1" x14ac:dyDescent="0.35">
      <c r="B34" s="682" t="s">
        <v>90</v>
      </c>
      <c r="C34" s="276" t="e">
        <f>C12/C32</f>
        <v>#DIV/0!</v>
      </c>
      <c r="D34" s="268"/>
      <c r="E34" s="276" t="e">
        <f>E12/E32</f>
        <v>#DIV/0!</v>
      </c>
      <c r="G34" s="155"/>
      <c r="I34" s="180"/>
    </row>
    <row r="35" spans="1:9" ht="15" thickTop="1" x14ac:dyDescent="0.3">
      <c r="C35" s="268"/>
      <c r="D35" s="268"/>
      <c r="E35" s="268"/>
      <c r="G35" s="155"/>
      <c r="I35" s="180"/>
    </row>
    <row r="36" spans="1:9" ht="15.6" x14ac:dyDescent="0.3">
      <c r="A36" s="20"/>
    </row>
    <row r="38" spans="1:9" x14ac:dyDescent="0.3">
      <c r="E38" s="530"/>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GlZe0HrVj9q9KpqMWmpQJA1lUp0Yampp4WIxIZU3ojniZYFdnVTLrQWs3WLTehEQLZMSpdlViVlDKtrTRN0BTA==" saltValue="ha1dlv5Kgw449hor+VkxZg==" spinCount="100000" sheet="1" objects="1" scenarios="1"/>
  <mergeCells count="1">
    <mergeCell ref="B2:E2"/>
  </mergeCells>
  <pageMargins left="0.7" right="0.7" top="0.75" bottom="0.75" header="0.3" footer="0.3"/>
  <pageSetup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UAL</vt:lpstr>
      <vt:lpstr>Tax Reval Rate</vt:lpstr>
      <vt:lpstr>Import</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cp:lastModifiedBy>
  <cp:lastPrinted>2023-08-16T18:40:30Z</cp:lastPrinted>
  <dcterms:created xsi:type="dcterms:W3CDTF">2011-03-11T21:05:05Z</dcterms:created>
  <dcterms:modified xsi:type="dcterms:W3CDTF">2023-10-15T19:07:48Z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