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DIW 10 13 2023\"/>
    </mc:Choice>
  </mc:AlternateContent>
  <xr:revisionPtr revIDLastSave="0" documentId="13_ncr:1_{E779F994-CDD8-4B30-9590-31B739906C2A}" xr6:coauthVersionLast="47" xr6:coauthVersionMax="47" xr10:uidLastSave="{00000000-0000-0000-0000-000000000000}"/>
  <bookViews>
    <workbookView xWindow="57480" yWindow="-120" windowWidth="29040" windowHeight="15840" tabRatio="707" xr2:uid="{00000000-000D-0000-FFFF-FFFF00000000}"/>
  </bookViews>
  <sheets>
    <sheet name="Instructions" sheetId="96" r:id="rId1"/>
    <sheet name="Unit Data from Audit Worksheet" sheetId="1" r:id="rId2"/>
    <sheet name="TD Info Completed by Auditor" sheetId="91" r:id="rId3"/>
    <sheet name="Performance  Indicators Print" sheetId="88" r:id="rId4"/>
    <sheet name="RSS" sheetId="92" state="hidden" r:id="rId5"/>
    <sheet name="UAL" sheetId="75" state="hidden" r:id="rId6"/>
    <sheet name="Import" sheetId="28" state="hidden" r:id="rId7"/>
    <sheet name="PY1 Data(H)" sheetId="82" state="hidden" r:id="rId8"/>
    <sheet name="PY2 Data(H)" sheetId="84" state="hidden" r:id="rId9"/>
    <sheet name="Unit Names(H)" sheetId="29" state="hidden" r:id="rId10"/>
  </sheets>
  <externalReferences>
    <externalReference r:id="rId11"/>
  </externalReferences>
  <definedNames>
    <definedName name="Audit_Dtl">[1]Database!$AC$3:$AP$413</definedName>
    <definedName name="errorCount">#REF!</definedName>
    <definedName name="ppp">#REF!</definedName>
    <definedName name="_xlnm.Print_Area" localSheetId="3">'Performance  Indicators Print'!$A$1:$H$30</definedName>
    <definedName name="_xlnm.Print_Area" localSheetId="2">'TD Info Completed by Auditor'!$A$1:$E$44</definedName>
    <definedName name="_xlnm.Print_Area" localSheetId="1">'Unit Data from Audit Worksheet'!$A$9:$D$257</definedName>
    <definedName name="Print_Selection_Auditor">#REF!</definedName>
    <definedName name="Print_Selection_Internal" localSheetId="3">#REF!</definedName>
    <definedName name="Print_Selection_Internal">#REF!</definedName>
    <definedName name="_xlnm.Print_Titles" localSheetId="3">'Performance  Indicators Print'!$3:$5</definedName>
    <definedName name="_xlnm.Print_Titles" localSheetId="1">'Unit Data from Audit Worksheet'!$5:$5</definedName>
    <definedName name="showError">#REF!</definedName>
    <definedName name="TD_IMPORT_RANGE" localSheetId="3">#REF!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48" i="28" l="1"/>
  <c r="A248" i="28"/>
  <c r="E21" i="1"/>
  <c r="E14" i="1"/>
  <c r="E11" i="1"/>
  <c r="I81" i="1"/>
  <c r="D28" i="91"/>
  <c r="D29" i="91"/>
  <c r="D27" i="91"/>
  <c r="G11" i="88" l="1"/>
  <c r="E11" i="88"/>
  <c r="E248" i="28" l="1"/>
  <c r="L248" i="28" s="1"/>
  <c r="E20" i="88" s="1"/>
  <c r="L20" i="88"/>
  <c r="M20" i="88"/>
  <c r="N20" i="88" s="1"/>
  <c r="G20" i="88" s="1"/>
  <c r="E312" i="84"/>
  <c r="F312" i="84"/>
  <c r="G312" i="84"/>
  <c r="H312" i="84"/>
  <c r="I312" i="84"/>
  <c r="J312" i="84"/>
  <c r="K312" i="84"/>
  <c r="L313" i="84"/>
  <c r="M312" i="84"/>
  <c r="N312" i="84"/>
  <c r="O312" i="84"/>
  <c r="P312" i="84"/>
  <c r="Q312" i="84"/>
  <c r="R312" i="84"/>
  <c r="S312" i="84"/>
  <c r="T312" i="84"/>
  <c r="U312" i="84"/>
  <c r="V312" i="84"/>
  <c r="W312" i="84"/>
  <c r="X312" i="84"/>
  <c r="Y312" i="84"/>
  <c r="Z312" i="84"/>
  <c r="AA312" i="84"/>
  <c r="AB312" i="84"/>
  <c r="AC312" i="84"/>
  <c r="AD312" i="84"/>
  <c r="AE312" i="84"/>
  <c r="AF312" i="84"/>
  <c r="AG312" i="84"/>
  <c r="AH312" i="84"/>
  <c r="AI312" i="84"/>
  <c r="AJ312" i="84"/>
  <c r="AK312" i="84"/>
  <c r="AL312" i="84"/>
  <c r="AM312" i="84"/>
  <c r="AN312" i="84"/>
  <c r="AO312" i="84"/>
  <c r="AP312" i="84"/>
  <c r="AQ312" i="84"/>
  <c r="AR312" i="84"/>
  <c r="AS313" i="84"/>
  <c r="AT312" i="84"/>
  <c r="AU312" i="84"/>
  <c r="AV313" i="84"/>
  <c r="AW312" i="84"/>
  <c r="AX312" i="84"/>
  <c r="AY312" i="84"/>
  <c r="D312" i="84"/>
  <c r="E328" i="82"/>
  <c r="F328" i="82"/>
  <c r="G328" i="82"/>
  <c r="H328" i="82"/>
  <c r="I328" i="82"/>
  <c r="J328" i="82"/>
  <c r="K328" i="82"/>
  <c r="L329" i="82"/>
  <c r="M328" i="82"/>
  <c r="N328" i="82"/>
  <c r="O328" i="82"/>
  <c r="P328" i="82"/>
  <c r="Q328" i="82"/>
  <c r="R328" i="82"/>
  <c r="S328" i="82"/>
  <c r="T328" i="82"/>
  <c r="U328" i="82"/>
  <c r="V328" i="82"/>
  <c r="W328" i="82"/>
  <c r="X328" i="82"/>
  <c r="Y328" i="82"/>
  <c r="Z328" i="82"/>
  <c r="AA328" i="82"/>
  <c r="AB328" i="82"/>
  <c r="AC328" i="82"/>
  <c r="AD328" i="82"/>
  <c r="AE328" i="82"/>
  <c r="AF328" i="82"/>
  <c r="AG328" i="82"/>
  <c r="AH328" i="82"/>
  <c r="AI328" i="82"/>
  <c r="AJ328" i="82"/>
  <c r="AK328" i="82"/>
  <c r="AL328" i="82"/>
  <c r="AM328" i="82"/>
  <c r="AN328" i="82"/>
  <c r="AO328" i="82"/>
  <c r="AP328" i="82"/>
  <c r="AQ328" i="82"/>
  <c r="AR328" i="82"/>
  <c r="AS329" i="82"/>
  <c r="AT328" i="82"/>
  <c r="AU328" i="82"/>
  <c r="AV329" i="82"/>
  <c r="AW328" i="82"/>
  <c r="AX328" i="82"/>
  <c r="AY328" i="82"/>
  <c r="D18" i="91"/>
  <c r="D26" i="91"/>
  <c r="D13" i="91"/>
  <c r="L40" i="28"/>
  <c r="E39" i="28"/>
  <c r="L39" i="28" s="1"/>
  <c r="E40" i="28"/>
  <c r="E38" i="28"/>
  <c r="L38" i="28" s="1"/>
  <c r="A39" i="28"/>
  <c r="B39" i="28"/>
  <c r="C39" i="28"/>
  <c r="A40" i="28"/>
  <c r="B40" i="28"/>
  <c r="C40" i="28"/>
  <c r="C38" i="28"/>
  <c r="B38" i="28"/>
  <c r="A38" i="28"/>
  <c r="E308" i="84"/>
  <c r="F308" i="84"/>
  <c r="G308" i="84"/>
  <c r="H308" i="84"/>
  <c r="I308" i="84"/>
  <c r="J308" i="84"/>
  <c r="K308" i="84"/>
  <c r="L308" i="84"/>
  <c r="M308" i="84"/>
  <c r="N308" i="84"/>
  <c r="O308" i="84"/>
  <c r="P308" i="84"/>
  <c r="Q308" i="84"/>
  <c r="R308" i="84"/>
  <c r="S308" i="84"/>
  <c r="T308" i="84"/>
  <c r="U308" i="84"/>
  <c r="V308" i="84"/>
  <c r="W308" i="84"/>
  <c r="X308" i="84"/>
  <c r="Y308" i="84"/>
  <c r="Z308" i="84"/>
  <c r="AA308" i="84"/>
  <c r="AB308" i="84"/>
  <c r="AC308" i="84"/>
  <c r="AD308" i="84"/>
  <c r="AE308" i="84"/>
  <c r="AF308" i="84"/>
  <c r="AG308" i="84"/>
  <c r="AH308" i="84"/>
  <c r="AI308" i="84"/>
  <c r="AJ308" i="84"/>
  <c r="AK308" i="84"/>
  <c r="AL308" i="84"/>
  <c r="AM308" i="84"/>
  <c r="AN308" i="84"/>
  <c r="AO308" i="84"/>
  <c r="AP308" i="84"/>
  <c r="AQ308" i="84"/>
  <c r="AR308" i="84"/>
  <c r="AS308" i="84"/>
  <c r="AT308" i="84"/>
  <c r="AU308" i="84"/>
  <c r="AV308" i="84"/>
  <c r="AW308" i="84"/>
  <c r="AX308" i="84"/>
  <c r="AY308" i="84"/>
  <c r="D308" i="84"/>
  <c r="E261" i="82"/>
  <c r="F261" i="82"/>
  <c r="G261" i="82"/>
  <c r="H261" i="82"/>
  <c r="I261" i="82"/>
  <c r="J261" i="82"/>
  <c r="K261" i="82"/>
  <c r="L261" i="82"/>
  <c r="M261" i="82"/>
  <c r="N261" i="82"/>
  <c r="O261" i="82"/>
  <c r="P261" i="82"/>
  <c r="Q261" i="82"/>
  <c r="R261" i="82"/>
  <c r="S261" i="82"/>
  <c r="T261" i="82"/>
  <c r="U261" i="82"/>
  <c r="V261" i="82"/>
  <c r="W261" i="82"/>
  <c r="X261" i="82"/>
  <c r="Y261" i="82"/>
  <c r="Z261" i="82"/>
  <c r="AA261" i="82"/>
  <c r="AB261" i="82"/>
  <c r="AC261" i="82"/>
  <c r="AD261" i="82"/>
  <c r="AE261" i="82"/>
  <c r="AF261" i="82"/>
  <c r="AG261" i="82"/>
  <c r="AH261" i="82"/>
  <c r="AI261" i="82"/>
  <c r="AJ261" i="82"/>
  <c r="AK261" i="82"/>
  <c r="AL261" i="82"/>
  <c r="AM261" i="82"/>
  <c r="AN261" i="82"/>
  <c r="AO261" i="82"/>
  <c r="AP261" i="82"/>
  <c r="AQ261" i="82"/>
  <c r="AR261" i="82"/>
  <c r="AS261" i="82"/>
  <c r="AT261" i="82"/>
  <c r="AU261" i="82"/>
  <c r="AV261" i="82"/>
  <c r="AW261" i="82"/>
  <c r="AX261" i="82"/>
  <c r="AY261" i="82"/>
  <c r="D261" i="82"/>
  <c r="D31" i="91" l="1"/>
  <c r="G90" i="1"/>
  <c r="L229" i="28"/>
  <c r="L228" i="28"/>
  <c r="E208" i="28"/>
  <c r="L208" i="28" s="1"/>
  <c r="E209" i="28"/>
  <c r="L209" i="28" s="1"/>
  <c r="E26" i="88" s="1"/>
  <c r="G26" i="88" s="1"/>
  <c r="C208" i="28"/>
  <c r="C209" i="28"/>
  <c r="A208" i="28"/>
  <c r="A209" i="28"/>
  <c r="C207" i="28"/>
  <c r="E221" i="28"/>
  <c r="L221" i="28" s="1"/>
  <c r="E220" i="28"/>
  <c r="L220" i="28" s="1"/>
  <c r="C221" i="28"/>
  <c r="C220" i="28"/>
  <c r="C218" i="28"/>
  <c r="A218" i="28"/>
  <c r="D33" i="91"/>
  <c r="D24" i="91"/>
  <c r="D23" i="91"/>
  <c r="D22" i="91"/>
  <c r="D19" i="91"/>
  <c r="D17" i="91"/>
  <c r="D16" i="91"/>
  <c r="D15" i="91"/>
  <c r="D14" i="91"/>
  <c r="E181" i="28"/>
  <c r="L181" i="28" s="1"/>
  <c r="E182" i="28"/>
  <c r="L182" i="28" s="1"/>
  <c r="E183" i="28"/>
  <c r="L183" i="28" s="1"/>
  <c r="A181" i="28"/>
  <c r="B181" i="28"/>
  <c r="C181" i="28"/>
  <c r="A182" i="28"/>
  <c r="B182" i="28"/>
  <c r="C182" i="28"/>
  <c r="A183" i="28"/>
  <c r="B183" i="28"/>
  <c r="C183" i="28"/>
  <c r="E306" i="82" l="1"/>
  <c r="F306" i="82"/>
  <c r="G306" i="82"/>
  <c r="H306" i="82"/>
  <c r="I306" i="82"/>
  <c r="J306" i="82"/>
  <c r="K306" i="82"/>
  <c r="L306" i="82"/>
  <c r="M306" i="82"/>
  <c r="N306" i="82"/>
  <c r="O306" i="82"/>
  <c r="P306" i="82"/>
  <c r="Q306" i="82"/>
  <c r="R306" i="82"/>
  <c r="S306" i="82"/>
  <c r="T306" i="82"/>
  <c r="U306" i="82"/>
  <c r="V306" i="82"/>
  <c r="W306" i="82"/>
  <c r="X306" i="82"/>
  <c r="Y306" i="82"/>
  <c r="Z306" i="82"/>
  <c r="AA306" i="82"/>
  <c r="AB306" i="82"/>
  <c r="AC306" i="82"/>
  <c r="AD306" i="82"/>
  <c r="AE306" i="82"/>
  <c r="AF306" i="82"/>
  <c r="AG306" i="82"/>
  <c r="AH306" i="82"/>
  <c r="AI306" i="82"/>
  <c r="AJ306" i="82"/>
  <c r="AK306" i="82"/>
  <c r="AL306" i="82"/>
  <c r="AM306" i="82"/>
  <c r="AN306" i="82"/>
  <c r="AO306" i="82"/>
  <c r="AP306" i="82"/>
  <c r="AQ306" i="82"/>
  <c r="AR306" i="82"/>
  <c r="AS306" i="82"/>
  <c r="AT306" i="82"/>
  <c r="AU306" i="82"/>
  <c r="AV306" i="82"/>
  <c r="AW306" i="82"/>
  <c r="AX306" i="82"/>
  <c r="AY306" i="82"/>
  <c r="E307" i="82"/>
  <c r="F307" i="82"/>
  <c r="G307" i="82"/>
  <c r="H307" i="82"/>
  <c r="I307" i="82"/>
  <c r="J307" i="82"/>
  <c r="K307" i="82"/>
  <c r="L307" i="82"/>
  <c r="M307" i="82"/>
  <c r="N307" i="82"/>
  <c r="O307" i="82"/>
  <c r="P307" i="82"/>
  <c r="Q307" i="82"/>
  <c r="R307" i="82"/>
  <c r="S307" i="82"/>
  <c r="T307" i="82"/>
  <c r="U307" i="82"/>
  <c r="V307" i="82"/>
  <c r="W307" i="82"/>
  <c r="X307" i="82"/>
  <c r="Y307" i="82"/>
  <c r="Z307" i="82"/>
  <c r="AA307" i="82"/>
  <c r="AB307" i="82"/>
  <c r="AC307" i="82"/>
  <c r="AD307" i="82"/>
  <c r="AE307" i="82"/>
  <c r="AF307" i="82"/>
  <c r="AG307" i="82"/>
  <c r="AH307" i="82"/>
  <c r="AI307" i="82"/>
  <c r="AJ307" i="82"/>
  <c r="AK307" i="82"/>
  <c r="AL307" i="82"/>
  <c r="AM307" i="82"/>
  <c r="AN307" i="82"/>
  <c r="AO307" i="82"/>
  <c r="AP307" i="82"/>
  <c r="AQ307" i="82"/>
  <c r="AR307" i="82"/>
  <c r="AS307" i="82"/>
  <c r="AT307" i="82"/>
  <c r="AU307" i="82"/>
  <c r="AV307" i="82"/>
  <c r="AW307" i="82"/>
  <c r="AX307" i="82"/>
  <c r="AY307" i="82"/>
  <c r="E308" i="82"/>
  <c r="F308" i="82"/>
  <c r="G308" i="82"/>
  <c r="H308" i="82"/>
  <c r="I308" i="82"/>
  <c r="J308" i="82"/>
  <c r="K308" i="82"/>
  <c r="L308" i="82"/>
  <c r="M308" i="82"/>
  <c r="N308" i="82"/>
  <c r="O308" i="82"/>
  <c r="P308" i="82"/>
  <c r="Q308" i="82"/>
  <c r="R308" i="82"/>
  <c r="S308" i="82"/>
  <c r="T308" i="82"/>
  <c r="U308" i="82"/>
  <c r="V308" i="82"/>
  <c r="W308" i="82"/>
  <c r="X308" i="82"/>
  <c r="Y308" i="82"/>
  <c r="Z308" i="82"/>
  <c r="AA308" i="82"/>
  <c r="AB308" i="82"/>
  <c r="AC308" i="82"/>
  <c r="AD308" i="82"/>
  <c r="AE308" i="82"/>
  <c r="AF308" i="82"/>
  <c r="AG308" i="82"/>
  <c r="AH308" i="82"/>
  <c r="AI308" i="82"/>
  <c r="AJ308" i="82"/>
  <c r="AK308" i="82"/>
  <c r="AL308" i="82"/>
  <c r="AM308" i="82"/>
  <c r="AN308" i="82"/>
  <c r="AO308" i="82"/>
  <c r="AP308" i="82"/>
  <c r="AQ308" i="82"/>
  <c r="AR308" i="82"/>
  <c r="AS308" i="82"/>
  <c r="AT308" i="82"/>
  <c r="AU308" i="82"/>
  <c r="AV308" i="82"/>
  <c r="AW308" i="82"/>
  <c r="AX308" i="82"/>
  <c r="AY308" i="82"/>
  <c r="E309" i="82"/>
  <c r="F309" i="82"/>
  <c r="G309" i="82"/>
  <c r="H309" i="82"/>
  <c r="I309" i="82"/>
  <c r="J309" i="82"/>
  <c r="K309" i="82"/>
  <c r="L309" i="82"/>
  <c r="M309" i="82"/>
  <c r="N309" i="82"/>
  <c r="O309" i="82"/>
  <c r="P309" i="82"/>
  <c r="Q309" i="82"/>
  <c r="R309" i="82"/>
  <c r="S309" i="82"/>
  <c r="T309" i="82"/>
  <c r="U309" i="82"/>
  <c r="V309" i="82"/>
  <c r="W309" i="82"/>
  <c r="X309" i="82"/>
  <c r="Y309" i="82"/>
  <c r="Z309" i="82"/>
  <c r="AA309" i="82"/>
  <c r="AB309" i="82"/>
  <c r="AC309" i="82"/>
  <c r="AD309" i="82"/>
  <c r="AE309" i="82"/>
  <c r="AF309" i="82"/>
  <c r="AG309" i="82"/>
  <c r="AH309" i="82"/>
  <c r="AI309" i="82"/>
  <c r="AJ309" i="82"/>
  <c r="AK309" i="82"/>
  <c r="AL309" i="82"/>
  <c r="AM309" i="82"/>
  <c r="AN309" i="82"/>
  <c r="AO309" i="82"/>
  <c r="AP309" i="82"/>
  <c r="AQ309" i="82"/>
  <c r="AR309" i="82"/>
  <c r="AS309" i="82"/>
  <c r="AT309" i="82"/>
  <c r="AU309" i="82"/>
  <c r="AV309" i="82"/>
  <c r="AW309" i="82"/>
  <c r="AX309" i="82"/>
  <c r="AY309" i="82"/>
  <c r="E310" i="82"/>
  <c r="F310" i="82"/>
  <c r="G310" i="82"/>
  <c r="H310" i="82"/>
  <c r="I310" i="82"/>
  <c r="J310" i="82"/>
  <c r="K310" i="82"/>
  <c r="L310" i="82"/>
  <c r="M310" i="82"/>
  <c r="N310" i="82"/>
  <c r="O310" i="82"/>
  <c r="P310" i="82"/>
  <c r="Q310" i="82"/>
  <c r="R310" i="82"/>
  <c r="S310" i="82"/>
  <c r="T310" i="82"/>
  <c r="U310" i="82"/>
  <c r="V310" i="82"/>
  <c r="W310" i="82"/>
  <c r="X310" i="82"/>
  <c r="Y310" i="82"/>
  <c r="Z310" i="82"/>
  <c r="AA310" i="82"/>
  <c r="AB310" i="82"/>
  <c r="AC310" i="82"/>
  <c r="AD310" i="82"/>
  <c r="AE310" i="82"/>
  <c r="AF310" i="82"/>
  <c r="AG310" i="82"/>
  <c r="AH310" i="82"/>
  <c r="AI310" i="82"/>
  <c r="AJ310" i="82"/>
  <c r="AK310" i="82"/>
  <c r="AL310" i="82"/>
  <c r="AM310" i="82"/>
  <c r="AN310" i="82"/>
  <c r="AO310" i="82"/>
  <c r="AP310" i="82"/>
  <c r="AQ310" i="82"/>
  <c r="AR310" i="82"/>
  <c r="AS310" i="82"/>
  <c r="AT310" i="82"/>
  <c r="AU310" i="82"/>
  <c r="AV310" i="82"/>
  <c r="AW310" i="82"/>
  <c r="AX310" i="82"/>
  <c r="AY310" i="82"/>
  <c r="D307" i="82"/>
  <c r="D308" i="82"/>
  <c r="D309" i="82"/>
  <c r="D310" i="82"/>
  <c r="D306" i="82"/>
  <c r="D268" i="82"/>
  <c r="D269" i="82"/>
  <c r="D270" i="82"/>
  <c r="D271" i="82"/>
  <c r="D272" i="82"/>
  <c r="D273" i="82"/>
  <c r="D274" i="82"/>
  <c r="D276" i="82"/>
  <c r="D277" i="82"/>
  <c r="D278" i="82"/>
  <c r="D282" i="82"/>
  <c r="E82" i="1"/>
  <c r="E222" i="1"/>
  <c r="E223" i="1"/>
  <c r="E224" i="1"/>
  <c r="E221" i="1"/>
  <c r="E254" i="1"/>
  <c r="E255" i="1"/>
  <c r="E256" i="1"/>
  <c r="E250" i="1"/>
  <c r="E251" i="1"/>
  <c r="E252" i="1"/>
  <c r="E253" i="1"/>
  <c r="E249" i="1"/>
  <c r="E246" i="1"/>
  <c r="E244" i="1"/>
  <c r="E242" i="1"/>
  <c r="E237" i="1"/>
  <c r="E238" i="1"/>
  <c r="E239" i="1"/>
  <c r="E240" i="1"/>
  <c r="E233" i="1"/>
  <c r="E230" i="1"/>
  <c r="E229" i="1"/>
  <c r="E227" i="1"/>
  <c r="E228" i="1"/>
  <c r="E226" i="1"/>
  <c r="E218" i="1"/>
  <c r="E216" i="1"/>
  <c r="E215" i="1"/>
  <c r="E214" i="1"/>
  <c r="E213" i="1"/>
  <c r="E211" i="1"/>
  <c r="E210" i="1"/>
  <c r="E209" i="1"/>
  <c r="E204" i="1"/>
  <c r="E202" i="1"/>
  <c r="E203" i="1"/>
  <c r="E201" i="1"/>
  <c r="E198" i="1"/>
  <c r="E196" i="1"/>
  <c r="E197" i="1"/>
  <c r="E195" i="1"/>
  <c r="E192" i="1"/>
  <c r="E190" i="1"/>
  <c r="E191" i="1"/>
  <c r="E189" i="1"/>
  <c r="E185" i="1"/>
  <c r="E184" i="1"/>
  <c r="E180" i="1"/>
  <c r="E179" i="1"/>
  <c r="E178" i="1"/>
  <c r="E174" i="1"/>
  <c r="E172" i="1"/>
  <c r="E170" i="1"/>
  <c r="E169" i="1"/>
  <c r="E168" i="1"/>
  <c r="E166" i="1"/>
  <c r="E165" i="1"/>
  <c r="E164" i="1"/>
  <c r="E159" i="1"/>
  <c r="E151" i="1"/>
  <c r="E152" i="1"/>
  <c r="E153" i="1"/>
  <c r="E154" i="1"/>
  <c r="E155" i="1"/>
  <c r="E156" i="1"/>
  <c r="E157" i="1"/>
  <c r="E158" i="1"/>
  <c r="E147" i="1"/>
  <c r="E148" i="1"/>
  <c r="E149" i="1"/>
  <c r="E150" i="1"/>
  <c r="E146" i="1"/>
  <c r="E144" i="1"/>
  <c r="E142" i="1"/>
  <c r="E143" i="1"/>
  <c r="E138" i="1"/>
  <c r="E139" i="1"/>
  <c r="E140" i="1"/>
  <c r="E141" i="1"/>
  <c r="E130" i="1"/>
  <c r="E131" i="1"/>
  <c r="E132" i="1"/>
  <c r="E133" i="1"/>
  <c r="E134" i="1"/>
  <c r="E135" i="1"/>
  <c r="E136" i="1"/>
  <c r="E137" i="1"/>
  <c r="E129" i="1"/>
  <c r="E126" i="1"/>
  <c r="E125" i="1"/>
  <c r="E122" i="1"/>
  <c r="E123" i="1"/>
  <c r="E124" i="1"/>
  <c r="E119" i="1"/>
  <c r="E120" i="1"/>
  <c r="E121" i="1"/>
  <c r="E115" i="1"/>
  <c r="E116" i="1"/>
  <c r="E117" i="1"/>
  <c r="E118" i="1"/>
  <c r="E110" i="1"/>
  <c r="E111" i="1"/>
  <c r="E112" i="1"/>
  <c r="E113" i="1"/>
  <c r="E114" i="1"/>
  <c r="E109" i="1"/>
  <c r="E107" i="1"/>
  <c r="E106" i="1"/>
  <c r="E102" i="1"/>
  <c r="E103" i="1"/>
  <c r="E104" i="1"/>
  <c r="E105" i="1"/>
  <c r="E99" i="1"/>
  <c r="E100" i="1"/>
  <c r="E101" i="1"/>
  <c r="E94" i="1"/>
  <c r="E95" i="1"/>
  <c r="E96" i="1"/>
  <c r="E97" i="1"/>
  <c r="E98" i="1"/>
  <c r="E90" i="1"/>
  <c r="E91" i="1"/>
  <c r="E92" i="1"/>
  <c r="E93" i="1"/>
  <c r="E89" i="1"/>
  <c r="E85" i="1"/>
  <c r="E83" i="1"/>
  <c r="E80" i="1"/>
  <c r="E79" i="1"/>
  <c r="E71" i="1"/>
  <c r="E72" i="1"/>
  <c r="E73" i="1"/>
  <c r="E74" i="1"/>
  <c r="E75" i="1"/>
  <c r="E76" i="1"/>
  <c r="E77" i="1"/>
  <c r="E78" i="1"/>
  <c r="E70" i="1"/>
  <c r="E68" i="1"/>
  <c r="E58" i="1"/>
  <c r="E59" i="1"/>
  <c r="E60" i="1"/>
  <c r="E61" i="1"/>
  <c r="E62" i="1"/>
  <c r="E63" i="1"/>
  <c r="E64" i="1"/>
  <c r="E65" i="1"/>
  <c r="E66" i="1"/>
  <c r="E67" i="1"/>
  <c r="E55" i="1"/>
  <c r="E56" i="1"/>
  <c r="E57" i="1"/>
  <c r="E54" i="1"/>
  <c r="E44" i="1"/>
  <c r="E43" i="1"/>
  <c r="E41" i="1"/>
  <c r="E39" i="1"/>
  <c r="E40" i="1"/>
  <c r="E38" i="1"/>
  <c r="E37" i="1"/>
  <c r="E36" i="1"/>
  <c r="E35" i="1"/>
  <c r="E34" i="1"/>
  <c r="E33" i="1"/>
  <c r="E32" i="1"/>
  <c r="E31" i="1"/>
  <c r="E30" i="1"/>
  <c r="E28" i="1"/>
  <c r="E27" i="1"/>
  <c r="E15" i="1"/>
  <c r="E16" i="1"/>
  <c r="E17" i="1"/>
  <c r="E18" i="1"/>
  <c r="E19" i="1"/>
  <c r="E20" i="1"/>
  <c r="E22" i="1"/>
  <c r="E23" i="1"/>
  <c r="E24" i="1"/>
  <c r="E25" i="1"/>
  <c r="E10" i="1"/>
  <c r="E12" i="1"/>
  <c r="E13" i="1"/>
  <c r="E9" i="1"/>
  <c r="E268" i="82"/>
  <c r="F268" i="82"/>
  <c r="G268" i="82"/>
  <c r="H268" i="82"/>
  <c r="I268" i="82"/>
  <c r="J268" i="82"/>
  <c r="K268" i="82"/>
  <c r="L268" i="82"/>
  <c r="M268" i="82"/>
  <c r="N268" i="82"/>
  <c r="O268" i="82"/>
  <c r="P268" i="82"/>
  <c r="Q268" i="82"/>
  <c r="R268" i="82"/>
  <c r="S268" i="82"/>
  <c r="T268" i="82"/>
  <c r="U268" i="82"/>
  <c r="V268" i="82"/>
  <c r="W268" i="82"/>
  <c r="X268" i="82"/>
  <c r="Y268" i="82"/>
  <c r="Z268" i="82"/>
  <c r="AA268" i="82"/>
  <c r="AB268" i="82"/>
  <c r="AC268" i="82"/>
  <c r="AD268" i="82"/>
  <c r="AE268" i="82"/>
  <c r="AF268" i="82"/>
  <c r="AG268" i="82"/>
  <c r="AH268" i="82"/>
  <c r="AI268" i="82"/>
  <c r="AJ268" i="82"/>
  <c r="AK268" i="82"/>
  <c r="AL268" i="82"/>
  <c r="AM268" i="82"/>
  <c r="AN268" i="82"/>
  <c r="AO268" i="82"/>
  <c r="AP268" i="82"/>
  <c r="AQ268" i="82"/>
  <c r="AR268" i="82"/>
  <c r="AS268" i="82"/>
  <c r="AT268" i="82"/>
  <c r="AU268" i="82"/>
  <c r="AV268" i="82"/>
  <c r="AW268" i="82"/>
  <c r="AX268" i="82"/>
  <c r="AY268" i="82"/>
  <c r="E269" i="82"/>
  <c r="F269" i="82"/>
  <c r="G269" i="82"/>
  <c r="H269" i="82"/>
  <c r="I269" i="82"/>
  <c r="J269" i="82"/>
  <c r="K269" i="82"/>
  <c r="L269" i="82"/>
  <c r="M269" i="82"/>
  <c r="N269" i="82"/>
  <c r="O269" i="82"/>
  <c r="P269" i="82"/>
  <c r="Q269" i="82"/>
  <c r="R269" i="82"/>
  <c r="S269" i="82"/>
  <c r="T269" i="82"/>
  <c r="U269" i="82"/>
  <c r="V269" i="82"/>
  <c r="W269" i="82"/>
  <c r="X269" i="82"/>
  <c r="Y269" i="82"/>
  <c r="Z269" i="82"/>
  <c r="AA269" i="82"/>
  <c r="AB269" i="82"/>
  <c r="AC269" i="82"/>
  <c r="AD269" i="82"/>
  <c r="AE269" i="82"/>
  <c r="AF269" i="82"/>
  <c r="AG269" i="82"/>
  <c r="AH269" i="82"/>
  <c r="AI269" i="82"/>
  <c r="AJ269" i="82"/>
  <c r="AK269" i="82"/>
  <c r="AL269" i="82"/>
  <c r="AM269" i="82"/>
  <c r="AN269" i="82"/>
  <c r="AO269" i="82"/>
  <c r="AP269" i="82"/>
  <c r="AQ269" i="82"/>
  <c r="AR269" i="82"/>
  <c r="AS269" i="82"/>
  <c r="AT269" i="82"/>
  <c r="AU269" i="82"/>
  <c r="AV269" i="82"/>
  <c r="AW269" i="82"/>
  <c r="AX269" i="82"/>
  <c r="AY269" i="82"/>
  <c r="E270" i="82"/>
  <c r="F270" i="82"/>
  <c r="G270" i="82"/>
  <c r="H270" i="82"/>
  <c r="I270" i="82"/>
  <c r="J270" i="82"/>
  <c r="K270" i="82"/>
  <c r="L270" i="82"/>
  <c r="M270" i="82"/>
  <c r="N270" i="82"/>
  <c r="O270" i="82"/>
  <c r="P270" i="82"/>
  <c r="Q270" i="82"/>
  <c r="R270" i="82"/>
  <c r="S270" i="82"/>
  <c r="T270" i="82"/>
  <c r="U270" i="82"/>
  <c r="V270" i="82"/>
  <c r="W270" i="82"/>
  <c r="X270" i="82"/>
  <c r="Y270" i="82"/>
  <c r="Z270" i="82"/>
  <c r="AA270" i="82"/>
  <c r="AB270" i="82"/>
  <c r="AC270" i="82"/>
  <c r="AD270" i="82"/>
  <c r="AE270" i="82"/>
  <c r="AF270" i="82"/>
  <c r="AG270" i="82"/>
  <c r="AH270" i="82"/>
  <c r="AI270" i="82"/>
  <c r="AJ270" i="82"/>
  <c r="AK270" i="82"/>
  <c r="AL270" i="82"/>
  <c r="AM270" i="82"/>
  <c r="AN270" i="82"/>
  <c r="AO270" i="82"/>
  <c r="AP270" i="82"/>
  <c r="AQ270" i="82"/>
  <c r="AR270" i="82"/>
  <c r="AS270" i="82"/>
  <c r="AT270" i="82"/>
  <c r="AU270" i="82"/>
  <c r="AV270" i="82"/>
  <c r="AW270" i="82"/>
  <c r="AX270" i="82"/>
  <c r="AY270" i="82"/>
  <c r="E271" i="82"/>
  <c r="F271" i="82"/>
  <c r="G271" i="82"/>
  <c r="H271" i="82"/>
  <c r="I271" i="82"/>
  <c r="J271" i="82"/>
  <c r="K271" i="82"/>
  <c r="L271" i="82"/>
  <c r="M271" i="82"/>
  <c r="N271" i="82"/>
  <c r="O271" i="82"/>
  <c r="P271" i="82"/>
  <c r="Q271" i="82"/>
  <c r="R271" i="82"/>
  <c r="S271" i="82"/>
  <c r="T271" i="82"/>
  <c r="U271" i="82"/>
  <c r="V271" i="82"/>
  <c r="W271" i="82"/>
  <c r="X271" i="82"/>
  <c r="Y271" i="82"/>
  <c r="Z271" i="82"/>
  <c r="AA271" i="82"/>
  <c r="AB271" i="82"/>
  <c r="AC271" i="82"/>
  <c r="AD271" i="82"/>
  <c r="AE271" i="82"/>
  <c r="AF271" i="82"/>
  <c r="AG271" i="82"/>
  <c r="AH271" i="82"/>
  <c r="AI271" i="82"/>
  <c r="AJ271" i="82"/>
  <c r="AK271" i="82"/>
  <c r="AL271" i="82"/>
  <c r="AM271" i="82"/>
  <c r="AN271" i="82"/>
  <c r="AO271" i="82"/>
  <c r="AP271" i="82"/>
  <c r="AQ271" i="82"/>
  <c r="AR271" i="82"/>
  <c r="AS271" i="82"/>
  <c r="AT271" i="82"/>
  <c r="AU271" i="82"/>
  <c r="AV271" i="82"/>
  <c r="AW271" i="82"/>
  <c r="AX271" i="82"/>
  <c r="AY271" i="82"/>
  <c r="E272" i="82"/>
  <c r="F272" i="82"/>
  <c r="G272" i="82"/>
  <c r="H272" i="82"/>
  <c r="I272" i="82"/>
  <c r="J272" i="82"/>
  <c r="K272" i="82"/>
  <c r="L272" i="82"/>
  <c r="M272" i="82"/>
  <c r="N272" i="82"/>
  <c r="O272" i="82"/>
  <c r="P272" i="82"/>
  <c r="Q272" i="82"/>
  <c r="R272" i="82"/>
  <c r="S272" i="82"/>
  <c r="T272" i="82"/>
  <c r="U272" i="82"/>
  <c r="V272" i="82"/>
  <c r="W272" i="82"/>
  <c r="X272" i="82"/>
  <c r="Y272" i="82"/>
  <c r="Z272" i="82"/>
  <c r="AA272" i="82"/>
  <c r="AB272" i="82"/>
  <c r="AC272" i="82"/>
  <c r="AD272" i="82"/>
  <c r="AE272" i="82"/>
  <c r="AF272" i="82"/>
  <c r="AG272" i="82"/>
  <c r="AH272" i="82"/>
  <c r="AI272" i="82"/>
  <c r="AJ272" i="82"/>
  <c r="AK272" i="82"/>
  <c r="AL272" i="82"/>
  <c r="AM272" i="82"/>
  <c r="AN272" i="82"/>
  <c r="AO272" i="82"/>
  <c r="AP272" i="82"/>
  <c r="AQ272" i="82"/>
  <c r="AR272" i="82"/>
  <c r="AS272" i="82"/>
  <c r="AT272" i="82"/>
  <c r="AU272" i="82"/>
  <c r="AV272" i="82"/>
  <c r="AW272" i="82"/>
  <c r="AX272" i="82"/>
  <c r="AY272" i="82"/>
  <c r="E273" i="82"/>
  <c r="F273" i="82"/>
  <c r="G273" i="82"/>
  <c r="H273" i="82"/>
  <c r="I273" i="82"/>
  <c r="J273" i="82"/>
  <c r="K273" i="82"/>
  <c r="L273" i="82"/>
  <c r="M273" i="82"/>
  <c r="N273" i="82"/>
  <c r="O273" i="82"/>
  <c r="P273" i="82"/>
  <c r="Q273" i="82"/>
  <c r="R273" i="82"/>
  <c r="S273" i="82"/>
  <c r="T273" i="82"/>
  <c r="U273" i="82"/>
  <c r="V273" i="82"/>
  <c r="W273" i="82"/>
  <c r="X273" i="82"/>
  <c r="Y273" i="82"/>
  <c r="Z273" i="82"/>
  <c r="AA273" i="82"/>
  <c r="AB273" i="82"/>
  <c r="AC273" i="82"/>
  <c r="AD273" i="82"/>
  <c r="AE273" i="82"/>
  <c r="AF273" i="82"/>
  <c r="AG273" i="82"/>
  <c r="AH273" i="82"/>
  <c r="AI273" i="82"/>
  <c r="AJ273" i="82"/>
  <c r="AK273" i="82"/>
  <c r="AL273" i="82"/>
  <c r="AM273" i="82"/>
  <c r="AN273" i="82"/>
  <c r="AO273" i="82"/>
  <c r="AP273" i="82"/>
  <c r="AQ273" i="82"/>
  <c r="AR273" i="82"/>
  <c r="AS273" i="82"/>
  <c r="AT273" i="82"/>
  <c r="AU273" i="82"/>
  <c r="AV273" i="82"/>
  <c r="AW273" i="82"/>
  <c r="AX273" i="82"/>
  <c r="AY273" i="82"/>
  <c r="E274" i="82"/>
  <c r="F274" i="82"/>
  <c r="G274" i="82"/>
  <c r="H274" i="82"/>
  <c r="I274" i="82"/>
  <c r="J274" i="82"/>
  <c r="K274" i="82"/>
  <c r="L274" i="82"/>
  <c r="M274" i="82"/>
  <c r="N274" i="82"/>
  <c r="O274" i="82"/>
  <c r="P274" i="82"/>
  <c r="Q274" i="82"/>
  <c r="R274" i="82"/>
  <c r="S274" i="82"/>
  <c r="T274" i="82"/>
  <c r="U274" i="82"/>
  <c r="V274" i="82"/>
  <c r="W274" i="82"/>
  <c r="X274" i="82"/>
  <c r="Y274" i="82"/>
  <c r="Z274" i="82"/>
  <c r="AA274" i="82"/>
  <c r="AB274" i="82"/>
  <c r="AC274" i="82"/>
  <c r="AD274" i="82"/>
  <c r="AE274" i="82"/>
  <c r="AF274" i="82"/>
  <c r="AG274" i="82"/>
  <c r="AH274" i="82"/>
  <c r="AI274" i="82"/>
  <c r="AJ274" i="82"/>
  <c r="AK274" i="82"/>
  <c r="AL274" i="82"/>
  <c r="AM274" i="82"/>
  <c r="AN274" i="82"/>
  <c r="AO274" i="82"/>
  <c r="AP274" i="82"/>
  <c r="AQ274" i="82"/>
  <c r="AR274" i="82"/>
  <c r="AS274" i="82"/>
  <c r="AT274" i="82"/>
  <c r="AU274" i="82"/>
  <c r="AV274" i="82"/>
  <c r="AW274" i="82"/>
  <c r="AX274" i="82"/>
  <c r="AY274" i="82"/>
  <c r="E276" i="82"/>
  <c r="F276" i="82"/>
  <c r="G276" i="82"/>
  <c r="H276" i="82"/>
  <c r="I276" i="82"/>
  <c r="J276" i="82"/>
  <c r="K276" i="82"/>
  <c r="L276" i="82"/>
  <c r="M276" i="82"/>
  <c r="N276" i="82"/>
  <c r="O276" i="82"/>
  <c r="P276" i="82"/>
  <c r="Q276" i="82"/>
  <c r="R276" i="82"/>
  <c r="S276" i="82"/>
  <c r="T276" i="82"/>
  <c r="U276" i="82"/>
  <c r="V276" i="82"/>
  <c r="W276" i="82"/>
  <c r="X276" i="82"/>
  <c r="Y276" i="82"/>
  <c r="Z276" i="82"/>
  <c r="AA276" i="82"/>
  <c r="AB276" i="82"/>
  <c r="AC276" i="82"/>
  <c r="AD276" i="82"/>
  <c r="AE276" i="82"/>
  <c r="AF276" i="82"/>
  <c r="AG276" i="82"/>
  <c r="AH276" i="82"/>
  <c r="AI276" i="82"/>
  <c r="AJ276" i="82"/>
  <c r="AK276" i="82"/>
  <c r="AL276" i="82"/>
  <c r="AM276" i="82"/>
  <c r="AN276" i="82"/>
  <c r="AO276" i="82"/>
  <c r="AP276" i="82"/>
  <c r="AQ276" i="82"/>
  <c r="AR276" i="82"/>
  <c r="AS276" i="82"/>
  <c r="AT276" i="82"/>
  <c r="AU276" i="82"/>
  <c r="AV276" i="82"/>
  <c r="AW276" i="82"/>
  <c r="AX276" i="82"/>
  <c r="AY276" i="82"/>
  <c r="E277" i="82"/>
  <c r="F277" i="82"/>
  <c r="G277" i="82"/>
  <c r="H277" i="82"/>
  <c r="I277" i="82"/>
  <c r="J277" i="82"/>
  <c r="K277" i="82"/>
  <c r="L277" i="82"/>
  <c r="M277" i="82"/>
  <c r="N277" i="82"/>
  <c r="O277" i="82"/>
  <c r="P277" i="82"/>
  <c r="Q277" i="82"/>
  <c r="R277" i="82"/>
  <c r="S277" i="82"/>
  <c r="T277" i="82"/>
  <c r="U277" i="82"/>
  <c r="V277" i="82"/>
  <c r="W277" i="82"/>
  <c r="X277" i="82"/>
  <c r="Y277" i="82"/>
  <c r="Z277" i="82"/>
  <c r="AA277" i="82"/>
  <c r="AB277" i="82"/>
  <c r="AC277" i="82"/>
  <c r="AD277" i="82"/>
  <c r="AE277" i="82"/>
  <c r="AF277" i="82"/>
  <c r="AG277" i="82"/>
  <c r="AH277" i="82"/>
  <c r="AI277" i="82"/>
  <c r="AJ277" i="82"/>
  <c r="AK277" i="82"/>
  <c r="AL277" i="82"/>
  <c r="AM277" i="82"/>
  <c r="AN277" i="82"/>
  <c r="AO277" i="82"/>
  <c r="AP277" i="82"/>
  <c r="AQ277" i="82"/>
  <c r="AR277" i="82"/>
  <c r="AS277" i="82"/>
  <c r="AT277" i="82"/>
  <c r="AU277" i="82"/>
  <c r="AV277" i="82"/>
  <c r="AW277" i="82"/>
  <c r="AX277" i="82"/>
  <c r="AY277" i="82"/>
  <c r="E278" i="82"/>
  <c r="F278" i="82"/>
  <c r="G278" i="82"/>
  <c r="H278" i="82"/>
  <c r="I278" i="82"/>
  <c r="J278" i="82"/>
  <c r="K278" i="82"/>
  <c r="L278" i="82"/>
  <c r="M278" i="82"/>
  <c r="N278" i="82"/>
  <c r="O278" i="82"/>
  <c r="P278" i="82"/>
  <c r="Q278" i="82"/>
  <c r="R278" i="82"/>
  <c r="S278" i="82"/>
  <c r="T278" i="82"/>
  <c r="U278" i="82"/>
  <c r="V278" i="82"/>
  <c r="W278" i="82"/>
  <c r="X278" i="82"/>
  <c r="Y278" i="82"/>
  <c r="Z278" i="82"/>
  <c r="AA278" i="82"/>
  <c r="AB278" i="82"/>
  <c r="AC278" i="82"/>
  <c r="AD278" i="82"/>
  <c r="AE278" i="82"/>
  <c r="AF278" i="82"/>
  <c r="AG278" i="82"/>
  <c r="AH278" i="82"/>
  <c r="AI278" i="82"/>
  <c r="AJ278" i="82"/>
  <c r="AK278" i="82"/>
  <c r="AL278" i="82"/>
  <c r="AM278" i="82"/>
  <c r="AN278" i="82"/>
  <c r="AO278" i="82"/>
  <c r="AP278" i="82"/>
  <c r="AQ278" i="82"/>
  <c r="AR278" i="82"/>
  <c r="AS278" i="82"/>
  <c r="AT278" i="82"/>
  <c r="AU278" i="82"/>
  <c r="AV278" i="82"/>
  <c r="AW278" i="82"/>
  <c r="AX278" i="82"/>
  <c r="AY278" i="82"/>
  <c r="E282" i="82"/>
  <c r="F282" i="82"/>
  <c r="G282" i="82"/>
  <c r="H282" i="82"/>
  <c r="I282" i="82"/>
  <c r="J282" i="82"/>
  <c r="K282" i="82"/>
  <c r="L282" i="82"/>
  <c r="M282" i="82"/>
  <c r="N282" i="82"/>
  <c r="O282" i="82"/>
  <c r="P282" i="82"/>
  <c r="Q282" i="82"/>
  <c r="R282" i="82"/>
  <c r="S282" i="82"/>
  <c r="T282" i="82"/>
  <c r="U282" i="82"/>
  <c r="V282" i="82"/>
  <c r="W282" i="82"/>
  <c r="X282" i="82"/>
  <c r="Y282" i="82"/>
  <c r="Z282" i="82"/>
  <c r="AA282" i="82"/>
  <c r="AB282" i="82"/>
  <c r="AC282" i="82"/>
  <c r="AD282" i="82"/>
  <c r="AE282" i="82"/>
  <c r="AF282" i="82"/>
  <c r="AG282" i="82"/>
  <c r="AH282" i="82"/>
  <c r="AI282" i="82"/>
  <c r="AJ282" i="82"/>
  <c r="AK282" i="82"/>
  <c r="AL282" i="82"/>
  <c r="AM282" i="82"/>
  <c r="AN282" i="82"/>
  <c r="AO282" i="82"/>
  <c r="AP282" i="82"/>
  <c r="AQ282" i="82"/>
  <c r="AR282" i="82"/>
  <c r="AS282" i="82"/>
  <c r="AT282" i="82"/>
  <c r="AU282" i="82"/>
  <c r="AV282" i="82"/>
  <c r="AW282" i="82"/>
  <c r="AX282" i="82"/>
  <c r="AY282" i="82"/>
  <c r="E283" i="82"/>
  <c r="F283" i="82"/>
  <c r="G283" i="82"/>
  <c r="H283" i="82"/>
  <c r="I283" i="82"/>
  <c r="J283" i="82"/>
  <c r="K283" i="82"/>
  <c r="L283" i="82"/>
  <c r="M283" i="82"/>
  <c r="N283" i="82"/>
  <c r="O283" i="82"/>
  <c r="P283" i="82"/>
  <c r="Q283" i="82"/>
  <c r="R283" i="82"/>
  <c r="S283" i="82"/>
  <c r="T283" i="82"/>
  <c r="U283" i="82"/>
  <c r="V283" i="82"/>
  <c r="W283" i="82"/>
  <c r="X283" i="82"/>
  <c r="Y283" i="82"/>
  <c r="Z283" i="82"/>
  <c r="AA283" i="82"/>
  <c r="AB283" i="82"/>
  <c r="AC283" i="82"/>
  <c r="AD283" i="82"/>
  <c r="AE283" i="82"/>
  <c r="AF283" i="82"/>
  <c r="AG283" i="82"/>
  <c r="AH283" i="82"/>
  <c r="AI283" i="82"/>
  <c r="AJ283" i="82"/>
  <c r="AK283" i="82"/>
  <c r="AL283" i="82"/>
  <c r="AM283" i="82"/>
  <c r="AN283" i="82"/>
  <c r="AO283" i="82"/>
  <c r="AP283" i="82"/>
  <c r="AQ283" i="82"/>
  <c r="AR283" i="82"/>
  <c r="AS283" i="82"/>
  <c r="AT283" i="82"/>
  <c r="AU283" i="82"/>
  <c r="AV283" i="82"/>
  <c r="AW283" i="82"/>
  <c r="AX283" i="82"/>
  <c r="AY283" i="82"/>
  <c r="E284" i="82"/>
  <c r="F284" i="82"/>
  <c r="G284" i="82"/>
  <c r="H284" i="82"/>
  <c r="I284" i="82"/>
  <c r="J284" i="82"/>
  <c r="K284" i="82"/>
  <c r="L284" i="82"/>
  <c r="M284" i="82"/>
  <c r="N284" i="82"/>
  <c r="O284" i="82"/>
  <c r="P284" i="82"/>
  <c r="Q284" i="82"/>
  <c r="R284" i="82"/>
  <c r="S284" i="82"/>
  <c r="T284" i="82"/>
  <c r="U284" i="82"/>
  <c r="V284" i="82"/>
  <c r="W284" i="82"/>
  <c r="X284" i="82"/>
  <c r="Y284" i="82"/>
  <c r="Z284" i="82"/>
  <c r="AA284" i="82"/>
  <c r="AB284" i="82"/>
  <c r="AC284" i="82"/>
  <c r="AD284" i="82"/>
  <c r="AE284" i="82"/>
  <c r="AF284" i="82"/>
  <c r="AG284" i="82"/>
  <c r="AH284" i="82"/>
  <c r="AI284" i="82"/>
  <c r="AJ284" i="82"/>
  <c r="AK284" i="82"/>
  <c r="AL284" i="82"/>
  <c r="AM284" i="82"/>
  <c r="AN284" i="82"/>
  <c r="AO284" i="82"/>
  <c r="AP284" i="82"/>
  <c r="AQ284" i="82"/>
  <c r="AR284" i="82"/>
  <c r="AS284" i="82"/>
  <c r="AT284" i="82"/>
  <c r="AU284" i="82"/>
  <c r="AV284" i="82"/>
  <c r="AW284" i="82"/>
  <c r="AX284" i="82"/>
  <c r="AY284" i="82"/>
  <c r="E285" i="82"/>
  <c r="F285" i="82"/>
  <c r="G285" i="82"/>
  <c r="H285" i="82"/>
  <c r="I285" i="82"/>
  <c r="J285" i="82"/>
  <c r="K285" i="82"/>
  <c r="L285" i="82"/>
  <c r="M285" i="82"/>
  <c r="N285" i="82"/>
  <c r="O285" i="82"/>
  <c r="P285" i="82"/>
  <c r="Q285" i="82"/>
  <c r="R285" i="82"/>
  <c r="S285" i="82"/>
  <c r="T285" i="82"/>
  <c r="U285" i="82"/>
  <c r="V285" i="82"/>
  <c r="W285" i="82"/>
  <c r="X285" i="82"/>
  <c r="Y285" i="82"/>
  <c r="Z285" i="82"/>
  <c r="AA285" i="82"/>
  <c r="AB285" i="82"/>
  <c r="AC285" i="82"/>
  <c r="AD285" i="82"/>
  <c r="AE285" i="82"/>
  <c r="AF285" i="82"/>
  <c r="AG285" i="82"/>
  <c r="AH285" i="82"/>
  <c r="AI285" i="82"/>
  <c r="AJ285" i="82"/>
  <c r="AK285" i="82"/>
  <c r="AL285" i="82"/>
  <c r="AM285" i="82"/>
  <c r="AN285" i="82"/>
  <c r="AO285" i="82"/>
  <c r="AP285" i="82"/>
  <c r="AQ285" i="82"/>
  <c r="AR285" i="82"/>
  <c r="AS285" i="82"/>
  <c r="AT285" i="82"/>
  <c r="AU285" i="82"/>
  <c r="AV285" i="82"/>
  <c r="AW285" i="82"/>
  <c r="AX285" i="82"/>
  <c r="AY285" i="82"/>
  <c r="E286" i="82"/>
  <c r="F286" i="82"/>
  <c r="G286" i="82"/>
  <c r="H286" i="82"/>
  <c r="I286" i="82"/>
  <c r="J286" i="82"/>
  <c r="K286" i="82"/>
  <c r="L286" i="82"/>
  <c r="M286" i="82"/>
  <c r="N286" i="82"/>
  <c r="O286" i="82"/>
  <c r="P286" i="82"/>
  <c r="Q286" i="82"/>
  <c r="R286" i="82"/>
  <c r="S286" i="82"/>
  <c r="T286" i="82"/>
  <c r="U286" i="82"/>
  <c r="V286" i="82"/>
  <c r="W286" i="82"/>
  <c r="X286" i="82"/>
  <c r="Y286" i="82"/>
  <c r="Z286" i="82"/>
  <c r="AA286" i="82"/>
  <c r="AB286" i="82"/>
  <c r="AC286" i="82"/>
  <c r="AD286" i="82"/>
  <c r="AE286" i="82"/>
  <c r="AF286" i="82"/>
  <c r="AG286" i="82"/>
  <c r="AH286" i="82"/>
  <c r="AI286" i="82"/>
  <c r="AJ286" i="82"/>
  <c r="AK286" i="82"/>
  <c r="AL286" i="82"/>
  <c r="AM286" i="82"/>
  <c r="AN286" i="82"/>
  <c r="AO286" i="82"/>
  <c r="AP286" i="82"/>
  <c r="AQ286" i="82"/>
  <c r="AR286" i="82"/>
  <c r="AS286" i="82"/>
  <c r="AT286" i="82"/>
  <c r="AU286" i="82"/>
  <c r="AV286" i="82"/>
  <c r="AW286" i="82"/>
  <c r="AX286" i="82"/>
  <c r="AY286" i="82"/>
  <c r="E287" i="82"/>
  <c r="F287" i="82"/>
  <c r="G287" i="82"/>
  <c r="H287" i="82"/>
  <c r="I287" i="82"/>
  <c r="J287" i="82"/>
  <c r="K287" i="82"/>
  <c r="L287" i="82"/>
  <c r="M287" i="82"/>
  <c r="N287" i="82"/>
  <c r="O287" i="82"/>
  <c r="P287" i="82"/>
  <c r="Q287" i="82"/>
  <c r="R287" i="82"/>
  <c r="S287" i="82"/>
  <c r="T287" i="82"/>
  <c r="U287" i="82"/>
  <c r="V287" i="82"/>
  <c r="W287" i="82"/>
  <c r="X287" i="82"/>
  <c r="Y287" i="82"/>
  <c r="Z287" i="82"/>
  <c r="AA287" i="82"/>
  <c r="AB287" i="82"/>
  <c r="AC287" i="82"/>
  <c r="AD287" i="82"/>
  <c r="AE287" i="82"/>
  <c r="AF287" i="82"/>
  <c r="AG287" i="82"/>
  <c r="AH287" i="82"/>
  <c r="AI287" i="82"/>
  <c r="AJ287" i="82"/>
  <c r="AK287" i="82"/>
  <c r="AL287" i="82"/>
  <c r="AM287" i="82"/>
  <c r="AN287" i="82"/>
  <c r="AO287" i="82"/>
  <c r="AP287" i="82"/>
  <c r="AQ287" i="82"/>
  <c r="AR287" i="82"/>
  <c r="AS287" i="82"/>
  <c r="AT287" i="82"/>
  <c r="AU287" i="82"/>
  <c r="AV287" i="82"/>
  <c r="AW287" i="82"/>
  <c r="AX287" i="82"/>
  <c r="AY287" i="82"/>
  <c r="E288" i="82"/>
  <c r="F288" i="82"/>
  <c r="G288" i="82"/>
  <c r="H288" i="82"/>
  <c r="I288" i="82"/>
  <c r="J288" i="82"/>
  <c r="K288" i="82"/>
  <c r="L288" i="82"/>
  <c r="M288" i="82"/>
  <c r="N288" i="82"/>
  <c r="O288" i="82"/>
  <c r="P288" i="82"/>
  <c r="Q288" i="82"/>
  <c r="R288" i="82"/>
  <c r="S288" i="82"/>
  <c r="T288" i="82"/>
  <c r="U288" i="82"/>
  <c r="V288" i="82"/>
  <c r="W288" i="82"/>
  <c r="X288" i="82"/>
  <c r="Y288" i="82"/>
  <c r="Z288" i="82"/>
  <c r="AA288" i="82"/>
  <c r="AB288" i="82"/>
  <c r="AC288" i="82"/>
  <c r="AD288" i="82"/>
  <c r="AE288" i="82"/>
  <c r="AF288" i="82"/>
  <c r="AG288" i="82"/>
  <c r="AH288" i="82"/>
  <c r="AI288" i="82"/>
  <c r="AJ288" i="82"/>
  <c r="AK288" i="82"/>
  <c r="AL288" i="82"/>
  <c r="AM288" i="82"/>
  <c r="AN288" i="82"/>
  <c r="AO288" i="82"/>
  <c r="AP288" i="82"/>
  <c r="AQ288" i="82"/>
  <c r="AR288" i="82"/>
  <c r="AS288" i="82"/>
  <c r="AT288" i="82"/>
  <c r="AU288" i="82"/>
  <c r="AV288" i="82"/>
  <c r="AW288" i="82"/>
  <c r="AX288" i="82"/>
  <c r="AY288" i="82"/>
  <c r="E289" i="82"/>
  <c r="F289" i="82"/>
  <c r="G289" i="82"/>
  <c r="H289" i="82"/>
  <c r="I289" i="82"/>
  <c r="J289" i="82"/>
  <c r="K289" i="82"/>
  <c r="L289" i="82"/>
  <c r="M289" i="82"/>
  <c r="N289" i="82"/>
  <c r="O289" i="82"/>
  <c r="P289" i="82"/>
  <c r="Q289" i="82"/>
  <c r="R289" i="82"/>
  <c r="S289" i="82"/>
  <c r="T289" i="82"/>
  <c r="U289" i="82"/>
  <c r="V289" i="82"/>
  <c r="W289" i="82"/>
  <c r="X289" i="82"/>
  <c r="Y289" i="82"/>
  <c r="Z289" i="82"/>
  <c r="AA289" i="82"/>
  <c r="AB289" i="82"/>
  <c r="AC289" i="82"/>
  <c r="AD289" i="82"/>
  <c r="AE289" i="82"/>
  <c r="AF289" i="82"/>
  <c r="AG289" i="82"/>
  <c r="AH289" i="82"/>
  <c r="AI289" i="82"/>
  <c r="AJ289" i="82"/>
  <c r="AK289" i="82"/>
  <c r="AL289" i="82"/>
  <c r="AM289" i="82"/>
  <c r="AN289" i="82"/>
  <c r="AO289" i="82"/>
  <c r="AP289" i="82"/>
  <c r="AQ289" i="82"/>
  <c r="AR289" i="82"/>
  <c r="AS289" i="82"/>
  <c r="AT289" i="82"/>
  <c r="AU289" i="82"/>
  <c r="AV289" i="82"/>
  <c r="AW289" i="82"/>
  <c r="AX289" i="82"/>
  <c r="AY289" i="82"/>
  <c r="E290" i="82"/>
  <c r="F290" i="82"/>
  <c r="G290" i="82"/>
  <c r="H290" i="82"/>
  <c r="I290" i="82"/>
  <c r="J290" i="82"/>
  <c r="K290" i="82"/>
  <c r="L290" i="82"/>
  <c r="M290" i="82"/>
  <c r="N290" i="82"/>
  <c r="O290" i="82"/>
  <c r="P290" i="82"/>
  <c r="Q290" i="82"/>
  <c r="R290" i="82"/>
  <c r="S290" i="82"/>
  <c r="T290" i="82"/>
  <c r="U290" i="82"/>
  <c r="V290" i="82"/>
  <c r="W290" i="82"/>
  <c r="X290" i="82"/>
  <c r="Y290" i="82"/>
  <c r="Z290" i="82"/>
  <c r="AA290" i="82"/>
  <c r="AB290" i="82"/>
  <c r="AC290" i="82"/>
  <c r="AD290" i="82"/>
  <c r="AE290" i="82"/>
  <c r="AF290" i="82"/>
  <c r="AG290" i="82"/>
  <c r="AH290" i="82"/>
  <c r="AI290" i="82"/>
  <c r="AJ290" i="82"/>
  <c r="AK290" i="82"/>
  <c r="AL290" i="82"/>
  <c r="AM290" i="82"/>
  <c r="AN290" i="82"/>
  <c r="AO290" i="82"/>
  <c r="AP290" i="82"/>
  <c r="AQ290" i="82"/>
  <c r="AR290" i="82"/>
  <c r="AS290" i="82"/>
  <c r="AT290" i="82"/>
  <c r="AU290" i="82"/>
  <c r="AV290" i="82"/>
  <c r="AW290" i="82"/>
  <c r="AX290" i="82"/>
  <c r="AY290" i="82"/>
  <c r="E291" i="82"/>
  <c r="F291" i="82"/>
  <c r="G291" i="82"/>
  <c r="H291" i="82"/>
  <c r="I291" i="82"/>
  <c r="J291" i="82"/>
  <c r="K291" i="82"/>
  <c r="L291" i="82"/>
  <c r="M291" i="82"/>
  <c r="N291" i="82"/>
  <c r="O291" i="82"/>
  <c r="P291" i="82"/>
  <c r="Q291" i="82"/>
  <c r="R291" i="82"/>
  <c r="S291" i="82"/>
  <c r="T291" i="82"/>
  <c r="U291" i="82"/>
  <c r="V291" i="82"/>
  <c r="W291" i="82"/>
  <c r="X291" i="82"/>
  <c r="Y291" i="82"/>
  <c r="Z291" i="82"/>
  <c r="AA291" i="82"/>
  <c r="AB291" i="82"/>
  <c r="AC291" i="82"/>
  <c r="AD291" i="82"/>
  <c r="AE291" i="82"/>
  <c r="AF291" i="82"/>
  <c r="AG291" i="82"/>
  <c r="AH291" i="82"/>
  <c r="AI291" i="82"/>
  <c r="AJ291" i="82"/>
  <c r="AK291" i="82"/>
  <c r="AL291" i="82"/>
  <c r="AM291" i="82"/>
  <c r="AN291" i="82"/>
  <c r="AO291" i="82"/>
  <c r="AP291" i="82"/>
  <c r="AQ291" i="82"/>
  <c r="AR291" i="82"/>
  <c r="AS291" i="82"/>
  <c r="AT291" i="82"/>
  <c r="AU291" i="82"/>
  <c r="AV291" i="82"/>
  <c r="AW291" i="82"/>
  <c r="AX291" i="82"/>
  <c r="AY291" i="82"/>
  <c r="E292" i="82"/>
  <c r="F292" i="82"/>
  <c r="G292" i="82"/>
  <c r="H292" i="82"/>
  <c r="I292" i="82"/>
  <c r="J292" i="82"/>
  <c r="K292" i="82"/>
  <c r="L292" i="82"/>
  <c r="M292" i="82"/>
  <c r="N292" i="82"/>
  <c r="O292" i="82"/>
  <c r="P292" i="82"/>
  <c r="Q292" i="82"/>
  <c r="R292" i="82"/>
  <c r="S292" i="82"/>
  <c r="T292" i="82"/>
  <c r="U292" i="82"/>
  <c r="V292" i="82"/>
  <c r="W292" i="82"/>
  <c r="X292" i="82"/>
  <c r="Y292" i="82"/>
  <c r="Z292" i="82"/>
  <c r="AA292" i="82"/>
  <c r="AB292" i="82"/>
  <c r="AC292" i="82"/>
  <c r="AD292" i="82"/>
  <c r="AE292" i="82"/>
  <c r="AF292" i="82"/>
  <c r="AG292" i="82"/>
  <c r="AH292" i="82"/>
  <c r="AI292" i="82"/>
  <c r="AJ292" i="82"/>
  <c r="AK292" i="82"/>
  <c r="AL292" i="82"/>
  <c r="AM292" i="82"/>
  <c r="AN292" i="82"/>
  <c r="AO292" i="82"/>
  <c r="AP292" i="82"/>
  <c r="AQ292" i="82"/>
  <c r="AR292" i="82"/>
  <c r="AS292" i="82"/>
  <c r="AT292" i="82"/>
  <c r="AU292" i="82"/>
  <c r="AV292" i="82"/>
  <c r="AW292" i="82"/>
  <c r="AX292" i="82"/>
  <c r="AY292" i="82"/>
  <c r="E293" i="82"/>
  <c r="F293" i="82"/>
  <c r="G293" i="82"/>
  <c r="H293" i="82"/>
  <c r="I293" i="82"/>
  <c r="J293" i="82"/>
  <c r="K293" i="82"/>
  <c r="L293" i="82"/>
  <c r="M293" i="82"/>
  <c r="N293" i="82"/>
  <c r="O293" i="82"/>
  <c r="P293" i="82"/>
  <c r="Q293" i="82"/>
  <c r="R293" i="82"/>
  <c r="S293" i="82"/>
  <c r="T293" i="82"/>
  <c r="U293" i="82"/>
  <c r="V293" i="82"/>
  <c r="W293" i="82"/>
  <c r="X293" i="82"/>
  <c r="Y293" i="82"/>
  <c r="Z293" i="82"/>
  <c r="AA293" i="82"/>
  <c r="AB293" i="82"/>
  <c r="AC293" i="82"/>
  <c r="AD293" i="82"/>
  <c r="AE293" i="82"/>
  <c r="AF293" i="82"/>
  <c r="AG293" i="82"/>
  <c r="AH293" i="82"/>
  <c r="AI293" i="82"/>
  <c r="AJ293" i="82"/>
  <c r="AK293" i="82"/>
  <c r="AL293" i="82"/>
  <c r="AM293" i="82"/>
  <c r="AN293" i="82"/>
  <c r="AO293" i="82"/>
  <c r="AP293" i="82"/>
  <c r="AQ293" i="82"/>
  <c r="AR293" i="82"/>
  <c r="AS293" i="82"/>
  <c r="AT293" i="82"/>
  <c r="AU293" i="82"/>
  <c r="AV293" i="82"/>
  <c r="AW293" i="82"/>
  <c r="AX293" i="82"/>
  <c r="AY293" i="82"/>
  <c r="E294" i="82"/>
  <c r="F294" i="82"/>
  <c r="G294" i="82"/>
  <c r="H294" i="82"/>
  <c r="I294" i="82"/>
  <c r="J294" i="82"/>
  <c r="K294" i="82"/>
  <c r="L294" i="82"/>
  <c r="M294" i="82"/>
  <c r="N294" i="82"/>
  <c r="O294" i="82"/>
  <c r="P294" i="82"/>
  <c r="Q294" i="82"/>
  <c r="R294" i="82"/>
  <c r="S294" i="82"/>
  <c r="T294" i="82"/>
  <c r="U294" i="82"/>
  <c r="V294" i="82"/>
  <c r="W294" i="82"/>
  <c r="X294" i="82"/>
  <c r="Y294" i="82"/>
  <c r="Z294" i="82"/>
  <c r="AA294" i="82"/>
  <c r="AB294" i="82"/>
  <c r="AC294" i="82"/>
  <c r="AD294" i="82"/>
  <c r="AE294" i="82"/>
  <c r="AF294" i="82"/>
  <c r="AG294" i="82"/>
  <c r="AH294" i="82"/>
  <c r="AI294" i="82"/>
  <c r="AJ294" i="82"/>
  <c r="AK294" i="82"/>
  <c r="AL294" i="82"/>
  <c r="AM294" i="82"/>
  <c r="AN294" i="82"/>
  <c r="AO294" i="82"/>
  <c r="AP294" i="82"/>
  <c r="AQ294" i="82"/>
  <c r="AR294" i="82"/>
  <c r="AS294" i="82"/>
  <c r="AT294" i="82"/>
  <c r="AU294" i="82"/>
  <c r="AV294" i="82"/>
  <c r="AW294" i="82"/>
  <c r="AX294" i="82"/>
  <c r="AY294" i="82"/>
  <c r="E295" i="82"/>
  <c r="F295" i="82"/>
  <c r="G295" i="82"/>
  <c r="H295" i="82"/>
  <c r="I295" i="82"/>
  <c r="J295" i="82"/>
  <c r="K295" i="82"/>
  <c r="L295" i="82"/>
  <c r="M295" i="82"/>
  <c r="N295" i="82"/>
  <c r="O295" i="82"/>
  <c r="P295" i="82"/>
  <c r="Q295" i="82"/>
  <c r="R295" i="82"/>
  <c r="S295" i="82"/>
  <c r="T295" i="82"/>
  <c r="U295" i="82"/>
  <c r="V295" i="82"/>
  <c r="W295" i="82"/>
  <c r="X295" i="82"/>
  <c r="Y295" i="82"/>
  <c r="Z295" i="82"/>
  <c r="AA295" i="82"/>
  <c r="AB295" i="82"/>
  <c r="AC295" i="82"/>
  <c r="AD295" i="82"/>
  <c r="AE295" i="82"/>
  <c r="AF295" i="82"/>
  <c r="AG295" i="82"/>
  <c r="AH295" i="82"/>
  <c r="AI295" i="82"/>
  <c r="AJ295" i="82"/>
  <c r="AK295" i="82"/>
  <c r="AL295" i="82"/>
  <c r="AM295" i="82"/>
  <c r="AN295" i="82"/>
  <c r="AO295" i="82"/>
  <c r="AP295" i="82"/>
  <c r="AQ295" i="82"/>
  <c r="AR295" i="82"/>
  <c r="AS295" i="82"/>
  <c r="AT295" i="82"/>
  <c r="AU295" i="82"/>
  <c r="AV295" i="82"/>
  <c r="AW295" i="82"/>
  <c r="AX295" i="82"/>
  <c r="AY295" i="82"/>
  <c r="E296" i="82"/>
  <c r="F296" i="82"/>
  <c r="G296" i="82"/>
  <c r="H296" i="82"/>
  <c r="I296" i="82"/>
  <c r="J296" i="82"/>
  <c r="K296" i="82"/>
  <c r="L296" i="82"/>
  <c r="M296" i="82"/>
  <c r="N296" i="82"/>
  <c r="O296" i="82"/>
  <c r="P296" i="82"/>
  <c r="Q296" i="82"/>
  <c r="R296" i="82"/>
  <c r="S296" i="82"/>
  <c r="T296" i="82"/>
  <c r="U296" i="82"/>
  <c r="V296" i="82"/>
  <c r="W296" i="82"/>
  <c r="X296" i="82"/>
  <c r="Y296" i="82"/>
  <c r="Z296" i="82"/>
  <c r="AA296" i="82"/>
  <c r="AB296" i="82"/>
  <c r="AC296" i="82"/>
  <c r="AD296" i="82"/>
  <c r="AE296" i="82"/>
  <c r="AF296" i="82"/>
  <c r="AG296" i="82"/>
  <c r="AH296" i="82"/>
  <c r="AI296" i="82"/>
  <c r="AJ296" i="82"/>
  <c r="AK296" i="82"/>
  <c r="AL296" i="82"/>
  <c r="AM296" i="82"/>
  <c r="AN296" i="82"/>
  <c r="AO296" i="82"/>
  <c r="AP296" i="82"/>
  <c r="AQ296" i="82"/>
  <c r="AR296" i="82"/>
  <c r="AS296" i="82"/>
  <c r="AT296" i="82"/>
  <c r="AU296" i="82"/>
  <c r="AV296" i="82"/>
  <c r="AW296" i="82"/>
  <c r="AX296" i="82"/>
  <c r="AY296" i="82"/>
  <c r="E297" i="82"/>
  <c r="F297" i="82"/>
  <c r="G297" i="82"/>
  <c r="H297" i="82"/>
  <c r="I297" i="82"/>
  <c r="J297" i="82"/>
  <c r="K297" i="82"/>
  <c r="L297" i="82"/>
  <c r="M297" i="82"/>
  <c r="N297" i="82"/>
  <c r="O297" i="82"/>
  <c r="P297" i="82"/>
  <c r="Q297" i="82"/>
  <c r="R297" i="82"/>
  <c r="S297" i="82"/>
  <c r="T297" i="82"/>
  <c r="U297" i="82"/>
  <c r="V297" i="82"/>
  <c r="W297" i="82"/>
  <c r="X297" i="82"/>
  <c r="Y297" i="82"/>
  <c r="Z297" i="82"/>
  <c r="AA297" i="82"/>
  <c r="AB297" i="82"/>
  <c r="AC297" i="82"/>
  <c r="AD297" i="82"/>
  <c r="AE297" i="82"/>
  <c r="AF297" i="82"/>
  <c r="AG297" i="82"/>
  <c r="AH297" i="82"/>
  <c r="AI297" i="82"/>
  <c r="AJ297" i="82"/>
  <c r="AK297" i="82"/>
  <c r="AL297" i="82"/>
  <c r="AM297" i="82"/>
  <c r="AN297" i="82"/>
  <c r="AO297" i="82"/>
  <c r="AP297" i="82"/>
  <c r="AQ297" i="82"/>
  <c r="AR297" i="82"/>
  <c r="AS297" i="82"/>
  <c r="AT297" i="82"/>
  <c r="AU297" i="82"/>
  <c r="AV297" i="82"/>
  <c r="AW297" i="82"/>
  <c r="AX297" i="82"/>
  <c r="AY297" i="82"/>
  <c r="E298" i="82"/>
  <c r="F298" i="82"/>
  <c r="G298" i="82"/>
  <c r="H298" i="82"/>
  <c r="I298" i="82"/>
  <c r="J298" i="82"/>
  <c r="K298" i="82"/>
  <c r="L298" i="82"/>
  <c r="M298" i="82"/>
  <c r="N298" i="82"/>
  <c r="O298" i="82"/>
  <c r="P298" i="82"/>
  <c r="Q298" i="82"/>
  <c r="R298" i="82"/>
  <c r="S298" i="82"/>
  <c r="T298" i="82"/>
  <c r="U298" i="82"/>
  <c r="V298" i="82"/>
  <c r="W298" i="82"/>
  <c r="X298" i="82"/>
  <c r="Y298" i="82"/>
  <c r="Z298" i="82"/>
  <c r="AA298" i="82"/>
  <c r="AB298" i="82"/>
  <c r="AC298" i="82"/>
  <c r="AD298" i="82"/>
  <c r="AE298" i="82"/>
  <c r="AF298" i="82"/>
  <c r="AG298" i="82"/>
  <c r="AH298" i="82"/>
  <c r="AI298" i="82"/>
  <c r="AJ298" i="82"/>
  <c r="AK298" i="82"/>
  <c r="AL298" i="82"/>
  <c r="AM298" i="82"/>
  <c r="AN298" i="82"/>
  <c r="AO298" i="82"/>
  <c r="AP298" i="82"/>
  <c r="AQ298" i="82"/>
  <c r="AR298" i="82"/>
  <c r="AS298" i="82"/>
  <c r="AT298" i="82"/>
  <c r="AU298" i="82"/>
  <c r="AV298" i="82"/>
  <c r="AW298" i="82"/>
  <c r="AX298" i="82"/>
  <c r="AY298" i="82"/>
  <c r="E299" i="82"/>
  <c r="F299" i="82"/>
  <c r="G299" i="82"/>
  <c r="H299" i="82"/>
  <c r="I299" i="82"/>
  <c r="J299" i="82"/>
  <c r="K299" i="82"/>
  <c r="L299" i="82"/>
  <c r="M299" i="82"/>
  <c r="N299" i="82"/>
  <c r="O299" i="82"/>
  <c r="P299" i="82"/>
  <c r="Q299" i="82"/>
  <c r="R299" i="82"/>
  <c r="S299" i="82"/>
  <c r="T299" i="82"/>
  <c r="U299" i="82"/>
  <c r="V299" i="82"/>
  <c r="W299" i="82"/>
  <c r="X299" i="82"/>
  <c r="Y299" i="82"/>
  <c r="Z299" i="82"/>
  <c r="AA299" i="82"/>
  <c r="AB299" i="82"/>
  <c r="AC299" i="82"/>
  <c r="AD299" i="82"/>
  <c r="AE299" i="82"/>
  <c r="AF299" i="82"/>
  <c r="AG299" i="82"/>
  <c r="AH299" i="82"/>
  <c r="AI299" i="82"/>
  <c r="AJ299" i="82"/>
  <c r="AK299" i="82"/>
  <c r="AL299" i="82"/>
  <c r="AM299" i="82"/>
  <c r="AN299" i="82"/>
  <c r="AO299" i="82"/>
  <c r="AP299" i="82"/>
  <c r="AQ299" i="82"/>
  <c r="AR299" i="82"/>
  <c r="AS299" i="82"/>
  <c r="AT299" i="82"/>
  <c r="AU299" i="82"/>
  <c r="AV299" i="82"/>
  <c r="AW299" i="82"/>
  <c r="AX299" i="82"/>
  <c r="AY299" i="82"/>
  <c r="E300" i="82"/>
  <c r="F300" i="82"/>
  <c r="G300" i="82"/>
  <c r="H300" i="82"/>
  <c r="I300" i="82"/>
  <c r="J300" i="82"/>
  <c r="K300" i="82"/>
  <c r="L300" i="82"/>
  <c r="M300" i="82"/>
  <c r="N300" i="82"/>
  <c r="O300" i="82"/>
  <c r="P300" i="82"/>
  <c r="Q300" i="82"/>
  <c r="R300" i="82"/>
  <c r="S300" i="82"/>
  <c r="T300" i="82"/>
  <c r="U300" i="82"/>
  <c r="V300" i="82"/>
  <c r="W300" i="82"/>
  <c r="X300" i="82"/>
  <c r="Y300" i="82"/>
  <c r="Z300" i="82"/>
  <c r="AA300" i="82"/>
  <c r="AB300" i="82"/>
  <c r="AC300" i="82"/>
  <c r="AD300" i="82"/>
  <c r="AE300" i="82"/>
  <c r="AF300" i="82"/>
  <c r="AG300" i="82"/>
  <c r="AH300" i="82"/>
  <c r="AI300" i="82"/>
  <c r="AJ300" i="82"/>
  <c r="AK300" i="82"/>
  <c r="AL300" i="82"/>
  <c r="AM300" i="82"/>
  <c r="AN300" i="82"/>
  <c r="AO300" i="82"/>
  <c r="AP300" i="82"/>
  <c r="AQ300" i="82"/>
  <c r="AR300" i="82"/>
  <c r="AS300" i="82"/>
  <c r="AT300" i="82"/>
  <c r="AU300" i="82"/>
  <c r="AV300" i="82"/>
  <c r="AW300" i="82"/>
  <c r="AX300" i="82"/>
  <c r="AY300" i="82"/>
  <c r="E301" i="82"/>
  <c r="F301" i="82"/>
  <c r="G301" i="82"/>
  <c r="H301" i="82"/>
  <c r="I301" i="82"/>
  <c r="J301" i="82"/>
  <c r="K301" i="82"/>
  <c r="L301" i="82"/>
  <c r="M301" i="82"/>
  <c r="N301" i="82"/>
  <c r="O301" i="82"/>
  <c r="P301" i="82"/>
  <c r="Q301" i="82"/>
  <c r="R301" i="82"/>
  <c r="S301" i="82"/>
  <c r="T301" i="82"/>
  <c r="U301" i="82"/>
  <c r="V301" i="82"/>
  <c r="W301" i="82"/>
  <c r="X301" i="82"/>
  <c r="Y301" i="82"/>
  <c r="Z301" i="82"/>
  <c r="AA301" i="82"/>
  <c r="AB301" i="82"/>
  <c r="AC301" i="82"/>
  <c r="AD301" i="82"/>
  <c r="AE301" i="82"/>
  <c r="AF301" i="82"/>
  <c r="AG301" i="82"/>
  <c r="AH301" i="82"/>
  <c r="AI301" i="82"/>
  <c r="AJ301" i="82"/>
  <c r="AK301" i="82"/>
  <c r="AL301" i="82"/>
  <c r="AM301" i="82"/>
  <c r="AN301" i="82"/>
  <c r="AO301" i="82"/>
  <c r="AP301" i="82"/>
  <c r="AQ301" i="82"/>
  <c r="AR301" i="82"/>
  <c r="AS301" i="82"/>
  <c r="AT301" i="82"/>
  <c r="AU301" i="82"/>
  <c r="AV301" i="82"/>
  <c r="AW301" i="82"/>
  <c r="AX301" i="82"/>
  <c r="AY301" i="82"/>
  <c r="E302" i="82"/>
  <c r="F302" i="82"/>
  <c r="G302" i="82"/>
  <c r="H302" i="82"/>
  <c r="I302" i="82"/>
  <c r="J302" i="82"/>
  <c r="K302" i="82"/>
  <c r="L302" i="82"/>
  <c r="M302" i="82"/>
  <c r="N302" i="82"/>
  <c r="O302" i="82"/>
  <c r="P302" i="82"/>
  <c r="Q302" i="82"/>
  <c r="R302" i="82"/>
  <c r="S302" i="82"/>
  <c r="T302" i="82"/>
  <c r="U302" i="82"/>
  <c r="V302" i="82"/>
  <c r="W302" i="82"/>
  <c r="X302" i="82"/>
  <c r="Y302" i="82"/>
  <c r="Z302" i="82"/>
  <c r="AA302" i="82"/>
  <c r="AB302" i="82"/>
  <c r="AC302" i="82"/>
  <c r="AD302" i="82"/>
  <c r="AE302" i="82"/>
  <c r="AF302" i="82"/>
  <c r="AG302" i="82"/>
  <c r="AH302" i="82"/>
  <c r="AI302" i="82"/>
  <c r="AJ302" i="82"/>
  <c r="AK302" i="82"/>
  <c r="AL302" i="82"/>
  <c r="AM302" i="82"/>
  <c r="AN302" i="82"/>
  <c r="AO302" i="82"/>
  <c r="AP302" i="82"/>
  <c r="AQ302" i="82"/>
  <c r="AR302" i="82"/>
  <c r="AS302" i="82"/>
  <c r="AT302" i="82"/>
  <c r="AU302" i="82"/>
  <c r="AV302" i="82"/>
  <c r="AW302" i="82"/>
  <c r="AX302" i="82"/>
  <c r="AY302" i="82"/>
  <c r="E303" i="82"/>
  <c r="F303" i="82"/>
  <c r="G303" i="82"/>
  <c r="H303" i="82"/>
  <c r="I303" i="82"/>
  <c r="J303" i="82"/>
  <c r="K303" i="82"/>
  <c r="L303" i="82"/>
  <c r="M303" i="82"/>
  <c r="N303" i="82"/>
  <c r="O303" i="82"/>
  <c r="P303" i="82"/>
  <c r="Q303" i="82"/>
  <c r="R303" i="82"/>
  <c r="S303" i="82"/>
  <c r="T303" i="82"/>
  <c r="U303" i="82"/>
  <c r="V303" i="82"/>
  <c r="W303" i="82"/>
  <c r="X303" i="82"/>
  <c r="Y303" i="82"/>
  <c r="Z303" i="82"/>
  <c r="AA303" i="82"/>
  <c r="AB303" i="82"/>
  <c r="AC303" i="82"/>
  <c r="AD303" i="82"/>
  <c r="AE303" i="82"/>
  <c r="AF303" i="82"/>
  <c r="AG303" i="82"/>
  <c r="AH303" i="82"/>
  <c r="AI303" i="82"/>
  <c r="AJ303" i="82"/>
  <c r="AK303" i="82"/>
  <c r="AL303" i="82"/>
  <c r="AM303" i="82"/>
  <c r="AN303" i="82"/>
  <c r="AO303" i="82"/>
  <c r="AP303" i="82"/>
  <c r="AQ303" i="82"/>
  <c r="AR303" i="82"/>
  <c r="AS303" i="82"/>
  <c r="AT303" i="82"/>
  <c r="AU303" i="82"/>
  <c r="AV303" i="82"/>
  <c r="AW303" i="82"/>
  <c r="AX303" i="82"/>
  <c r="AY303" i="82"/>
  <c r="E305" i="82"/>
  <c r="F305" i="82"/>
  <c r="G305" i="82"/>
  <c r="H305" i="82"/>
  <c r="I305" i="82"/>
  <c r="J305" i="82"/>
  <c r="K305" i="82"/>
  <c r="L305" i="82"/>
  <c r="M305" i="82"/>
  <c r="N305" i="82"/>
  <c r="O305" i="82"/>
  <c r="P305" i="82"/>
  <c r="Q305" i="82"/>
  <c r="R305" i="82"/>
  <c r="S305" i="82"/>
  <c r="T305" i="82"/>
  <c r="U305" i="82"/>
  <c r="V305" i="82"/>
  <c r="W305" i="82"/>
  <c r="X305" i="82"/>
  <c r="Y305" i="82"/>
  <c r="Z305" i="82"/>
  <c r="AA305" i="82"/>
  <c r="AB305" i="82"/>
  <c r="AC305" i="82"/>
  <c r="AD305" i="82"/>
  <c r="AE305" i="82"/>
  <c r="AF305" i="82"/>
  <c r="AG305" i="82"/>
  <c r="AH305" i="82"/>
  <c r="AI305" i="82"/>
  <c r="AJ305" i="82"/>
  <c r="AK305" i="82"/>
  <c r="AL305" i="82"/>
  <c r="AM305" i="82"/>
  <c r="AN305" i="82"/>
  <c r="AO305" i="82"/>
  <c r="AP305" i="82"/>
  <c r="AQ305" i="82"/>
  <c r="AR305" i="82"/>
  <c r="AS305" i="82"/>
  <c r="AT305" i="82"/>
  <c r="AU305" i="82"/>
  <c r="AV305" i="82"/>
  <c r="AW305" i="82"/>
  <c r="AX305" i="82"/>
  <c r="AY305"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AT317" i="82"/>
  <c r="AU317" i="82"/>
  <c r="AV317" i="82"/>
  <c r="AW317" i="82"/>
  <c r="AX317" i="82"/>
  <c r="AY317"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D317" i="82"/>
  <c r="D318" i="82"/>
  <c r="D316" i="82"/>
  <c r="R312" i="82" l="1"/>
  <c r="J312" i="82"/>
  <c r="AH312" i="82"/>
  <c r="AP312" i="82"/>
  <c r="AX312" i="82"/>
  <c r="Z312" i="82"/>
  <c r="T312" i="82"/>
  <c r="P312" i="82"/>
  <c r="AR312" i="82"/>
  <c r="H312" i="82"/>
  <c r="AU312" i="82"/>
  <c r="AM312" i="82"/>
  <c r="AE312" i="82"/>
  <c r="W312" i="82"/>
  <c r="O312" i="82"/>
  <c r="G312" i="82"/>
  <c r="AY312" i="82"/>
  <c r="AQ312" i="82"/>
  <c r="AI312" i="82"/>
  <c r="AA312" i="82"/>
  <c r="S312" i="82"/>
  <c r="K312" i="82"/>
  <c r="AN312" i="82"/>
  <c r="AB312" i="82"/>
  <c r="AF312" i="82"/>
  <c r="AT312" i="82"/>
  <c r="AL312" i="82"/>
  <c r="AD312" i="82"/>
  <c r="V312" i="82"/>
  <c r="N312" i="82"/>
  <c r="F312" i="82"/>
  <c r="AV312" i="82"/>
  <c r="AJ312" i="82"/>
  <c r="X312" i="82"/>
  <c r="AS312" i="82"/>
  <c r="AK312" i="82"/>
  <c r="AC312" i="82"/>
  <c r="U312" i="82"/>
  <c r="M312" i="82"/>
  <c r="E312" i="82"/>
  <c r="AW312" i="82"/>
  <c r="AO312" i="82"/>
  <c r="AG312" i="82"/>
  <c r="Y312" i="82"/>
  <c r="Q312" i="82"/>
  <c r="I312" i="82"/>
  <c r="L312" i="82"/>
  <c r="D305" i="82" l="1"/>
  <c r="D303" i="82"/>
  <c r="D302" i="82"/>
  <c r="D301" i="82"/>
  <c r="D300" i="82"/>
  <c r="D299" i="82"/>
  <c r="D296" i="82"/>
  <c r="D297" i="82"/>
  <c r="D298" i="82"/>
  <c r="D295" i="82"/>
  <c r="D294" i="82"/>
  <c r="D293" i="82"/>
  <c r="D292" i="82"/>
  <c r="D291" i="82"/>
  <c r="D288" i="82"/>
  <c r="D289" i="82"/>
  <c r="D290" i="82"/>
  <c r="D287" i="82"/>
  <c r="D284" i="82"/>
  <c r="D285" i="82"/>
  <c r="D286" i="82"/>
  <c r="D283" i="82"/>
  <c r="E264" i="82"/>
  <c r="E314" i="82" s="1"/>
  <c r="E320" i="82" s="1"/>
  <c r="F264" i="82"/>
  <c r="F314" i="82" s="1"/>
  <c r="F320" i="82" s="1"/>
  <c r="G264" i="82"/>
  <c r="G314" i="82" s="1"/>
  <c r="G320" i="82" s="1"/>
  <c r="H264" i="82"/>
  <c r="H314" i="82" s="1"/>
  <c r="H320" i="82" s="1"/>
  <c r="I264" i="82"/>
  <c r="I314" i="82" s="1"/>
  <c r="I320" i="82" s="1"/>
  <c r="J264" i="82"/>
  <c r="J314" i="82" s="1"/>
  <c r="J320" i="82" s="1"/>
  <c r="K264" i="82"/>
  <c r="K314" i="82" s="1"/>
  <c r="K320" i="82" s="1"/>
  <c r="L264" i="82"/>
  <c r="L314" i="82" s="1"/>
  <c r="L320" i="82" s="1"/>
  <c r="M264" i="82"/>
  <c r="M314" i="82" s="1"/>
  <c r="M320" i="82" s="1"/>
  <c r="N264" i="82"/>
  <c r="N314" i="82" s="1"/>
  <c r="N320" i="82" s="1"/>
  <c r="O264" i="82"/>
  <c r="O314" i="82" s="1"/>
  <c r="O320" i="82" s="1"/>
  <c r="P264" i="82"/>
  <c r="P314" i="82" s="1"/>
  <c r="P320" i="82" s="1"/>
  <c r="Q264" i="82"/>
  <c r="Q314" i="82" s="1"/>
  <c r="Q320" i="82" s="1"/>
  <c r="R264" i="82"/>
  <c r="R314" i="82" s="1"/>
  <c r="R320" i="82" s="1"/>
  <c r="S264" i="82"/>
  <c r="S314" i="82" s="1"/>
  <c r="S320" i="82" s="1"/>
  <c r="T264" i="82"/>
  <c r="T314" i="82" s="1"/>
  <c r="T320" i="82" s="1"/>
  <c r="U264" i="82"/>
  <c r="U314" i="82" s="1"/>
  <c r="U320" i="82" s="1"/>
  <c r="V264" i="82"/>
  <c r="V314" i="82" s="1"/>
  <c r="V320" i="82" s="1"/>
  <c r="W264" i="82"/>
  <c r="W314" i="82" s="1"/>
  <c r="W320" i="82" s="1"/>
  <c r="X264" i="82"/>
  <c r="X314" i="82" s="1"/>
  <c r="X320" i="82" s="1"/>
  <c r="Y264" i="82"/>
  <c r="Y314" i="82" s="1"/>
  <c r="Y320" i="82" s="1"/>
  <c r="Z264" i="82"/>
  <c r="Z314" i="82" s="1"/>
  <c r="Z320" i="82" s="1"/>
  <c r="AA264" i="82"/>
  <c r="AA314" i="82" s="1"/>
  <c r="AA320" i="82" s="1"/>
  <c r="AB264" i="82"/>
  <c r="AB314" i="82" s="1"/>
  <c r="AB320" i="82" s="1"/>
  <c r="AC264" i="82"/>
  <c r="AC314" i="82" s="1"/>
  <c r="AC320" i="82" s="1"/>
  <c r="AD264" i="82"/>
  <c r="AD314" i="82" s="1"/>
  <c r="AD320" i="82" s="1"/>
  <c r="AE264" i="82"/>
  <c r="AE314" i="82" s="1"/>
  <c r="AE320" i="82" s="1"/>
  <c r="AF264" i="82"/>
  <c r="AF314" i="82" s="1"/>
  <c r="AF320" i="82" s="1"/>
  <c r="AG264" i="82"/>
  <c r="AG314" i="82" s="1"/>
  <c r="AG320" i="82" s="1"/>
  <c r="AH264" i="82"/>
  <c r="AH314" i="82" s="1"/>
  <c r="AH320" i="82" s="1"/>
  <c r="AI264" i="82"/>
  <c r="AI314" i="82" s="1"/>
  <c r="AI320" i="82" s="1"/>
  <c r="AJ264" i="82"/>
  <c r="AJ314" i="82" s="1"/>
  <c r="AJ320" i="82" s="1"/>
  <c r="AK264" i="82"/>
  <c r="AK314" i="82" s="1"/>
  <c r="AK320" i="82" s="1"/>
  <c r="AL264" i="82"/>
  <c r="AL314" i="82" s="1"/>
  <c r="AL320" i="82" s="1"/>
  <c r="AM264" i="82"/>
  <c r="AM314" i="82" s="1"/>
  <c r="AM320" i="82" s="1"/>
  <c r="AN264" i="82"/>
  <c r="AN314" i="82" s="1"/>
  <c r="AN320" i="82" s="1"/>
  <c r="AO264" i="82"/>
  <c r="AO314" i="82" s="1"/>
  <c r="AO320" i="82" s="1"/>
  <c r="AP264" i="82"/>
  <c r="AP314" i="82" s="1"/>
  <c r="AP320" i="82" s="1"/>
  <c r="AQ264" i="82"/>
  <c r="AQ314" i="82" s="1"/>
  <c r="AQ320" i="82" s="1"/>
  <c r="AR264" i="82"/>
  <c r="AR314" i="82" s="1"/>
  <c r="AR320" i="82" s="1"/>
  <c r="AS264" i="82"/>
  <c r="AS314" i="82" s="1"/>
  <c r="AS320" i="82" s="1"/>
  <c r="AT264" i="82"/>
  <c r="AT314" i="82" s="1"/>
  <c r="AT320" i="82" s="1"/>
  <c r="AU264" i="82"/>
  <c r="AU314" i="82" s="1"/>
  <c r="AU320" i="82" s="1"/>
  <c r="AV264" i="82"/>
  <c r="AV314" i="82" s="1"/>
  <c r="AV320" i="82" s="1"/>
  <c r="AW264" i="82"/>
  <c r="AW314" i="82" s="1"/>
  <c r="AW320" i="82" s="1"/>
  <c r="AX264" i="82"/>
  <c r="AX314" i="82" s="1"/>
  <c r="AX320" i="82" s="1"/>
  <c r="AY264" i="82"/>
  <c r="AY314" i="82" s="1"/>
  <c r="AY320" i="82" s="1"/>
  <c r="D264" i="82"/>
  <c r="D328" i="82" s="1"/>
  <c r="D312" i="82" l="1"/>
  <c r="D314" i="82" s="1"/>
  <c r="D320" i="82" s="1"/>
  <c r="E219" i="28"/>
  <c r="L219" i="28" s="1"/>
  <c r="E218" i="28"/>
  <c r="L218" i="28" s="1"/>
  <c r="D38" i="91"/>
  <c r="D37" i="91"/>
  <c r="D36" i="91"/>
  <c r="D35" i="91"/>
  <c r="E4" i="92" l="1"/>
  <c r="C4" i="92"/>
  <c r="B4" i="92"/>
  <c r="H253" i="1" l="1"/>
  <c r="H229" i="1"/>
  <c r="H222" i="1"/>
  <c r="G54" i="1"/>
  <c r="A49" i="91" l="1"/>
  <c r="B44" i="91" l="1"/>
  <c r="B42" i="91"/>
  <c r="B40" i="91"/>
  <c r="D32" i="91"/>
  <c r="D25" i="91"/>
  <c r="D21" i="91"/>
  <c r="D20" i="91"/>
  <c r="D12" i="91"/>
  <c r="L227" i="28" l="1"/>
  <c r="E214" i="28"/>
  <c r="E247" i="28" l="1"/>
  <c r="L247" i="28" l="1"/>
  <c r="D11" i="91" l="1"/>
  <c r="E213" i="28" l="1"/>
  <c r="E212" i="28"/>
  <c r="E170" i="28"/>
  <c r="E246" i="28"/>
  <c r="C246" i="28"/>
  <c r="E207" i="28"/>
  <c r="L207" i="28" s="1"/>
  <c r="E206" i="28"/>
  <c r="L206" i="28" s="1"/>
  <c r="E205" i="28"/>
  <c r="L205" i="28" s="1"/>
  <c r="E22" i="88" s="1"/>
  <c r="C205" i="28"/>
  <c r="C206" i="28"/>
  <c r="A205" i="28"/>
  <c r="A206" i="28"/>
  <c r="A207" i="28"/>
  <c r="E217" i="28"/>
  <c r="E216" i="28"/>
  <c r="L216" i="28" s="1"/>
  <c r="E28" i="88" s="1"/>
  <c r="E215" i="28"/>
  <c r="E211" i="28"/>
  <c r="E204" i="28"/>
  <c r="L204" i="28" s="1"/>
  <c r="E203" i="28"/>
  <c r="L203" i="28" s="1"/>
  <c r="E210" i="28"/>
  <c r="E202" i="28"/>
  <c r="E201" i="28"/>
  <c r="C217" i="28"/>
  <c r="A217" i="28"/>
  <c r="C216" i="28"/>
  <c r="A216" i="28"/>
  <c r="C214" i="28"/>
  <c r="A214" i="28"/>
  <c r="C211" i="28"/>
  <c r="C212" i="28"/>
  <c r="C213" i="28"/>
  <c r="C215" i="28"/>
  <c r="A212" i="28"/>
  <c r="A213" i="28"/>
  <c r="A215" i="28"/>
  <c r="A211" i="28"/>
  <c r="C203" i="28"/>
  <c r="C204" i="28"/>
  <c r="A203" i="28"/>
  <c r="A204" i="28"/>
  <c r="C210" i="28"/>
  <c r="A210" i="28"/>
  <c r="C202" i="28"/>
  <c r="A202" i="28"/>
  <c r="C201" i="28"/>
  <c r="A201" i="28"/>
  <c r="E132" i="28"/>
  <c r="L132" i="28" s="1"/>
  <c r="A132" i="28"/>
  <c r="B132" i="28"/>
  <c r="C132" i="28"/>
  <c r="E115" i="28"/>
  <c r="L115" i="28" s="1"/>
  <c r="A115" i="28"/>
  <c r="B115" i="28"/>
  <c r="C115" i="28"/>
  <c r="E55" i="28"/>
  <c r="L55" i="28" s="1"/>
  <c r="B55" i="28"/>
  <c r="C55" i="28"/>
  <c r="A55" i="28"/>
  <c r="E187" i="28"/>
  <c r="L187" i="28" s="1"/>
  <c r="C187" i="28"/>
  <c r="B187" i="28"/>
  <c r="A187" i="28"/>
  <c r="E25" i="88" l="1"/>
  <c r="G25" i="88" s="1"/>
  <c r="C4" i="88"/>
  <c r="G22" i="88"/>
  <c r="G28" i="88"/>
  <c r="E243" i="28" l="1"/>
  <c r="E244" i="28"/>
  <c r="N6" i="88" l="1"/>
  <c r="N12" i="88"/>
  <c r="E199" i="1" l="1"/>
  <c r="E285" i="1" s="1"/>
  <c r="E186" i="1"/>
  <c r="E193" i="1"/>
  <c r="E284" i="1" s="1"/>
  <c r="E205" i="1"/>
  <c r="E286" i="1" s="1"/>
  <c r="E283" i="1" l="1"/>
  <c r="E282" i="1"/>
  <c r="E206" i="1"/>
  <c r="E287" i="1" s="1"/>
  <c r="E288" i="1" l="1"/>
  <c r="L322" i="82"/>
  <c r="L324" i="82" s="1"/>
  <c r="T322" i="82"/>
  <c r="T324" i="82" s="1"/>
  <c r="AB322" i="82"/>
  <c r="AB324" i="82" s="1"/>
  <c r="AJ322" i="82"/>
  <c r="AJ324" i="82" s="1"/>
  <c r="AR322" i="82"/>
  <c r="AR324" i="82" s="1"/>
  <c r="D322" i="82"/>
  <c r="D324" i="82" s="1"/>
  <c r="AA322" i="82"/>
  <c r="AA324" i="82" s="1"/>
  <c r="E322" i="82"/>
  <c r="E324" i="82" s="1"/>
  <c r="M322" i="82"/>
  <c r="M324" i="82" s="1"/>
  <c r="U322" i="82"/>
  <c r="U324" i="82" s="1"/>
  <c r="AC322" i="82"/>
  <c r="AC324" i="82" s="1"/>
  <c r="AK322" i="82"/>
  <c r="AK324" i="82" s="1"/>
  <c r="AS322" i="82"/>
  <c r="AS324" i="82" s="1"/>
  <c r="AI322" i="82"/>
  <c r="AI324" i="82" s="1"/>
  <c r="F322" i="82"/>
  <c r="F324" i="82" s="1"/>
  <c r="N322" i="82"/>
  <c r="N324" i="82" s="1"/>
  <c r="V322" i="82"/>
  <c r="V324" i="82" s="1"/>
  <c r="AD322" i="82"/>
  <c r="AD324" i="82" s="1"/>
  <c r="AL322" i="82"/>
  <c r="AL324" i="82" s="1"/>
  <c r="AT322" i="82"/>
  <c r="AT324" i="82" s="1"/>
  <c r="G322" i="82"/>
  <c r="G324" i="82" s="1"/>
  <c r="O322" i="82"/>
  <c r="O324" i="82" s="1"/>
  <c r="W322" i="82"/>
  <c r="W324" i="82" s="1"/>
  <c r="AE322" i="82"/>
  <c r="AE324" i="82" s="1"/>
  <c r="AM322" i="82"/>
  <c r="AM324" i="82" s="1"/>
  <c r="AU322" i="82"/>
  <c r="AU324" i="82" s="1"/>
  <c r="H322" i="82"/>
  <c r="H324" i="82" s="1"/>
  <c r="P322" i="82"/>
  <c r="P324" i="82" s="1"/>
  <c r="X322" i="82"/>
  <c r="X324" i="82" s="1"/>
  <c r="AF322" i="82"/>
  <c r="AF324" i="82" s="1"/>
  <c r="AN322" i="82"/>
  <c r="AN324" i="82" s="1"/>
  <c r="AV322" i="82"/>
  <c r="AV324" i="82" s="1"/>
  <c r="K322" i="82"/>
  <c r="K324" i="82" s="1"/>
  <c r="AQ322" i="82"/>
  <c r="AQ324" i="82" s="1"/>
  <c r="AY322" i="82"/>
  <c r="AY324" i="82" s="1"/>
  <c r="I322" i="82"/>
  <c r="I324" i="82" s="1"/>
  <c r="Q322" i="82"/>
  <c r="Q324" i="82" s="1"/>
  <c r="Y322" i="82"/>
  <c r="Y324" i="82" s="1"/>
  <c r="AG322" i="82"/>
  <c r="AG324" i="82" s="1"/>
  <c r="AO322" i="82"/>
  <c r="AO324" i="82" s="1"/>
  <c r="AW322" i="82"/>
  <c r="AW324" i="82" s="1"/>
  <c r="S322" i="82"/>
  <c r="S324" i="82" s="1"/>
  <c r="J322" i="82"/>
  <c r="J324" i="82" s="1"/>
  <c r="R322" i="82"/>
  <c r="R324" i="82" s="1"/>
  <c r="Z322" i="82"/>
  <c r="Z324" i="82" s="1"/>
  <c r="AH322" i="82"/>
  <c r="AH324" i="82" s="1"/>
  <c r="AP322" i="82"/>
  <c r="AP324" i="82" s="1"/>
  <c r="AX322" i="82"/>
  <c r="AX324" i="82" s="1"/>
  <c r="A282" i="1"/>
  <c r="G118" i="1" l="1"/>
  <c r="G98" i="1"/>
  <c r="F278" i="1"/>
  <c r="E278" i="1"/>
  <c r="F276" i="1"/>
  <c r="E276" i="1"/>
  <c r="F275" i="1"/>
  <c r="E275" i="1"/>
  <c r="F274" i="1"/>
  <c r="E274" i="1"/>
  <c r="F273" i="1"/>
  <c r="E273" i="1"/>
  <c r="G130" i="1"/>
  <c r="H118" i="1"/>
  <c r="H98" i="1"/>
  <c r="G11" i="1"/>
  <c r="G82" i="1" l="1"/>
  <c r="H40" i="1" l="1"/>
  <c r="G40" i="1" l="1"/>
  <c r="I40" i="1"/>
  <c r="C240" i="28"/>
  <c r="L215" i="28" l="1"/>
  <c r="G229" i="1" l="1"/>
  <c r="E237" i="28" l="1"/>
  <c r="E240" i="28" l="1"/>
  <c r="L246" i="28" l="1"/>
  <c r="G159" i="1" l="1"/>
  <c r="G142" i="1"/>
  <c r="G139" i="1" l="1"/>
  <c r="G180" i="1" l="1"/>
  <c r="A186" i="28" l="1"/>
  <c r="B186" i="28"/>
  <c r="C186" i="28"/>
  <c r="E186" i="28"/>
  <c r="E147" i="28"/>
  <c r="B147" i="28"/>
  <c r="C147" i="28"/>
  <c r="A147" i="28"/>
  <c r="E117" i="28"/>
  <c r="A117" i="28"/>
  <c r="B117" i="28"/>
  <c r="C117" i="28"/>
  <c r="L202" i="28"/>
  <c r="L201" i="28"/>
  <c r="L186" i="28" l="1"/>
  <c r="L147" i="28"/>
  <c r="L117" i="28"/>
  <c r="L214" i="28"/>
  <c r="E30" i="88" s="1"/>
  <c r="G30" i="88" s="1"/>
  <c r="L217" i="28"/>
  <c r="L210" i="28"/>
  <c r="L211" i="28"/>
  <c r="L212" i="28"/>
  <c r="L213" i="28"/>
  <c r="E24" i="88" l="1"/>
  <c r="G24" i="88" s="1"/>
  <c r="E242" i="28" l="1"/>
  <c r="L243" i="28"/>
  <c r="L244" i="28"/>
  <c r="E245" i="28"/>
  <c r="E241" i="28"/>
  <c r="A242" i="28"/>
  <c r="A243" i="28"/>
  <c r="A244" i="28"/>
  <c r="A245" i="28"/>
  <c r="A241" i="28"/>
  <c r="F240" i="28"/>
  <c r="G262" i="1"/>
  <c r="F237" i="28" s="1"/>
  <c r="G263" i="1"/>
  <c r="F238" i="28" s="1"/>
  <c r="G264" i="1"/>
  <c r="F239" i="28" s="1"/>
  <c r="G261" i="1"/>
  <c r="F236" i="28" s="1"/>
  <c r="L245" i="28" l="1"/>
  <c r="L242" i="28"/>
  <c r="L241" i="28"/>
  <c r="C242" i="28"/>
  <c r="C243" i="28"/>
  <c r="C245" i="28"/>
  <c r="C241" i="28"/>
  <c r="G219" i="1" l="1"/>
  <c r="G115" i="1"/>
  <c r="G21" i="1"/>
  <c r="F245" i="28"/>
  <c r="F244" i="28"/>
  <c r="F243" i="28"/>
  <c r="F242" i="28"/>
  <c r="F241" i="28"/>
  <c r="G105" i="1" l="1"/>
  <c r="G124" i="1" l="1"/>
  <c r="G123" i="1"/>
  <c r="G122" i="1"/>
  <c r="G121" i="1"/>
  <c r="G120" i="1"/>
  <c r="G119" i="1"/>
  <c r="G113" i="1"/>
  <c r="G104" i="1"/>
  <c r="G103" i="1"/>
  <c r="G102" i="1"/>
  <c r="G101" i="1"/>
  <c r="G100" i="1"/>
  <c r="G99" i="1"/>
  <c r="D3" i="1" l="1"/>
  <c r="C5" i="88" l="1"/>
  <c r="L4" i="28"/>
  <c r="L11" i="88" l="1"/>
  <c r="C11" i="88" s="1"/>
  <c r="M11" i="88"/>
  <c r="D11" i="88" s="1"/>
  <c r="M16" i="88"/>
  <c r="M15" i="88"/>
  <c r="M13" i="88"/>
  <c r="M12" i="88"/>
  <c r="L13" i="88"/>
  <c r="L12" i="88"/>
  <c r="L15" i="88"/>
  <c r="L16" i="88"/>
  <c r="L10" i="88"/>
  <c r="M10" i="88"/>
  <c r="L9" i="88"/>
  <c r="M9" i="88"/>
  <c r="M6" i="88"/>
  <c r="L7" i="88"/>
  <c r="M7" i="88"/>
  <c r="L6" i="88"/>
  <c r="D9" i="88" l="1"/>
  <c r="D10" i="88"/>
  <c r="C16" i="88"/>
  <c r="C15" i="88"/>
  <c r="D15" i="88"/>
  <c r="D16" i="88"/>
  <c r="C10" i="88"/>
  <c r="C9" i="88"/>
  <c r="N194" i="28" l="1"/>
  <c r="E190" i="28"/>
  <c r="L190" i="28" l="1"/>
  <c r="C247" i="28"/>
  <c r="B247" i="28"/>
  <c r="A247" i="28"/>
  <c r="A240" i="28"/>
  <c r="E239" i="28"/>
  <c r="C239" i="28"/>
  <c r="A239" i="28"/>
  <c r="E238" i="28"/>
  <c r="C238" i="28"/>
  <c r="A238" i="28"/>
  <c r="C237" i="28"/>
  <c r="A237" i="28"/>
  <c r="E236" i="28"/>
  <c r="C236" i="28"/>
  <c r="A236" i="28"/>
  <c r="E200" i="28"/>
  <c r="C200" i="28"/>
  <c r="A200" i="28"/>
  <c r="H199" i="28"/>
  <c r="E199" i="28"/>
  <c r="C199" i="28"/>
  <c r="B199" i="28"/>
  <c r="A199" i="28"/>
  <c r="H198" i="28"/>
  <c r="E198" i="28"/>
  <c r="C198" i="28"/>
  <c r="B198" i="28"/>
  <c r="A198" i="28"/>
  <c r="E197" i="28"/>
  <c r="C197" i="28"/>
  <c r="B197" i="28"/>
  <c r="A197" i="28"/>
  <c r="E196" i="28"/>
  <c r="C196" i="28"/>
  <c r="B196" i="28"/>
  <c r="A196" i="28"/>
  <c r="E195" i="28"/>
  <c r="C195" i="28"/>
  <c r="B195" i="28"/>
  <c r="A195" i="28"/>
  <c r="E194" i="28"/>
  <c r="C194" i="28"/>
  <c r="B194" i="28"/>
  <c r="A194" i="28"/>
  <c r="E193" i="28"/>
  <c r="C193" i="28"/>
  <c r="B193" i="28"/>
  <c r="A193" i="28"/>
  <c r="E192" i="28"/>
  <c r="C192" i="28"/>
  <c r="B192" i="28"/>
  <c r="A192" i="28"/>
  <c r="E191" i="28"/>
  <c r="C191" i="28"/>
  <c r="B191" i="28"/>
  <c r="A191" i="28"/>
  <c r="C190" i="28"/>
  <c r="B190" i="28"/>
  <c r="A190" i="28"/>
  <c r="E189" i="28"/>
  <c r="C189" i="28"/>
  <c r="B189" i="28"/>
  <c r="A189" i="28"/>
  <c r="E188" i="28"/>
  <c r="C188" i="28"/>
  <c r="B188" i="28"/>
  <c r="A188" i="28"/>
  <c r="E185" i="28"/>
  <c r="C185" i="28"/>
  <c r="B185" i="28"/>
  <c r="A185" i="28"/>
  <c r="E184" i="28"/>
  <c r="C184" i="28"/>
  <c r="B184" i="28"/>
  <c r="A184" i="28"/>
  <c r="E180" i="28"/>
  <c r="C180" i="28"/>
  <c r="B180" i="28"/>
  <c r="A180" i="28"/>
  <c r="E179" i="28"/>
  <c r="C179" i="28"/>
  <c r="B179" i="28"/>
  <c r="A179" i="28"/>
  <c r="E178" i="28"/>
  <c r="C178" i="28"/>
  <c r="B178" i="28"/>
  <c r="A178" i="28"/>
  <c r="E177" i="28"/>
  <c r="C177" i="28"/>
  <c r="B177" i="28"/>
  <c r="A177" i="28"/>
  <c r="E176" i="28"/>
  <c r="C176" i="28"/>
  <c r="B176" i="28"/>
  <c r="A176" i="28"/>
  <c r="E175" i="28"/>
  <c r="C175" i="28"/>
  <c r="E174" i="28"/>
  <c r="C174" i="28"/>
  <c r="B174" i="28"/>
  <c r="A174" i="28"/>
  <c r="E173" i="28"/>
  <c r="C173" i="28"/>
  <c r="B173" i="28"/>
  <c r="A173" i="28"/>
  <c r="E172" i="28"/>
  <c r="C172" i="28"/>
  <c r="B172" i="28"/>
  <c r="A172" i="28"/>
  <c r="E171" i="28"/>
  <c r="C171" i="28"/>
  <c r="B171" i="28"/>
  <c r="A171" i="28"/>
  <c r="C170" i="28"/>
  <c r="B170" i="28"/>
  <c r="A170" i="28"/>
  <c r="E169" i="28"/>
  <c r="C169" i="28"/>
  <c r="B169" i="28"/>
  <c r="A169" i="28"/>
  <c r="E168" i="28"/>
  <c r="C168" i="28"/>
  <c r="B168" i="28"/>
  <c r="A168" i="28"/>
  <c r="E167" i="28"/>
  <c r="C167" i="28"/>
  <c r="B167" i="28"/>
  <c r="A167" i="28"/>
  <c r="E166" i="28"/>
  <c r="C166" i="28"/>
  <c r="B166" i="28"/>
  <c r="A166" i="28"/>
  <c r="E165" i="28"/>
  <c r="C165" i="28"/>
  <c r="B165" i="28"/>
  <c r="A165" i="28"/>
  <c r="E164" i="28"/>
  <c r="C164" i="28"/>
  <c r="B164" i="28"/>
  <c r="A164" i="28"/>
  <c r="E163" i="28"/>
  <c r="C163" i="28"/>
  <c r="B163" i="28"/>
  <c r="A163" i="28"/>
  <c r="E162" i="28"/>
  <c r="C162" i="28"/>
  <c r="B162" i="28"/>
  <c r="A162" i="28"/>
  <c r="E161" i="28"/>
  <c r="C161" i="28"/>
  <c r="B161" i="28"/>
  <c r="A161" i="28"/>
  <c r="E160" i="28"/>
  <c r="C160" i="28"/>
  <c r="B160" i="28"/>
  <c r="A160" i="28"/>
  <c r="E159" i="28"/>
  <c r="C159" i="28"/>
  <c r="B159" i="28"/>
  <c r="A159" i="28"/>
  <c r="E158" i="28"/>
  <c r="C158" i="28"/>
  <c r="B158" i="28"/>
  <c r="A158" i="28"/>
  <c r="E157" i="28"/>
  <c r="C157" i="28"/>
  <c r="B157" i="28"/>
  <c r="A157" i="28"/>
  <c r="E156" i="28"/>
  <c r="C156" i="28"/>
  <c r="B156" i="28"/>
  <c r="A156" i="28"/>
  <c r="E155" i="28"/>
  <c r="C155" i="28"/>
  <c r="B155" i="28"/>
  <c r="A155" i="28"/>
  <c r="E154" i="28"/>
  <c r="C154" i="28"/>
  <c r="B154" i="28"/>
  <c r="A154" i="28"/>
  <c r="E153" i="28"/>
  <c r="C153" i="28"/>
  <c r="B153" i="28"/>
  <c r="A153" i="28"/>
  <c r="E152" i="28"/>
  <c r="C152" i="28"/>
  <c r="B152" i="28"/>
  <c r="A152" i="28"/>
  <c r="E151" i="28"/>
  <c r="C151" i="28"/>
  <c r="B151" i="28"/>
  <c r="A151" i="28"/>
  <c r="E150" i="28"/>
  <c r="C150" i="28"/>
  <c r="B150" i="28"/>
  <c r="A150" i="28"/>
  <c r="C149" i="28"/>
  <c r="B149" i="28"/>
  <c r="A149" i="28"/>
  <c r="C148" i="28"/>
  <c r="B148" i="28"/>
  <c r="A148" i="28"/>
  <c r="E146" i="28"/>
  <c r="C146" i="28"/>
  <c r="B146" i="28"/>
  <c r="A146" i="28"/>
  <c r="E145" i="28"/>
  <c r="C145" i="28"/>
  <c r="B145" i="28"/>
  <c r="A145" i="28"/>
  <c r="E144" i="28"/>
  <c r="C144" i="28"/>
  <c r="B144" i="28"/>
  <c r="A144" i="28"/>
  <c r="E143" i="28"/>
  <c r="C143" i="28"/>
  <c r="B143" i="28"/>
  <c r="A143" i="28"/>
  <c r="E142" i="28"/>
  <c r="C142" i="28"/>
  <c r="B142" i="28"/>
  <c r="A142" i="28"/>
  <c r="E141" i="28"/>
  <c r="C141" i="28"/>
  <c r="B141" i="28"/>
  <c r="A141" i="28"/>
  <c r="E140" i="28"/>
  <c r="C140" i="28"/>
  <c r="B140" i="28"/>
  <c r="A140" i="28"/>
  <c r="E139" i="28"/>
  <c r="C139" i="28"/>
  <c r="B139" i="28"/>
  <c r="A139" i="28"/>
  <c r="E138" i="28"/>
  <c r="C138" i="28"/>
  <c r="B138" i="28"/>
  <c r="A138" i="28"/>
  <c r="E137" i="28"/>
  <c r="C137" i="28"/>
  <c r="B137" i="28"/>
  <c r="A137" i="28"/>
  <c r="E136" i="28"/>
  <c r="C136" i="28"/>
  <c r="B136" i="28"/>
  <c r="A136" i="28"/>
  <c r="E135" i="28"/>
  <c r="C135" i="28"/>
  <c r="B135" i="28"/>
  <c r="A135" i="28"/>
  <c r="E134" i="28"/>
  <c r="C134" i="28"/>
  <c r="B134" i="28"/>
  <c r="A134" i="28"/>
  <c r="E133" i="28"/>
  <c r="C133" i="28"/>
  <c r="B133" i="28"/>
  <c r="A133" i="28"/>
  <c r="E131" i="28"/>
  <c r="C131" i="28"/>
  <c r="B131" i="28"/>
  <c r="A131" i="28"/>
  <c r="E130" i="28"/>
  <c r="C130" i="28"/>
  <c r="B130" i="28"/>
  <c r="A130" i="28"/>
  <c r="E129" i="28"/>
  <c r="C129" i="28"/>
  <c r="B129" i="28"/>
  <c r="A129" i="28"/>
  <c r="E128" i="28"/>
  <c r="C128" i="28"/>
  <c r="B128" i="28"/>
  <c r="A128" i="28"/>
  <c r="E127" i="28"/>
  <c r="C127" i="28"/>
  <c r="B127" i="28"/>
  <c r="A127" i="28"/>
  <c r="E126" i="28"/>
  <c r="C126" i="28"/>
  <c r="B126" i="28"/>
  <c r="A126" i="28"/>
  <c r="E125" i="28"/>
  <c r="C125" i="28"/>
  <c r="B125" i="28"/>
  <c r="A125" i="28"/>
  <c r="E124" i="28"/>
  <c r="C124" i="28"/>
  <c r="B124" i="28"/>
  <c r="A124" i="28"/>
  <c r="E123" i="28"/>
  <c r="C123" i="28"/>
  <c r="B123" i="28"/>
  <c r="A123" i="28"/>
  <c r="E122" i="28"/>
  <c r="L122" i="28" s="1"/>
  <c r="C122" i="28"/>
  <c r="B122" i="28"/>
  <c r="A122" i="28"/>
  <c r="E121" i="28"/>
  <c r="L121" i="28" s="1"/>
  <c r="C121" i="28"/>
  <c r="B121" i="28"/>
  <c r="A121" i="28"/>
  <c r="E120" i="28"/>
  <c r="C120" i="28"/>
  <c r="B120" i="28"/>
  <c r="A120" i="28"/>
  <c r="E119" i="28"/>
  <c r="C119" i="28"/>
  <c r="B119" i="28"/>
  <c r="A119" i="28"/>
  <c r="E118" i="28"/>
  <c r="C118" i="28"/>
  <c r="B118" i="28"/>
  <c r="A118" i="28"/>
  <c r="E116" i="28"/>
  <c r="C116" i="28"/>
  <c r="B116" i="28"/>
  <c r="A116" i="28"/>
  <c r="E114" i="28"/>
  <c r="C114" i="28"/>
  <c r="B114" i="28"/>
  <c r="A114" i="28"/>
  <c r="E113" i="28"/>
  <c r="C113" i="28"/>
  <c r="B113" i="28"/>
  <c r="A113" i="28"/>
  <c r="E112" i="28"/>
  <c r="C112" i="28"/>
  <c r="B112" i="28"/>
  <c r="A112" i="28"/>
  <c r="E111" i="28"/>
  <c r="C111" i="28"/>
  <c r="B111" i="28"/>
  <c r="A111" i="28"/>
  <c r="E110" i="28"/>
  <c r="C110" i="28"/>
  <c r="B110" i="28"/>
  <c r="A110" i="28"/>
  <c r="E109" i="28"/>
  <c r="C109" i="28"/>
  <c r="B109" i="28"/>
  <c r="A109" i="28"/>
  <c r="E108" i="28"/>
  <c r="C108" i="28"/>
  <c r="B108" i="28"/>
  <c r="A108" i="28"/>
  <c r="E107" i="28"/>
  <c r="C107" i="28"/>
  <c r="B107" i="28"/>
  <c r="A107" i="28"/>
  <c r="E106" i="28"/>
  <c r="C106" i="28"/>
  <c r="B106" i="28"/>
  <c r="A106" i="28"/>
  <c r="E105" i="28"/>
  <c r="C105" i="28"/>
  <c r="B105" i="28"/>
  <c r="A105" i="28"/>
  <c r="E104" i="28"/>
  <c r="C104" i="28"/>
  <c r="B104" i="28"/>
  <c r="A104" i="28"/>
  <c r="E103" i="28"/>
  <c r="C103" i="28"/>
  <c r="B103" i="28"/>
  <c r="A103" i="28"/>
  <c r="E102" i="28"/>
  <c r="C102" i="28"/>
  <c r="B102" i="28"/>
  <c r="A102" i="28"/>
  <c r="E101" i="28"/>
  <c r="C101" i="28"/>
  <c r="B101" i="28"/>
  <c r="A101" i="28"/>
  <c r="E100" i="28"/>
  <c r="C100" i="28"/>
  <c r="B100" i="28"/>
  <c r="A100" i="28"/>
  <c r="E99" i="28"/>
  <c r="C99" i="28"/>
  <c r="B99" i="28"/>
  <c r="A99" i="28"/>
  <c r="C98" i="28"/>
  <c r="B98" i="28"/>
  <c r="A98" i="28"/>
  <c r="E97" i="28"/>
  <c r="C97" i="28"/>
  <c r="B97" i="28"/>
  <c r="A97" i="28"/>
  <c r="E96" i="28"/>
  <c r="C96" i="28"/>
  <c r="B96" i="28"/>
  <c r="A96" i="28"/>
  <c r="E95" i="28"/>
  <c r="C95" i="28"/>
  <c r="B95" i="28"/>
  <c r="A95" i="28"/>
  <c r="E94" i="28"/>
  <c r="C94" i="28"/>
  <c r="B94" i="28"/>
  <c r="A94" i="28"/>
  <c r="E93" i="28"/>
  <c r="C93" i="28"/>
  <c r="B93" i="28"/>
  <c r="A93" i="28"/>
  <c r="E92" i="28"/>
  <c r="C92" i="28"/>
  <c r="B92" i="28"/>
  <c r="A92" i="28"/>
  <c r="E91" i="28"/>
  <c r="C91" i="28"/>
  <c r="B91" i="28"/>
  <c r="A91" i="28"/>
  <c r="E90" i="28"/>
  <c r="C90" i="28"/>
  <c r="B90" i="28"/>
  <c r="A90" i="28"/>
  <c r="E89" i="28"/>
  <c r="C89" i="28"/>
  <c r="B89" i="28"/>
  <c r="A89" i="28"/>
  <c r="E88" i="28"/>
  <c r="C88" i="28"/>
  <c r="B88" i="28"/>
  <c r="A88" i="28"/>
  <c r="E87" i="28"/>
  <c r="C87" i="28"/>
  <c r="B87" i="28"/>
  <c r="A87" i="28"/>
  <c r="E86" i="28"/>
  <c r="C86" i="28"/>
  <c r="B86" i="28"/>
  <c r="A86" i="28"/>
  <c r="E85" i="28"/>
  <c r="C85" i="28"/>
  <c r="B85" i="28"/>
  <c r="A85" i="28"/>
  <c r="E84" i="28"/>
  <c r="C84" i="28"/>
  <c r="B84" i="28"/>
  <c r="E83" i="28"/>
  <c r="C83" i="28"/>
  <c r="B83" i="28"/>
  <c r="E82" i="28"/>
  <c r="C82" i="28"/>
  <c r="B82" i="28"/>
  <c r="E81" i="28"/>
  <c r="C81" i="28"/>
  <c r="B81" i="28"/>
  <c r="E80" i="28"/>
  <c r="C80" i="28"/>
  <c r="B80" i="28"/>
  <c r="C79" i="28"/>
  <c r="B79" i="28"/>
  <c r="E78" i="28"/>
  <c r="C78" i="28"/>
  <c r="B78" i="28"/>
  <c r="A78" i="28"/>
  <c r="E77" i="28"/>
  <c r="C77" i="28"/>
  <c r="B77" i="28"/>
  <c r="A77" i="28"/>
  <c r="E76" i="28"/>
  <c r="C76" i="28"/>
  <c r="B76" i="28"/>
  <c r="A76" i="28"/>
  <c r="E75" i="28"/>
  <c r="C75" i="28"/>
  <c r="B75" i="28"/>
  <c r="A75" i="28"/>
  <c r="E74" i="28"/>
  <c r="C74" i="28"/>
  <c r="B74" i="28"/>
  <c r="A74" i="28"/>
  <c r="E73" i="28"/>
  <c r="C73" i="28"/>
  <c r="B73" i="28"/>
  <c r="A73" i="28"/>
  <c r="E72" i="28"/>
  <c r="C72" i="28"/>
  <c r="B72" i="28"/>
  <c r="A72" i="28"/>
  <c r="E71" i="28"/>
  <c r="C71" i="28"/>
  <c r="B71" i="28"/>
  <c r="A71" i="28"/>
  <c r="E70" i="28"/>
  <c r="C70" i="28"/>
  <c r="A70" i="28"/>
  <c r="C69" i="28"/>
  <c r="B69" i="28"/>
  <c r="A69" i="28"/>
  <c r="E68" i="28"/>
  <c r="C68" i="28"/>
  <c r="B68" i="28"/>
  <c r="A68" i="28"/>
  <c r="E67" i="28"/>
  <c r="C67" i="28"/>
  <c r="B67" i="28"/>
  <c r="A67" i="28"/>
  <c r="E66" i="28"/>
  <c r="C66" i="28"/>
  <c r="B66" i="28"/>
  <c r="A66" i="28"/>
  <c r="E65" i="28"/>
  <c r="C65" i="28"/>
  <c r="B65" i="28"/>
  <c r="A65" i="28"/>
  <c r="E64" i="28"/>
  <c r="C64" i="28"/>
  <c r="B64" i="28"/>
  <c r="A64" i="28"/>
  <c r="E63" i="28"/>
  <c r="C63" i="28"/>
  <c r="B63" i="28"/>
  <c r="A63" i="28"/>
  <c r="E62" i="28"/>
  <c r="C62" i="28"/>
  <c r="B62" i="28"/>
  <c r="A62" i="28"/>
  <c r="E61" i="28"/>
  <c r="C61" i="28"/>
  <c r="B61" i="28"/>
  <c r="A61" i="28"/>
  <c r="E60" i="28"/>
  <c r="C60" i="28"/>
  <c r="B60" i="28"/>
  <c r="A60" i="28"/>
  <c r="E59" i="28"/>
  <c r="C59" i="28"/>
  <c r="B59" i="28"/>
  <c r="A59" i="28"/>
  <c r="E58" i="28"/>
  <c r="C58" i="28"/>
  <c r="B58" i="28"/>
  <c r="A58" i="28"/>
  <c r="E57" i="28"/>
  <c r="C57" i="28"/>
  <c r="B57" i="28"/>
  <c r="A57" i="28"/>
  <c r="E56" i="28"/>
  <c r="C56" i="28"/>
  <c r="B56" i="28"/>
  <c r="A56" i="28"/>
  <c r="E54" i="28"/>
  <c r="C54" i="28"/>
  <c r="B54" i="28"/>
  <c r="A54" i="28"/>
  <c r="E53" i="28"/>
  <c r="C53" i="28"/>
  <c r="B53" i="28"/>
  <c r="A53" i="28"/>
  <c r="E52" i="28"/>
  <c r="C52" i="28"/>
  <c r="B52" i="28"/>
  <c r="A52" i="28"/>
  <c r="E51" i="28"/>
  <c r="C51" i="28"/>
  <c r="B51" i="28"/>
  <c r="A51" i="28"/>
  <c r="E50" i="28"/>
  <c r="C50" i="28"/>
  <c r="B50" i="28"/>
  <c r="A50" i="28"/>
  <c r="E49" i="28"/>
  <c r="C49" i="28"/>
  <c r="B49" i="28"/>
  <c r="A49" i="28"/>
  <c r="E48" i="28"/>
  <c r="C48" i="28"/>
  <c r="B48" i="28"/>
  <c r="A48" i="28"/>
  <c r="E47" i="28"/>
  <c r="C47" i="28"/>
  <c r="B47" i="28"/>
  <c r="A47" i="28"/>
  <c r="E46" i="28"/>
  <c r="C46" i="28"/>
  <c r="B46" i="28"/>
  <c r="A46" i="28"/>
  <c r="E45" i="28"/>
  <c r="C45" i="28"/>
  <c r="B45" i="28"/>
  <c r="A45" i="28"/>
  <c r="E44" i="28"/>
  <c r="C44" i="28"/>
  <c r="B44" i="28"/>
  <c r="A44" i="28"/>
  <c r="E43" i="28"/>
  <c r="C43" i="28"/>
  <c r="B43" i="28"/>
  <c r="A43" i="28"/>
  <c r="E42" i="28"/>
  <c r="C42" i="28"/>
  <c r="B42" i="28"/>
  <c r="A42" i="28"/>
  <c r="E41" i="28"/>
  <c r="C41" i="28"/>
  <c r="B41" i="28"/>
  <c r="A41" i="28"/>
  <c r="E37" i="28"/>
  <c r="C37" i="28"/>
  <c r="B37" i="28"/>
  <c r="A37" i="28"/>
  <c r="E36" i="28"/>
  <c r="C36" i="28"/>
  <c r="B36" i="28"/>
  <c r="A36" i="28"/>
  <c r="E35" i="28"/>
  <c r="C35" i="28"/>
  <c r="B35" i="28"/>
  <c r="A35" i="28"/>
  <c r="H34" i="28"/>
  <c r="E34" i="28"/>
  <c r="C34" i="28"/>
  <c r="B34" i="28"/>
  <c r="A34" i="28"/>
  <c r="E33" i="28"/>
  <c r="C33" i="28"/>
  <c r="B33" i="28"/>
  <c r="A33" i="28"/>
  <c r="E32" i="28"/>
  <c r="C32" i="28"/>
  <c r="B32" i="28"/>
  <c r="A32" i="28"/>
  <c r="E31" i="28"/>
  <c r="C31" i="28"/>
  <c r="B31" i="28"/>
  <c r="A31" i="28"/>
  <c r="E30" i="28"/>
  <c r="C30" i="28"/>
  <c r="B30" i="28"/>
  <c r="A30" i="28"/>
  <c r="E29" i="28"/>
  <c r="C29" i="28"/>
  <c r="B29" i="28"/>
  <c r="A29" i="28"/>
  <c r="E28" i="28"/>
  <c r="C28" i="28"/>
  <c r="B28" i="28"/>
  <c r="A28" i="28"/>
  <c r="E27" i="28"/>
  <c r="C27" i="28"/>
  <c r="B27" i="28"/>
  <c r="A27" i="28"/>
  <c r="E26" i="28"/>
  <c r="C26" i="28"/>
  <c r="B26" i="28"/>
  <c r="A26" i="28"/>
  <c r="E25" i="28"/>
  <c r="C25" i="28"/>
  <c r="B25" i="28"/>
  <c r="A25" i="28"/>
  <c r="E24" i="28"/>
  <c r="C24" i="28"/>
  <c r="B24" i="28"/>
  <c r="A24" i="28"/>
  <c r="E23" i="28"/>
  <c r="C23" i="28"/>
  <c r="B23" i="28"/>
  <c r="A23" i="28"/>
  <c r="E22" i="28"/>
  <c r="C22" i="28"/>
  <c r="B22" i="28"/>
  <c r="A22" i="28"/>
  <c r="E21" i="28"/>
  <c r="C21" i="28"/>
  <c r="B21" i="28"/>
  <c r="A21" i="28"/>
  <c r="E20" i="28"/>
  <c r="C20" i="28"/>
  <c r="B20" i="28"/>
  <c r="A20" i="28"/>
  <c r="E19" i="28"/>
  <c r="C19" i="28"/>
  <c r="B19" i="28"/>
  <c r="A19" i="28"/>
  <c r="E18" i="28"/>
  <c r="C18" i="28"/>
  <c r="B18" i="28"/>
  <c r="A18"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C10" i="28"/>
  <c r="B10" i="28"/>
  <c r="A10" i="28"/>
  <c r="E9" i="28"/>
  <c r="C9" i="28"/>
  <c r="B9" i="28"/>
  <c r="A9" i="28"/>
  <c r="E8" i="28"/>
  <c r="C8" i="28"/>
  <c r="B8" i="28"/>
  <c r="A8" i="28"/>
  <c r="G7" i="28"/>
  <c r="E7" i="28"/>
  <c r="C7" i="28"/>
  <c r="B7" i="28"/>
  <c r="A7" i="28"/>
  <c r="E6" i="28"/>
  <c r="C6" i="28"/>
  <c r="B6" i="28"/>
  <c r="A6" i="28"/>
  <c r="E5" i="28"/>
  <c r="C5" i="28"/>
  <c r="B5" i="28"/>
  <c r="A5" i="28"/>
  <c r="C2" i="28"/>
  <c r="G259" i="1"/>
  <c r="H255" i="1"/>
  <c r="G255" i="1" s="1"/>
  <c r="H254" i="1"/>
  <c r="G254" i="1" s="1"/>
  <c r="G253" i="1"/>
  <c r="G252" i="1"/>
  <c r="G251" i="1"/>
  <c r="G250" i="1"/>
  <c r="G249" i="1"/>
  <c r="G242" i="1"/>
  <c r="G238" i="1"/>
  <c r="G237" i="1"/>
  <c r="G233" i="1"/>
  <c r="H230" i="1"/>
  <c r="G230" i="1" s="1"/>
  <c r="H228" i="1"/>
  <c r="G227" i="1"/>
  <c r="H224" i="1"/>
  <c r="G224" i="1" s="1"/>
  <c r="H223" i="1"/>
  <c r="G223" i="1"/>
  <c r="G222" i="1"/>
  <c r="G221" i="1"/>
  <c r="G216" i="1"/>
  <c r="G215" i="1"/>
  <c r="G214" i="1"/>
  <c r="G213" i="1"/>
  <c r="G211" i="1"/>
  <c r="F205" i="1"/>
  <c r="G204" i="1"/>
  <c r="G203" i="1"/>
  <c r="G202" i="1"/>
  <c r="G201" i="1"/>
  <c r="F199" i="1"/>
  <c r="G198" i="1"/>
  <c r="G197" i="1"/>
  <c r="G196" i="1"/>
  <c r="G195" i="1"/>
  <c r="F193" i="1"/>
  <c r="E149" i="28"/>
  <c r="E148" i="28"/>
  <c r="G179" i="1"/>
  <c r="G174" i="1"/>
  <c r="G172" i="1"/>
  <c r="G170" i="1"/>
  <c r="G169" i="1"/>
  <c r="G166" i="1"/>
  <c r="G165" i="1"/>
  <c r="H158" i="1"/>
  <c r="G158" i="1" s="1"/>
  <c r="G157" i="1"/>
  <c r="G156" i="1"/>
  <c r="G154" i="1"/>
  <c r="G153" i="1"/>
  <c r="G152" i="1"/>
  <c r="G151" i="1"/>
  <c r="G150" i="1"/>
  <c r="G149" i="1"/>
  <c r="G148" i="1"/>
  <c r="G147" i="1"/>
  <c r="H141" i="1"/>
  <c r="G141" i="1" s="1"/>
  <c r="G140" i="1"/>
  <c r="G138" i="1"/>
  <c r="G136" i="1"/>
  <c r="G135" i="1"/>
  <c r="G133" i="1"/>
  <c r="G132" i="1"/>
  <c r="G131" i="1"/>
  <c r="H126" i="1"/>
  <c r="G126" i="1" s="1"/>
  <c r="G112" i="1"/>
  <c r="G110" i="1"/>
  <c r="G109" i="1"/>
  <c r="H107" i="1"/>
  <c r="G107" i="1"/>
  <c r="H142" i="1"/>
  <c r="I142" i="1" s="1"/>
  <c r="H120" i="28" s="1"/>
  <c r="E79" i="28"/>
  <c r="G96" i="1"/>
  <c r="G94" i="1"/>
  <c r="G71" i="28"/>
  <c r="G85" i="1"/>
  <c r="G83" i="1"/>
  <c r="H80" i="1"/>
  <c r="G80" i="1" s="1"/>
  <c r="G78" i="1"/>
  <c r="G75" i="1"/>
  <c r="G73" i="1"/>
  <c r="G72" i="1"/>
  <c r="H66" i="1"/>
  <c r="G66" i="1"/>
  <c r="H82" i="1"/>
  <c r="G65" i="1"/>
  <c r="G64" i="1"/>
  <c r="G63" i="1"/>
  <c r="G62" i="1"/>
  <c r="G61" i="1"/>
  <c r="G60" i="1"/>
  <c r="G59" i="1"/>
  <c r="G58" i="1"/>
  <c r="G57" i="1"/>
  <c r="G56" i="1"/>
  <c r="G55" i="1"/>
  <c r="G44" i="1"/>
  <c r="G41" i="1"/>
  <c r="O34" i="28"/>
  <c r="H39" i="1"/>
  <c r="G39" i="1" s="1"/>
  <c r="O33" i="28"/>
  <c r="G37" i="1"/>
  <c r="G36" i="1"/>
  <c r="G35" i="1"/>
  <c r="G34" i="1"/>
  <c r="G33" i="1"/>
  <c r="G32" i="1"/>
  <c r="G31" i="1"/>
  <c r="G30" i="1"/>
  <c r="G28" i="1"/>
  <c r="G27" i="1"/>
  <c r="H25" i="1"/>
  <c r="G25" i="1" s="1"/>
  <c r="O21" i="28"/>
  <c r="O20" i="28"/>
  <c r="G22" i="1"/>
  <c r="G20" i="1"/>
  <c r="G13" i="1"/>
  <c r="G12" i="1"/>
  <c r="G10" i="1"/>
  <c r="G9" i="1"/>
  <c r="L249" i="28"/>
  <c r="I82" i="1" l="1"/>
  <c r="H67" i="28" s="1"/>
  <c r="L236" i="28"/>
  <c r="L200" i="28"/>
  <c r="L199" i="28"/>
  <c r="C10" i="92" s="1"/>
  <c r="E10" i="92" s="1"/>
  <c r="L195" i="28"/>
  <c r="L197" i="28"/>
  <c r="L194" i="28"/>
  <c r="L196" i="28"/>
  <c r="L198" i="28"/>
  <c r="L191" i="28"/>
  <c r="L193" i="28"/>
  <c r="L192" i="28"/>
  <c r="L188" i="28"/>
  <c r="L184" i="28"/>
  <c r="L180" i="28"/>
  <c r="L185" i="28"/>
  <c r="L179" i="28"/>
  <c r="L178" i="28"/>
  <c r="L177" i="28"/>
  <c r="L176" i="28"/>
  <c r="L175" i="28"/>
  <c r="L174" i="28"/>
  <c r="L172" i="28"/>
  <c r="L171" i="28"/>
  <c r="L173" i="28"/>
  <c r="L170" i="28"/>
  <c r="L169" i="28"/>
  <c r="L165" i="28"/>
  <c r="L167" i="28"/>
  <c r="L166" i="28"/>
  <c r="L168" i="28"/>
  <c r="L162" i="28"/>
  <c r="L164" i="28"/>
  <c r="L163" i="28"/>
  <c r="L159" i="28"/>
  <c r="L161" i="28"/>
  <c r="L158" i="28"/>
  <c r="L160" i="28"/>
  <c r="L154" i="28"/>
  <c r="L156" i="28"/>
  <c r="L155" i="28"/>
  <c r="L157" i="28"/>
  <c r="L151" i="28"/>
  <c r="L152" i="28"/>
  <c r="L150" i="28"/>
  <c r="L153" i="28"/>
  <c r="L149" i="28"/>
  <c r="L148" i="28"/>
  <c r="L146" i="28"/>
  <c r="L145" i="28"/>
  <c r="L144" i="28"/>
  <c r="L143" i="28"/>
  <c r="L142" i="28"/>
  <c r="L141" i="28"/>
  <c r="L140" i="28"/>
  <c r="L138" i="28"/>
  <c r="L139" i="28"/>
  <c r="L137" i="28"/>
  <c r="L136" i="28"/>
  <c r="L135" i="28"/>
  <c r="L134" i="28"/>
  <c r="L133" i="28"/>
  <c r="L131" i="28"/>
  <c r="L130" i="28"/>
  <c r="F130" i="28" s="1"/>
  <c r="L129" i="28"/>
  <c r="L128" i="28"/>
  <c r="L127" i="28"/>
  <c r="L126" i="28"/>
  <c r="L125" i="28"/>
  <c r="F125" i="28" s="1"/>
  <c r="L124" i="28"/>
  <c r="L123" i="28"/>
  <c r="L120" i="28"/>
  <c r="L119" i="28"/>
  <c r="L118" i="28"/>
  <c r="L116" i="28"/>
  <c r="L112" i="28"/>
  <c r="L114" i="28"/>
  <c r="L111" i="28"/>
  <c r="L113" i="28"/>
  <c r="L106" i="28"/>
  <c r="L110" i="28"/>
  <c r="L107" i="28"/>
  <c r="L109" i="28"/>
  <c r="L108" i="28"/>
  <c r="L102" i="28"/>
  <c r="L104" i="28"/>
  <c r="L103" i="28"/>
  <c r="L105" i="28"/>
  <c r="L101" i="28"/>
  <c r="L99" i="28"/>
  <c r="L100" i="28"/>
  <c r="L97" i="28"/>
  <c r="L94" i="28"/>
  <c r="L96" i="28"/>
  <c r="L93" i="28"/>
  <c r="L95" i="28"/>
  <c r="L89" i="28"/>
  <c r="L91" i="28"/>
  <c r="L92" i="28"/>
  <c r="L90" i="28"/>
  <c r="L87" i="28"/>
  <c r="L86" i="28"/>
  <c r="L88" i="28"/>
  <c r="L85" i="28"/>
  <c r="L83" i="28"/>
  <c r="L84" i="28"/>
  <c r="L82" i="28"/>
  <c r="L81" i="28"/>
  <c r="L80" i="28"/>
  <c r="L78" i="28"/>
  <c r="L77" i="28"/>
  <c r="L79" i="28"/>
  <c r="L76" i="28"/>
  <c r="L75" i="28"/>
  <c r="L74" i="28"/>
  <c r="L71" i="28"/>
  <c r="L73" i="28"/>
  <c r="L70" i="28"/>
  <c r="L72" i="28"/>
  <c r="L68" i="28"/>
  <c r="L67" i="28"/>
  <c r="L66" i="28"/>
  <c r="L65" i="28"/>
  <c r="L61" i="28"/>
  <c r="C28" i="92" s="1"/>
  <c r="E28" i="92" s="1"/>
  <c r="L63" i="28"/>
  <c r="C31" i="92" s="1"/>
  <c r="E31" i="92" s="1"/>
  <c r="L60" i="28"/>
  <c r="L62" i="28"/>
  <c r="C30" i="92" s="1"/>
  <c r="L64" i="28"/>
  <c r="C29" i="92" s="1"/>
  <c r="E29" i="92" s="1"/>
  <c r="L58" i="28"/>
  <c r="L57" i="28"/>
  <c r="L59" i="28"/>
  <c r="C26" i="92" s="1"/>
  <c r="E26" i="92" s="1"/>
  <c r="L56" i="28"/>
  <c r="L52" i="28"/>
  <c r="L54" i="28"/>
  <c r="L53" i="28"/>
  <c r="L50" i="28"/>
  <c r="C17" i="92" s="1"/>
  <c r="L51" i="28"/>
  <c r="L49" i="28"/>
  <c r="C20" i="92" s="1"/>
  <c r="L47" i="28"/>
  <c r="C11" i="92" s="1"/>
  <c r="E11" i="92" s="1"/>
  <c r="L46" i="28"/>
  <c r="C9" i="92" s="1"/>
  <c r="E9" i="92" s="1"/>
  <c r="L48" i="28"/>
  <c r="L45" i="28"/>
  <c r="L42" i="28"/>
  <c r="C8" i="92" s="1"/>
  <c r="L44" i="28"/>
  <c r="L41" i="28"/>
  <c r="C7" i="92" s="1"/>
  <c r="L43" i="28"/>
  <c r="L37" i="28"/>
  <c r="L36" i="28"/>
  <c r="L29" i="28"/>
  <c r="L26" i="28"/>
  <c r="L34" i="28"/>
  <c r="L31" i="28"/>
  <c r="L28" i="28"/>
  <c r="L25" i="28"/>
  <c r="F25" i="28" s="1"/>
  <c r="L33" i="28"/>
  <c r="L30" i="28"/>
  <c r="L27" i="28"/>
  <c r="L35" i="28"/>
  <c r="L24" i="28"/>
  <c r="L32" i="28"/>
  <c r="L23" i="28"/>
  <c r="L22" i="28"/>
  <c r="L21" i="28"/>
  <c r="L20" i="28"/>
  <c r="L19" i="28"/>
  <c r="L18" i="28"/>
  <c r="L16" i="28"/>
  <c r="L15" i="28"/>
  <c r="L14" i="28"/>
  <c r="L13" i="28"/>
  <c r="L12" i="28"/>
  <c r="L11" i="28"/>
  <c r="L9" i="28"/>
  <c r="F9" i="28" s="1"/>
  <c r="L8" i="28"/>
  <c r="L6" i="28"/>
  <c r="L5" i="28"/>
  <c r="L189" i="28"/>
  <c r="L7" i="28"/>
  <c r="L17" i="28"/>
  <c r="O106" i="28"/>
  <c r="L238" i="28"/>
  <c r="L239" i="28"/>
  <c r="L237" i="28"/>
  <c r="L240" i="28"/>
  <c r="E98" i="28"/>
  <c r="E10" i="28"/>
  <c r="L10" i="28" s="1"/>
  <c r="G14" i="1"/>
  <c r="G15" i="1"/>
  <c r="G16" i="1"/>
  <c r="G17" i="1"/>
  <c r="G18" i="1"/>
  <c r="G19" i="1"/>
  <c r="E69" i="28"/>
  <c r="O88" i="28"/>
  <c r="O53" i="28"/>
  <c r="O19" i="28"/>
  <c r="H159" i="1"/>
  <c r="I159" i="1" s="1"/>
  <c r="H136" i="28" s="1"/>
  <c r="F186" i="1"/>
  <c r="F206" i="1" s="1"/>
  <c r="N11" i="88" l="1"/>
  <c r="N16" i="88"/>
  <c r="N10" i="88"/>
  <c r="C12" i="92"/>
  <c r="E7" i="92"/>
  <c r="E12" i="92" s="1"/>
  <c r="C14" i="92"/>
  <c r="D1" i="28"/>
  <c r="C32" i="92"/>
  <c r="E30" i="92"/>
  <c r="E32" i="92" s="1"/>
  <c r="E10" i="88"/>
  <c r="G10" i="88" s="1"/>
  <c r="F197" i="28"/>
  <c r="F196" i="28"/>
  <c r="F195" i="28"/>
  <c r="N9" i="88"/>
  <c r="E9" i="88" s="1"/>
  <c r="G9" i="88" s="1"/>
  <c r="N15" i="88"/>
  <c r="E15" i="88" s="1"/>
  <c r="G15" i="88" s="1"/>
  <c r="N7" i="88"/>
  <c r="G7" i="88" s="1"/>
  <c r="E16" i="88"/>
  <c r="G16" i="88" s="1"/>
  <c r="L225" i="28"/>
  <c r="L69" i="28"/>
  <c r="N18" i="88"/>
  <c r="F191" i="28"/>
  <c r="L98" i="28"/>
  <c r="F79" i="28"/>
  <c r="G79" i="28"/>
  <c r="L224" i="28"/>
  <c r="L223" i="28"/>
  <c r="L222" i="28"/>
  <c r="F34" i="28"/>
  <c r="G135" i="28"/>
  <c r="F67" i="28"/>
  <c r="G108" i="28"/>
  <c r="F120" i="28"/>
  <c r="F86" i="28"/>
  <c r="G124" i="28"/>
  <c r="F118" i="28"/>
  <c r="F168" i="28"/>
  <c r="F18" i="28"/>
  <c r="F97" i="28"/>
  <c r="F167" i="28"/>
  <c r="F63" i="28"/>
  <c r="F185" i="28"/>
  <c r="F95" i="28"/>
  <c r="F93" i="28"/>
  <c r="F51" i="28"/>
  <c r="F92" i="28"/>
  <c r="F193" i="28"/>
  <c r="F184" i="28"/>
  <c r="F141" i="28"/>
  <c r="F90" i="28"/>
  <c r="F85" i="28"/>
  <c r="F178" i="28"/>
  <c r="F177" i="28"/>
  <c r="F134" i="28"/>
  <c r="F172" i="28"/>
  <c r="F166" i="28"/>
  <c r="F180" i="28"/>
  <c r="F71" i="28"/>
  <c r="F165" i="28"/>
  <c r="F8" i="28"/>
  <c r="F131" i="28"/>
  <c r="F52" i="28"/>
  <c r="F175" i="28"/>
  <c r="F139" i="28"/>
  <c r="F31" i="28"/>
  <c r="F58" i="28"/>
  <c r="F6" i="28"/>
  <c r="F143" i="28"/>
  <c r="F48" i="28"/>
  <c r="F138" i="28"/>
  <c r="F96" i="28"/>
  <c r="F94" i="28"/>
  <c r="F194" i="28"/>
  <c r="F45" i="28"/>
  <c r="F171" i="28"/>
  <c r="F128" i="28"/>
  <c r="F23" i="28"/>
  <c r="F114" i="28"/>
  <c r="F22" i="28"/>
  <c r="F89" i="28"/>
  <c r="F37" i="28"/>
  <c r="F77" i="28"/>
  <c r="F50" i="28"/>
  <c r="F127" i="28"/>
  <c r="F49" i="28"/>
  <c r="F24" i="28"/>
  <c r="F41" i="28"/>
  <c r="F60" i="28"/>
  <c r="F75" i="28"/>
  <c r="F42" i="28"/>
  <c r="F46" i="28"/>
  <c r="G106" i="28"/>
  <c r="H197" i="28"/>
  <c r="G120" i="28"/>
  <c r="F126" i="28"/>
  <c r="F192" i="28"/>
  <c r="F106" i="28"/>
  <c r="H179" i="28"/>
  <c r="F47" i="28"/>
  <c r="F17" i="28"/>
  <c r="F5" i="28"/>
  <c r="F136" i="28"/>
  <c r="F44" i="28"/>
  <c r="G34" i="28"/>
  <c r="G53" i="28"/>
  <c r="F54" i="28"/>
  <c r="F53" i="28"/>
  <c r="F21" i="28"/>
  <c r="H196" i="28"/>
  <c r="G21" i="28"/>
  <c r="G136" i="28"/>
  <c r="F142" i="28"/>
  <c r="F144" i="28"/>
  <c r="F88" i="28"/>
  <c r="G88" i="28"/>
  <c r="F108" i="28"/>
  <c r="F72" i="28"/>
  <c r="F124" i="28"/>
  <c r="F62" i="28"/>
  <c r="F61" i="28"/>
  <c r="F33" i="28"/>
  <c r="F7" i="28"/>
  <c r="G119" i="28"/>
  <c r="F119" i="28"/>
  <c r="F66" i="28"/>
  <c r="G66" i="28"/>
  <c r="G67" i="28"/>
  <c r="G33" i="28"/>
  <c r="F59" i="28"/>
  <c r="F135" i="28"/>
  <c r="H174" i="28"/>
  <c r="F173" i="28"/>
  <c r="H195" i="28"/>
  <c r="F188" i="28"/>
  <c r="F176" i="28"/>
  <c r="C34" i="92" l="1"/>
  <c r="C15" i="92"/>
  <c r="C18" i="92" s="1"/>
  <c r="E34" i="92"/>
  <c r="N13" i="88"/>
  <c r="G13" i="88" s="1"/>
  <c r="E18" i="88"/>
  <c r="G18" i="88"/>
  <c r="F98" i="28"/>
  <c r="G98" i="28"/>
  <c r="L226" i="28"/>
  <c r="G197" i="28"/>
  <c r="G195" i="28"/>
  <c r="F69" i="28"/>
  <c r="G196" i="28"/>
  <c r="F10" i="28"/>
  <c r="F179" i="28"/>
  <c r="F174" i="28"/>
  <c r="B21" i="92" l="1"/>
  <c r="B22" i="92"/>
  <c r="C21" i="92"/>
  <c r="L252" i="28"/>
  <c r="L254" i="28" s="1"/>
</calcChain>
</file>

<file path=xl/sharedStrings.xml><?xml version="1.0" encoding="utf-8"?>
<sst xmlns="http://schemas.openxmlformats.org/spreadsheetml/2006/main" count="3832" uniqueCount="1715">
  <si>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</si>
  <si>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</si>
  <si>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</si>
  <si>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</si>
  <si>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</si>
  <si>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</si>
  <si>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</si>
  <si>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</si>
  <si>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</si>
  <si>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</si>
  <si>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</si>
  <si>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</si>
  <si>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</si>
  <si>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</si>
  <si>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</si>
  <si>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</si>
  <si>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</si>
  <si>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</si>
  <si>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</si>
  <si>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</si>
  <si>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</si>
  <si>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</si>
  <si>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</si>
  <si>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</si>
  <si>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</si>
  <si>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</si>
  <si>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</si>
  <si>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</si>
  <si>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</si>
  <si>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</si>
  <si>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</si>
  <si>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</si>
  <si>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</si>
  <si>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</si>
  <si>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</si>
  <si>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</si>
  <si>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</si>
  <si>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</si>
  <si>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</si>
  <si>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</si>
  <si>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</si>
  <si>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</si>
  <si>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</si>
  <si>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</si>
  <si>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</si>
  <si>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</si>
  <si>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</si>
  <si>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</si>
  <si>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</si>
  <si>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</si>
  <si>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</si>
  <si>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</si>
  <si>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</si>
  <si>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</si>
  <si>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</si>
  <si>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</si>
  <si>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</si>
  <si>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</si>
  <si>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</si>
  <si>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</si>
  <si>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</si>
  <si>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</si>
  <si>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</si>
  <si>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</si>
  <si>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</si>
  <si>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</si>
  <si>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</si>
  <si>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</si>
  <si>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</si>
  <si>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</si>
  <si>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</si>
  <si>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</si>
  <si>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</si>
  <si>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</si>
  <si>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</si>
  <si>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</si>
  <si>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</si>
  <si>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</si>
  <si>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</si>
  <si>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</si>
  <si>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</si>
  <si>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</si>
  <si>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</si>
  <si>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</si>
  <si>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</si>
  <si>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</si>
  <si>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</si>
  <si>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</si>
  <si>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</si>
  <si>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</si>
  <si>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</si>
  <si>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</si>
  <si>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</si>
  <si>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</si>
  <si>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</si>
  <si>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</si>
  <si>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</si>
  <si>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</si>
  <si>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</si>
  <si>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</si>
  <si>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</si>
  <si>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</si>
  <si>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</si>
  <si>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</si>
  <si>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</si>
  <si>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</si>
  <si>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</si>
  <si>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</si>
  <si>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</si>
  <si>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</si>
  <si>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</si>
  <si>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</si>
  <si>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</si>
  <si>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</si>
  <si>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</si>
  <si>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</si>
  <si>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</si>
  <si>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</si>
  <si>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</si>
  <si>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</si>
  <si>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</si>
  <si>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</si>
  <si>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</si>
  <si>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</si>
  <si>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</si>
  <si>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</si>
  <si>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</si>
  <si>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</si>
  <si>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</si>
  <si>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</si>
  <si>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</si>
  <si>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</si>
  <si>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</si>
  <si>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</si>
  <si>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</si>
  <si>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</si>
  <si>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</si>
  <si>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</si>
  <si>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</si>
  <si>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</si>
  <si>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</si>
  <si>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</si>
  <si>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</si>
  <si>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</si>
  <si>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</si>
  <si>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</si>
  <si>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</si>
  <si>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</si>
  <si>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</si>
  <si>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</si>
  <si>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</si>
  <si>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</si>
  <si>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</si>
  <si>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</si>
  <si>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</si>
  <si>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</si>
  <si>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</si>
  <si>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</si>
  <si>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</si>
  <si>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</si>
  <si>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</si>
  <si>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</si>
  <si>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</si>
  <si>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</si>
  <si>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</si>
  <si>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</si>
  <si>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</si>
  <si>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</si>
  <si>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</si>
  <si>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</si>
  <si>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</si>
  <si>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</si>
  <si>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</si>
  <si>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</si>
  <si>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</si>
  <si>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</si>
  <si>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</si>
  <si>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</si>
  <si>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</si>
  <si>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</si>
  <si>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</si>
  <si>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</si>
  <si>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</si>
  <si>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</si>
  <si>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</si>
  <si>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</si>
  <si>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</si>
  <si>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</si>
  <si>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</si>
  <si>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</si>
  <si>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</si>
  <si>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</si>
  <si>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</si>
  <si>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</si>
  <si>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</si>
  <si>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</si>
  <si>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</si>
  <si>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</si>
  <si>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</si>
  <si>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</si>
  <si>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</si>
  <si>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</si>
  <si>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</si>
  <si>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</si>
  <si>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</si>
  <si>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</si>
  <si>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</si>
  <si>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</si>
  <si>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</si>
  <si>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</si>
  <si>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</si>
  <si>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</si>
  <si>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</si>
  <si>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</si>
  <si>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</si>
  <si>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</si>
  <si>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</si>
  <si>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</si>
  <si>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</si>
  <si>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</si>
  <si>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</si>
  <si>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</si>
  <si>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</si>
  <si>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</si>
  <si>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</si>
  <si>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</si>
  <si>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</si>
  <si>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</si>
  <si>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</si>
  <si>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</si>
  <si>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</si>
  <si>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</si>
  <si>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</si>
  <si>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</si>
  <si>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</si>
  <si>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</si>
  <si>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</si>
  <si>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</si>
  <si>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</si>
  <si>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</si>
  <si>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</si>
  <si>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</si>
  <si>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</si>
  <si>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</si>
  <si>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</si>
  <si>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</si>
  <si>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</si>
  <si>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</si>
  <si>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</si>
  <si>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</si>
  <si>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</si>
  <si>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</si>
  <si>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</si>
  <si>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</si>
  <si>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</si>
  <si>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</si>
  <si>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</si>
  <si>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</si>
  <si>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</si>
  <si>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</si>
  <si>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</si>
  <si>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</si>
  <si>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</si>
  <si>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</si>
  <si>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</si>
  <si>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</si>
  <si>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</si>
  <si>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</si>
  <si>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</si>
  <si>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</si>
  <si>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</si>
  <si>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</si>
  <si>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</si>
  <si>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</si>
  <si>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</si>
  <si>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</si>
  <si>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</si>
  <si>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</si>
  <si>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</si>
  <si>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</si>
  <si>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</si>
  <si>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</si>
  <si>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</si>
  <si>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</si>
  <si>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</si>
  <si>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</si>
  <si>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</si>
  <si>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</si>
  <si>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</si>
  <si>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</si>
  <si>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</si>
  <si>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</si>
  <si>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</si>
  <si>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</si>
  <si>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</si>
  <si>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</si>
  <si>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</si>
  <si>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</si>
  <si>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</si>
  <si>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</si>
  <si>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</si>
  <si>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</si>
  <si>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</si>
  <si>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</si>
  <si>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</si>
  <si>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</si>
  <si>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</si>
  <si>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</si>
  <si>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</si>
  <si>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</si>
  <si>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</si>
  <si>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</si>
  <si>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</si>
  <si>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</si>
  <si>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</si>
  <si>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</si>
  <si>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</si>
  <si>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</si>
  <si>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</si>
  <si>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</si>
  <si>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</si>
  <si>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</si>
  <si>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</si>
  <si>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</si>
  <si>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</si>
  <si>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Do you expect to issue debt requiring LGC approval within 12 months from the date that the audit is submitted - select "1" for yes and "2" for no</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</si>
  <si>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</si>
  <si>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</si>
  <si>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</si>
  <si>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</si>
  <si>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</si>
  <si>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</si>
  <si>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</si>
  <si>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</si>
  <si>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Net Pension Liability</t>
  </si>
  <si>
    <t>Determination of Fiscal Health</t>
  </si>
  <si>
    <t>Fund Balance, Unassigned</t>
  </si>
  <si>
    <t>Debt Service Fund</t>
  </si>
  <si>
    <t>Please enter the Total Fund Balance for any Debt Service Funds</t>
  </si>
  <si>
    <t>Water Sewer Net Position Statement</t>
  </si>
  <si>
    <t>Quick Ratio</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</si>
  <si>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</si>
  <si>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</si>
  <si>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</si>
  <si>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</si>
  <si>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</si>
  <si>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</si>
  <si>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</si>
  <si>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</si>
  <si>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</si>
  <si>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</si>
  <si>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</si>
  <si>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</si>
  <si>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</si>
  <si>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</si>
  <si>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</si>
  <si>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</si>
  <si>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</si>
  <si>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</si>
  <si>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</si>
  <si>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</si>
  <si>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</si>
  <si>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</si>
  <si>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</si>
  <si>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</si>
  <si>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</si>
  <si>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Gaston</t>
  </si>
  <si>
    <t>Henderson</t>
  </si>
  <si>
    <t>Rockingham</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</si>
  <si>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</si>
  <si>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</si>
  <si>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</si>
  <si>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</si>
  <si>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</si>
  <si>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</si>
  <si>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</si>
  <si>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</si>
  <si>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</si>
  <si>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</si>
  <si>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</si>
  <si>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</si>
  <si>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</si>
  <si>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</si>
  <si>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</si>
  <si>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</si>
  <si>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</si>
  <si>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</si>
  <si>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</si>
  <si>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</si>
  <si>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</si>
  <si>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</si>
  <si>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</si>
  <si>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</si>
  <si>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</si>
  <si>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</si>
  <si>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</si>
  <si>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</si>
  <si>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</si>
  <si>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</si>
  <si>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</si>
  <si>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</si>
  <si>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</si>
  <si>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</si>
  <si>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</si>
  <si>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</si>
  <si>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</si>
  <si>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</si>
  <si>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</si>
  <si>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</si>
  <si>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</si>
  <si>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</si>
  <si>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</si>
  <si>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</si>
  <si>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</si>
  <si>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</si>
  <si>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</si>
  <si>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</si>
  <si>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</si>
  <si>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</si>
  <si>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</si>
  <si>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</si>
  <si>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</si>
  <si>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</si>
  <si>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</si>
  <si>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</si>
  <si>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</si>
  <si>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</si>
  <si>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</si>
  <si>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</si>
  <si>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</si>
  <si>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</si>
  <si>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</si>
  <si>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Unit Type</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</si>
  <si>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</si>
  <si>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</si>
  <si>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</si>
  <si>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</si>
  <si>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</si>
  <si>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</si>
  <si>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</si>
  <si>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</si>
  <si>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</si>
  <si>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</si>
  <si>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</si>
  <si>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</si>
  <si>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</si>
  <si>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</si>
  <si>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</si>
  <si>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</si>
  <si>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</si>
  <si>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</si>
  <si>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</si>
  <si>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</si>
  <si>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</si>
  <si>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</si>
  <si>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</si>
  <si>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</si>
  <si>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</si>
  <si>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</si>
  <si>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</si>
  <si>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</si>
  <si>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</si>
  <si>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</si>
  <si>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</si>
  <si>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</si>
  <si>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</si>
  <si>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</si>
  <si>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</si>
  <si>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</si>
  <si>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</si>
  <si>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</si>
  <si>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</si>
  <si>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</si>
  <si>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</si>
  <si>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</si>
  <si>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</si>
  <si>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</si>
  <si>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</si>
  <si>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</si>
  <si>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</si>
  <si>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</si>
  <si>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</si>
  <si>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</si>
  <si>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</si>
  <si>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</si>
  <si>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</si>
  <si>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</si>
  <si>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</si>
  <si>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</si>
  <si>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</si>
  <si>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</si>
  <si>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</si>
  <si>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</si>
  <si>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</si>
  <si>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</si>
  <si>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</si>
  <si>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</si>
  <si>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</si>
  <si>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</si>
  <si>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</si>
  <si>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</si>
  <si>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</si>
  <si>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</si>
  <si>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</si>
  <si>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</si>
  <si>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</si>
  <si>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</si>
  <si>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</si>
  <si>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</si>
  <si>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</si>
  <si>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</si>
  <si>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</si>
  <si>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</si>
  <si>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</si>
  <si>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</si>
  <si>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</si>
  <si>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</si>
  <si>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</si>
  <si>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</si>
  <si>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</si>
  <si>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</si>
  <si>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</si>
  <si>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</si>
  <si>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</si>
  <si>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</si>
  <si>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</si>
  <si>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</si>
  <si>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</si>
  <si>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</si>
  <si>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</si>
  <si>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</si>
  <si>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</si>
  <si>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</si>
  <si>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</si>
  <si>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</si>
  <si>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No Revaluation with next two years</t>
  </si>
  <si>
    <t>Electric Transfer Calculation</t>
  </si>
  <si>
    <t>Amount of transfer out to the General Fund that is for Payment in Lieu of Taxes (PILOT)</t>
  </si>
  <si>
    <t>Decrease</t>
  </si>
  <si>
    <t>No Change</t>
  </si>
  <si>
    <t>Performance Indicator</t>
  </si>
  <si>
    <t>Unit Number:</t>
  </si>
  <si>
    <t>Equal or greater than 1</t>
  </si>
  <si>
    <t>Unit Data from Audit Worksheet tab : (654-655-579-510)/(633-634-635-636-637-638-578)</t>
  </si>
  <si>
    <t>Date the Auditor presented or plans to present the Audit to the Governing Board</t>
  </si>
  <si>
    <t>Of the transfers-in above in acct # 352, list amount of transfers-in that were used to support Water Sewer operations  (exclude capital transfers)</t>
  </si>
  <si>
    <t>No over-expenditures</t>
  </si>
  <si>
    <t>Unit Data from Audit worksheet tab : (657-658-511-581)/(639-640-641-642-643-644-580)</t>
  </si>
  <si>
    <t>TD Auditor</t>
  </si>
  <si>
    <t>Does Unit expect to issue debt next fiscal year</t>
  </si>
  <si>
    <t>Auditor indicated that there was at least one Performance indicator of Concern on the PI tab</t>
  </si>
  <si>
    <t>Result for Performance Indicator Tab</t>
  </si>
  <si>
    <t>Tax rate for year audited</t>
  </si>
  <si>
    <t>Unit Name:</t>
  </si>
  <si>
    <t>D</t>
  </si>
  <si>
    <t>E</t>
  </si>
  <si>
    <t>F</t>
  </si>
  <si>
    <t>G</t>
  </si>
  <si>
    <t>H</t>
  </si>
  <si>
    <t>This tab need to have the most up-to-date UAL list on it at the time it is finalized</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</si>
  <si>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</si>
  <si>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</si>
  <si>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</si>
  <si>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</si>
  <si>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</si>
  <si>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</si>
  <si>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</si>
  <si>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</si>
  <si>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</si>
  <si>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</si>
  <si>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</si>
  <si>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</si>
  <si>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</si>
  <si>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</si>
  <si>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</si>
  <si>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</si>
  <si>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</si>
  <si>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</si>
  <si>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</si>
  <si>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</si>
  <si>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</si>
  <si>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</si>
  <si>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</si>
  <si>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</si>
  <si>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</si>
  <si>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</si>
  <si>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</si>
  <si>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</si>
  <si>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</si>
  <si>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</si>
  <si>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</si>
  <si>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</si>
  <si>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</si>
  <si>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</si>
  <si>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Minimum Threshold</t>
  </si>
  <si>
    <t>Enterprise Funds:</t>
  </si>
  <si>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</si>
  <si>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</si>
  <si>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</si>
  <si>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</si>
  <si>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</si>
  <si>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</si>
  <si>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</si>
  <si>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</si>
  <si>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</si>
  <si>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</si>
  <si>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</si>
  <si>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</si>
  <si>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</si>
  <si>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</si>
  <si>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</si>
  <si>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</si>
  <si>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</si>
  <si>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</si>
  <si>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</si>
  <si>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</si>
  <si>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</si>
  <si>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</si>
  <si>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</si>
  <si>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</si>
  <si>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</si>
  <si>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</si>
  <si>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</si>
  <si>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</si>
  <si>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</si>
  <si>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</si>
  <si>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</si>
  <si>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</si>
  <si>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</si>
  <si>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</si>
  <si>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</si>
  <si>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</si>
  <si>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</si>
  <si>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</si>
  <si>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</si>
  <si>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</si>
  <si>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</si>
  <si>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</si>
  <si>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</si>
  <si>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</si>
  <si>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</si>
  <si>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</si>
  <si>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</si>
  <si>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</si>
  <si>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</si>
  <si>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</si>
  <si>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</si>
  <si>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</si>
  <si>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</si>
  <si>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</si>
  <si>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</si>
  <si>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</si>
  <si>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</si>
  <si>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</si>
  <si>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</si>
  <si>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</si>
  <si>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</si>
  <si>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</si>
  <si>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</si>
  <si>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</si>
  <si>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</si>
  <si>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</si>
  <si>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</si>
  <si>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</si>
  <si>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</si>
  <si>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</si>
  <si>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</si>
  <si>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</si>
  <si>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</si>
  <si>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</si>
  <si>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</si>
  <si>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</si>
  <si>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</si>
  <si>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</si>
  <si>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</si>
  <si>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</si>
  <si>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</si>
  <si>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</si>
  <si>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</si>
  <si>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</si>
  <si>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</si>
  <si>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</si>
  <si>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</si>
  <si>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</si>
  <si>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</si>
  <si>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</si>
  <si>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</si>
  <si>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</si>
  <si>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</si>
  <si>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</si>
  <si>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</si>
  <si>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</si>
  <si>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</si>
  <si>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</si>
  <si>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</si>
  <si>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</si>
  <si>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</si>
  <si>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</si>
  <si>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</si>
  <si>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</si>
  <si>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</si>
  <si>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</si>
  <si>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</si>
  <si>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</si>
  <si>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</si>
  <si>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</si>
  <si>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</si>
  <si>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</si>
  <si>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</si>
  <si>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</si>
  <si>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</si>
  <si>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</si>
  <si>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</si>
  <si>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</si>
  <si>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</si>
  <si>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</si>
  <si>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</si>
  <si>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</si>
  <si>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</si>
  <si>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</si>
  <si>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</si>
  <si>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</si>
  <si>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</si>
  <si>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</si>
  <si>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</si>
  <si>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</si>
  <si>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</si>
  <si>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</si>
  <si>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</si>
  <si>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</si>
  <si>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</si>
  <si>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</si>
  <si>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</si>
  <si>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</si>
  <si>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</si>
  <si>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Did unit have problems with debt service payments being late, debt restructured or not meeting bond covenants</t>
  </si>
  <si>
    <t>Greater than 16% (2 months)</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</si>
  <si>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</si>
  <si>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Unit Data from Audit Worksheet tab: (13-534)/14</t>
  </si>
  <si>
    <t>Select Unit Name from Drop Down List</t>
  </si>
  <si>
    <t>Section 1: Data Collection NOTE:  the data submitted below may be used in various published reports</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</si>
  <si>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</si>
  <si>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</si>
  <si>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</si>
  <si>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</si>
  <si>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</si>
  <si>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</si>
  <si>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</si>
  <si>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</si>
  <si>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</si>
  <si>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</si>
  <si>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</si>
  <si>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</si>
  <si>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</si>
  <si>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</si>
  <si>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</si>
  <si>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</si>
  <si>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</si>
  <si>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</si>
  <si>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</si>
  <si>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</si>
  <si>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</si>
  <si>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</si>
  <si>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</si>
  <si>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</si>
  <si>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</si>
  <si>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</si>
  <si>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</si>
  <si>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</si>
  <si>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</si>
  <si>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</si>
  <si>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</si>
  <si>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</si>
  <si>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</si>
  <si>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</si>
  <si>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</si>
  <si>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</si>
  <si>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</si>
  <si>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</si>
  <si>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</si>
  <si>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</si>
  <si>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</si>
  <si>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</si>
  <si>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</si>
  <si>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</si>
  <si>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</si>
  <si>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</si>
  <si>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</si>
  <si>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</si>
  <si>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</si>
  <si>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</si>
  <si>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</si>
  <si>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</si>
  <si>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</si>
  <si>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</si>
  <si>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</si>
  <si>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</si>
  <si>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</si>
  <si>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</si>
  <si>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</si>
  <si>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</si>
  <si>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</si>
  <si>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</si>
  <si>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</si>
  <si>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lists whether or not the unit has issues with debt service payments or bond covenants.</t>
  </si>
  <si>
    <t>I</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</si>
  <si>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</si>
  <si>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</si>
  <si>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</si>
  <si>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</si>
  <si>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</si>
  <si>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</si>
  <si>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</si>
  <si>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</si>
  <si>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</si>
  <si>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</si>
  <si>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</si>
  <si>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</si>
  <si>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</si>
  <si>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</si>
  <si>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</si>
  <si>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</si>
  <si>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</si>
  <si>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</si>
  <si>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</si>
  <si>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</si>
  <si>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</si>
  <si>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</si>
  <si>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</si>
  <si>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</si>
  <si>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</si>
  <si>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</si>
  <si>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</si>
  <si>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</si>
  <si>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</si>
  <si>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</si>
  <si>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</si>
  <si>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</si>
  <si>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</si>
  <si>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</si>
  <si>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</si>
  <si>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</si>
  <si>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</si>
  <si>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</si>
  <si>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</si>
  <si>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</si>
  <si>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</si>
  <si>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</si>
  <si>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</si>
  <si>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</si>
  <si>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</si>
  <si>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</si>
  <si>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</si>
  <si>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</si>
  <si>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</si>
  <si>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</si>
  <si>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</si>
  <si>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</si>
  <si>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</si>
  <si>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</si>
  <si>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</si>
  <si>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</si>
  <si>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</si>
  <si>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</si>
  <si>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</si>
  <si>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</si>
  <si>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</si>
  <si>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</si>
  <si>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</si>
  <si>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</si>
  <si>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</si>
  <si>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</si>
  <si>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</si>
  <si>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</si>
  <si>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</si>
  <si>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</si>
  <si>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</si>
  <si>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</si>
  <si>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</si>
  <si>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</si>
  <si>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</si>
  <si>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</si>
  <si>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</si>
  <si>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</si>
  <si>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</si>
  <si>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</si>
  <si>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</si>
  <si>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</si>
  <si>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</si>
  <si>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</si>
  <si>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</si>
  <si>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</si>
  <si>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</si>
  <si>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</si>
  <si>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</si>
  <si>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</si>
  <si>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</si>
  <si>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</si>
  <si>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</si>
  <si>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</si>
  <si>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</si>
  <si>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</si>
  <si>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</si>
  <si>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</si>
  <si>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Cindy</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</si>
  <si>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</si>
  <si>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</si>
  <si>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</si>
  <si>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</si>
  <si>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</si>
  <si>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</si>
  <si>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10/11/2021</t>
  </si>
  <si>
    <t>10/18/2021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</si>
  <si>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</si>
  <si>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</si>
  <si>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</si>
  <si>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</si>
  <si>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</si>
  <si>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</si>
  <si>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</si>
  <si>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</si>
  <si>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</si>
  <si>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</si>
  <si>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CFO</t>
  </si>
  <si>
    <t>FINANCE OFFICER</t>
  </si>
  <si>
    <t>Date the FO signed the Data Input worksheet</t>
  </si>
  <si>
    <t>11/15/2021</t>
  </si>
  <si>
    <t>10/29/2021</t>
  </si>
  <si>
    <t>10/26/2021</t>
  </si>
  <si>
    <t>11/19/2021</t>
  </si>
  <si>
    <t>11/29/2021</t>
  </si>
  <si>
    <t>11/30/2021</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</si>
  <si>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</si>
  <si>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</si>
  <si>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</si>
  <si>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</si>
  <si>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</si>
  <si>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</si>
  <si>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</si>
  <si>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</si>
  <si>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</si>
  <si>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</si>
  <si>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</si>
  <si>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</si>
  <si>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</si>
  <si>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</si>
  <si>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</si>
  <si>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</si>
  <si>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</si>
  <si>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</si>
  <si>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</si>
  <si>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</si>
  <si>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</si>
  <si>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Statistic reported on DIW FPIC tab</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</si>
  <si>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</si>
  <si>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</si>
  <si>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</si>
  <si>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</si>
  <si>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</si>
  <si>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</si>
  <si>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</si>
  <si>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</si>
  <si>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</si>
  <si>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</si>
  <si>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</si>
  <si>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</si>
  <si>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</si>
  <si>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</si>
  <si>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Wanda</t>
  </si>
  <si>
    <t>Tara</t>
  </si>
  <si>
    <t>Thomas</t>
  </si>
  <si>
    <t>Tiffany</t>
  </si>
  <si>
    <t>Karen</t>
  </si>
  <si>
    <t>Lisa</t>
  </si>
  <si>
    <t>Bobby</t>
  </si>
  <si>
    <t>Johnson</t>
  </si>
  <si>
    <t>Edwards</t>
  </si>
  <si>
    <t>Barnett</t>
  </si>
  <si>
    <t>yes</t>
  </si>
  <si>
    <t>1/1/2018</t>
  </si>
  <si>
    <t>1/1/2012</t>
  </si>
  <si>
    <t>6/1/2021</t>
  </si>
  <si>
    <t>FINANCE DIRECTOR</t>
  </si>
  <si>
    <t>Chief Financial Officer</t>
  </si>
  <si>
    <t>10/1/2021</t>
  </si>
  <si>
    <t>10/28/2021</t>
  </si>
  <si>
    <t>10/31/2021</t>
  </si>
  <si>
    <t>9/20/2021</t>
  </si>
  <si>
    <t>10/27/2021</t>
  </si>
  <si>
    <t>12/22/2021</t>
  </si>
  <si>
    <t>10/15/2021</t>
  </si>
  <si>
    <t>11/1/2021</t>
  </si>
  <si>
    <t>1/26/2022</t>
  </si>
  <si>
    <t>10/21/2021</t>
  </si>
  <si>
    <t>10/19/2021</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</si>
  <si>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</si>
  <si>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</si>
  <si>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</si>
  <si>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</si>
  <si>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2/9/2021</t>
  </si>
  <si>
    <t>6/3/2021</t>
  </si>
  <si>
    <t>2/8/2021</t>
  </si>
  <si>
    <t>Christy</t>
  </si>
  <si>
    <t>Joseph</t>
  </si>
  <si>
    <t>Tucker</t>
  </si>
  <si>
    <t>Martin</t>
  </si>
  <si>
    <t>permanent</t>
  </si>
  <si>
    <t>YES</t>
  </si>
  <si>
    <t>7/1/2019</t>
  </si>
  <si>
    <t>Joseph Martin</t>
  </si>
  <si>
    <t>Christopher Tucker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</si>
  <si>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</si>
  <si>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</si>
  <si>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</si>
  <si>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1.</t>
  </si>
  <si>
    <t>2.</t>
  </si>
  <si>
    <t>3.</t>
  </si>
  <si>
    <t>WATER SEWER FUND:</t>
  </si>
  <si>
    <t>Note: If more than one performance indicator is identified,  one proposed solution may solve all water and sewer performance indicators.</t>
  </si>
  <si>
    <t>Cash Flow Indicators:</t>
  </si>
  <si>
    <t>Operating Net Income (loss) excluding depreciation, including debt service principal and interest</t>
  </si>
  <si>
    <t>Unrestricted cash /total expenses excluding depreciation, including debt service principal and interest</t>
  </si>
  <si>
    <r>
      <t xml:space="preserve">This indicator calculates how many month's worth of expenses (including debt principal and interest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</si>
  <si>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Note: If more than one performance indicator is identified,  one proposed solution may solve all electric performance indicators.</t>
  </si>
  <si>
    <t>Unit Data from Audit worksheet tab : 93-94+52-100-98</t>
  </si>
  <si>
    <t>The unit had problems with debt service payments being late and/or did not comply with the bond covenants.</t>
  </si>
  <si>
    <t>The unit has expenditures that exceed the legal budget ordinance.  This indicates that the unit's purchase order system, contract approval process and / or payment process is not in compliance with North Carolina General Statute 159.</t>
  </si>
  <si>
    <t>Transfers to Electric Capital Projects</t>
  </si>
  <si>
    <t>Amount of transfer out of the Electric to the General Fund that is for Payment in Lieu of Taxes (PILOT)</t>
  </si>
  <si>
    <t>Not collected in prior year</t>
  </si>
  <si>
    <t>Electric Fund Revenue, Expenses &amp; Changes in Fund Net Position</t>
  </si>
  <si>
    <t>Electric Fund Revenue, Expenses &amp; Changes in Fund Net Position or Notes to Financial Statements</t>
  </si>
  <si>
    <t>Water &amp; Sewer Revenue, Expenses &amp; Changes in Fund Net Position</t>
  </si>
  <si>
    <t xml:space="preserve"> Mark to Market unrealized losses in the Electric Fund.</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</si>
  <si>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</si>
  <si>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</si>
  <si>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</si>
  <si>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</si>
  <si>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</si>
  <si>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</si>
  <si>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Date (MM/DD/YYYY)</t>
  </si>
  <si>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</si>
  <si>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</si>
  <si>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</si>
  <si>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</si>
  <si>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Use of General Fund Balance (account #9)</t>
  </si>
  <si>
    <t>TD Info Completed by Auditor : CCH acct # 1059</t>
  </si>
  <si>
    <t>This indicator is to determine if during the fiscal year, the unit was without a board-appointed finance officer.</t>
  </si>
  <si>
    <t xml:space="preserve">Explanation of Performance Indicator
</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</si>
  <si>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</si>
  <si>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</si>
  <si>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Bay River Metropolitan Sewage District</t>
  </si>
  <si>
    <t>Belfast/Patetown Sanitary District</t>
  </si>
  <si>
    <t>Broad River Water Authority</t>
  </si>
  <si>
    <t>Brunswick Regional Water and Sewer H2GO</t>
  </si>
  <si>
    <t>Buncombe County Metropolitan Sewerage District</t>
  </si>
  <si>
    <t>Cabarrus County Water and Sewer Authority</t>
  </si>
  <si>
    <t>Cape Fear Public Utility Authority</t>
  </si>
  <si>
    <t>Cleveland County Water</t>
  </si>
  <si>
    <t>Contentnea Metropolitan Sewage District</t>
  </si>
  <si>
    <t>Eastern Wayne Sanitary District</t>
  </si>
  <si>
    <t>Fayetteville Public Works Commission</t>
  </si>
  <si>
    <t>First Craven Sanitary District</t>
  </si>
  <si>
    <t>Flat Rock/Bannertown Water and Sewer District</t>
  </si>
  <si>
    <t>Goldston/Gulf Sanitary District</t>
  </si>
  <si>
    <t>Greenville Utilities Commission</t>
  </si>
  <si>
    <t>Handy Sanitary District</t>
  </si>
  <si>
    <t>Harkers Island Sanitary District</t>
  </si>
  <si>
    <t>Junaluska Sanitary District</t>
  </si>
  <si>
    <t>Lower Cape Fear Water and Sewer Authority</t>
  </si>
  <si>
    <t>Martin County Regional Water and Sewer Authority</t>
  </si>
  <si>
    <t>Maury Sanitary Land District</t>
  </si>
  <si>
    <t>Neuse Regional Water and Sewer Authority</t>
  </si>
  <si>
    <t>Northwestern Wayne Sanitary District</t>
  </si>
  <si>
    <t>Onslow Water and Sewer Authority</t>
  </si>
  <si>
    <t>Orange Water and Sewer Authority</t>
  </si>
  <si>
    <t>Piedmont Triad Regional Water Authority</t>
  </si>
  <si>
    <t>Roanoke Rapids Sanitary District</t>
  </si>
  <si>
    <t>Seagrove-Ulah Metropolitan Water District</t>
  </si>
  <si>
    <t>Sedgefield Sanitary District</t>
  </si>
  <si>
    <t>South Granville Water and Sewer Authority</t>
  </si>
  <si>
    <t>Southeast Brunswick Sanitary District</t>
  </si>
  <si>
    <t>Southeastern Wayne Sanitary District</t>
  </si>
  <si>
    <t>Southern Wayne Sanitary District</t>
  </si>
  <si>
    <t>Southwestern Wayne Sanitary District</t>
  </si>
  <si>
    <t>Stanly Water and Sewer Authority</t>
  </si>
  <si>
    <t>Stokes County Water and Sewer Authority</t>
  </si>
  <si>
    <t>Tuckaseigee Water and Sewer Authority</t>
  </si>
  <si>
    <t>Western Bay River Metropolitan Sewer District</t>
  </si>
  <si>
    <t>Whitley Heights Sanitary District</t>
  </si>
  <si>
    <t>Whittier Sanitary District</t>
  </si>
  <si>
    <t>Woodfin Sanitary District</t>
  </si>
  <si>
    <t>Yadkin Valley Sewer Authority</t>
  </si>
  <si>
    <t>MARTHA</t>
  </si>
  <si>
    <t>C. Ray</t>
  </si>
  <si>
    <t>Maria</t>
  </si>
  <si>
    <t>Scott</t>
  </si>
  <si>
    <t>Christopher</t>
  </si>
  <si>
    <t>John</t>
  </si>
  <si>
    <t>Ginger</t>
  </si>
  <si>
    <t>Charles M.</t>
  </si>
  <si>
    <t>Brandon</t>
  </si>
  <si>
    <t>Rhonda</t>
  </si>
  <si>
    <t>Greg</t>
  </si>
  <si>
    <t>Jane</t>
  </si>
  <si>
    <t>Jeff</t>
  </si>
  <si>
    <t>Josh</t>
  </si>
  <si>
    <t>Timmy</t>
  </si>
  <si>
    <t>Julian</t>
  </si>
  <si>
    <t>Angela</t>
  </si>
  <si>
    <t>Danny</t>
  </si>
  <si>
    <t>William (Bill)</t>
  </si>
  <si>
    <t>Stephen</t>
  </si>
  <si>
    <t>Joy</t>
  </si>
  <si>
    <t>Cathy</t>
  </si>
  <si>
    <t>Erin</t>
  </si>
  <si>
    <t>Richard</t>
  </si>
  <si>
    <t>Kate</t>
  </si>
  <si>
    <t>Jimmy</t>
  </si>
  <si>
    <t>TOBY</t>
  </si>
  <si>
    <t>Julia</t>
  </si>
  <si>
    <t>Bridgit</t>
  </si>
  <si>
    <t>Wayne</t>
  </si>
  <si>
    <t>SCOTT</t>
  </si>
  <si>
    <t>Sullivan</t>
  </si>
  <si>
    <t>Hunnicutt</t>
  </si>
  <si>
    <t>Hook</t>
  </si>
  <si>
    <t>Powell</t>
  </si>
  <si>
    <t>McLean</t>
  </si>
  <si>
    <t>Fern</t>
  </si>
  <si>
    <t>Smithwick, Jr.</t>
  </si>
  <si>
    <t>Gray</t>
  </si>
  <si>
    <t>Haskins</t>
  </si>
  <si>
    <t>Holt</t>
  </si>
  <si>
    <t>Nixon</t>
  </si>
  <si>
    <t>Byrdsong</t>
  </si>
  <si>
    <t>Owen</t>
  </si>
  <si>
    <t>McCauley</t>
  </si>
  <si>
    <t>Hedrick</t>
  </si>
  <si>
    <t>Alderman</t>
  </si>
  <si>
    <t>Nickol</t>
  </si>
  <si>
    <t>Holloman</t>
  </si>
  <si>
    <t>Ange</t>
  </si>
  <si>
    <t>Jones</t>
  </si>
  <si>
    <t>Mckenzie</t>
  </si>
  <si>
    <t>Tillman</t>
  </si>
  <si>
    <t>Caswell</t>
  </si>
  <si>
    <t>Riggs</t>
  </si>
  <si>
    <t>Winters</t>
  </si>
  <si>
    <t>Sparks</t>
  </si>
  <si>
    <t>Wrenn</t>
  </si>
  <si>
    <t>McCaskill</t>
  </si>
  <si>
    <t>Balmer</t>
  </si>
  <si>
    <t>White</t>
  </si>
  <si>
    <t>Outlaw</t>
  </si>
  <si>
    <t>Ingram</t>
  </si>
  <si>
    <t>Cox</t>
  </si>
  <si>
    <t>HINSON</t>
  </si>
  <si>
    <t>Cool</t>
  </si>
  <si>
    <t>Nations</t>
  </si>
  <si>
    <t>Moore</t>
  </si>
  <si>
    <t>6/1/2009</t>
  </si>
  <si>
    <t>9/16/2021</t>
  </si>
  <si>
    <t>6/1/2016</t>
  </si>
  <si>
    <t>11/2/2015</t>
  </si>
  <si>
    <t>1/1/2002</t>
  </si>
  <si>
    <t>6/2/2018</t>
  </si>
  <si>
    <t>12/1/2009</t>
  </si>
  <si>
    <t>1/1/2005</t>
  </si>
  <si>
    <t>2/19/2015</t>
  </si>
  <si>
    <t>4/20/2020</t>
  </si>
  <si>
    <t>1/1/1994</t>
  </si>
  <si>
    <t>3/12/2008</t>
  </si>
  <si>
    <t>1/1/1989</t>
  </si>
  <si>
    <t>3/1/2010</t>
  </si>
  <si>
    <t>9/1/2005</t>
  </si>
  <si>
    <t>12/9/2009</t>
  </si>
  <si>
    <t>2/1/2012</t>
  </si>
  <si>
    <t>8/4/2014</t>
  </si>
  <si>
    <t>11/9/1989</t>
  </si>
  <si>
    <t>7/7/2008</t>
  </si>
  <si>
    <t>4/1/2008</t>
  </si>
  <si>
    <t>1/1/1992</t>
  </si>
  <si>
    <t>4/20/2021</t>
  </si>
  <si>
    <t>10/16/2013</t>
  </si>
  <si>
    <t>MARHTA SCOTT</t>
  </si>
  <si>
    <t>C. Ray Sullivan</t>
  </si>
  <si>
    <t>Maria Hunnicutt</t>
  </si>
  <si>
    <t>SCOTT HOOK</t>
  </si>
  <si>
    <t>Scott Powell</t>
  </si>
  <si>
    <t>John B. McLean</t>
  </si>
  <si>
    <t>Ginger L. Fern</t>
  </si>
  <si>
    <t>Charles M. Smithwick, Jr.</t>
  </si>
  <si>
    <t>Brandon Gray</t>
  </si>
  <si>
    <t>Rhonda Haskins</t>
  </si>
  <si>
    <t>Greg Holt</t>
  </si>
  <si>
    <t>Rhonda Nixon</t>
  </si>
  <si>
    <t>Karen Byrdsong</t>
  </si>
  <si>
    <t>Jane Owens</t>
  </si>
  <si>
    <t>Jeff McCauley</t>
  </si>
  <si>
    <t>Lisa Hedrick</t>
  </si>
  <si>
    <t>Tara Alderman</t>
  </si>
  <si>
    <t>Josh Nickol</t>
  </si>
  <si>
    <t>Timmy H. Holloman</t>
  </si>
  <si>
    <t>Karen Barnett</t>
  </si>
  <si>
    <t>Cindy Ange</t>
  </si>
  <si>
    <t>Julian Jones</t>
  </si>
  <si>
    <t>Angela Mckenzie</t>
  </si>
  <si>
    <t>Danny Tillman</t>
  </si>
  <si>
    <t>William (Bill) Caswell</t>
  </si>
  <si>
    <t>Tiffany Riggs</t>
  </si>
  <si>
    <t>Stephen Winters</t>
  </si>
  <si>
    <t>Joy Sparks</t>
  </si>
  <si>
    <t>Thomas C. Wrenn</t>
  </si>
  <si>
    <t>Cathy McCaskill</t>
  </si>
  <si>
    <t>Erin Johnson</t>
  </si>
  <si>
    <t>Richard Balmer</t>
  </si>
  <si>
    <t>KATE WHITE</t>
  </si>
  <si>
    <t>Bobby Outlaw</t>
  </si>
  <si>
    <t>Scott Ingram</t>
  </si>
  <si>
    <t>Jimmy Cox</t>
  </si>
  <si>
    <t>Toby R. Hinson</t>
  </si>
  <si>
    <t>Julia E. Edwards</t>
  </si>
  <si>
    <t>Wanda Cool</t>
  </si>
  <si>
    <t>Bridgit Nations</t>
  </si>
  <si>
    <t>Wayne V. Moore</t>
  </si>
  <si>
    <t>Executive Director</t>
  </si>
  <si>
    <t>Director of Finance</t>
  </si>
  <si>
    <t>Finance Officer &amp; District Manager</t>
  </si>
  <si>
    <t>Finance Manager</t>
  </si>
  <si>
    <t>Administrative Assistant/Finance Officer</t>
  </si>
  <si>
    <t>Secretary/Treasurer of Board</t>
  </si>
  <si>
    <t>Chief Finance Officer</t>
  </si>
  <si>
    <t>Director of Finance and Customer Service</t>
  </si>
  <si>
    <t>Interim Finance Officer</t>
  </si>
  <si>
    <t>Finance Officers</t>
  </si>
  <si>
    <t>Fiscal Officer</t>
  </si>
  <si>
    <t>Treasurer</t>
  </si>
  <si>
    <t>3/22/2022</t>
  </si>
  <si>
    <t>4/1/2022</t>
  </si>
  <si>
    <t>10/25/2021</t>
  </si>
  <si>
    <t>2/28/2022</t>
  </si>
  <si>
    <t>11/9/2021</t>
  </si>
  <si>
    <t>11/2/2021</t>
  </si>
  <si>
    <t>8/28/2021</t>
  </si>
  <si>
    <t>10/6/2021</t>
  </si>
  <si>
    <t>10/12/2021</t>
  </si>
  <si>
    <t>10/8/2021</t>
  </si>
  <si>
    <t>5/16/2022</t>
  </si>
  <si>
    <t>252-745-4812</t>
  </si>
  <si>
    <t>919-731-2310</t>
  </si>
  <si>
    <t>828-286-0640</t>
  </si>
  <si>
    <t>910-371-9949</t>
  </si>
  <si>
    <t>704-786-1783</t>
  </si>
  <si>
    <t>910-332-6668</t>
  </si>
  <si>
    <t>704-538-9033</t>
  </si>
  <si>
    <t>252-524-5584</t>
  </si>
  <si>
    <t>910-223-4005</t>
  </si>
  <si>
    <t>252-633-6500</t>
  </si>
  <si>
    <t>336-401-8251</t>
  </si>
  <si>
    <t>919-736-2551</t>
  </si>
  <si>
    <t>919-663-3066</t>
  </si>
  <si>
    <t>252-378-5004</t>
  </si>
  <si>
    <t>336-859-2553</t>
  </si>
  <si>
    <t>252-727-2233</t>
  </si>
  <si>
    <t>828-452-1178</t>
  </si>
  <si>
    <t>910-383-1919</t>
  </si>
  <si>
    <t>828-926-0145</t>
  </si>
  <si>
    <t>252-789-4330</t>
  </si>
  <si>
    <t>252-341-3981</t>
  </si>
  <si>
    <t>252-522-2567</t>
  </si>
  <si>
    <t>252-928-8119</t>
  </si>
  <si>
    <t>910-937-7545</t>
  </si>
  <si>
    <t>919-537-4230</t>
  </si>
  <si>
    <t>336-498-5510</t>
  </si>
  <si>
    <t>252-537-9137</t>
  </si>
  <si>
    <t>336-498-2661</t>
  </si>
  <si>
    <t>336-632-0060</t>
  </si>
  <si>
    <t>919-575-3367</t>
  </si>
  <si>
    <t>910-457-0006</t>
  </si>
  <si>
    <t>919-731-2520</t>
  </si>
  <si>
    <t>704-986-3613</t>
  </si>
  <si>
    <t>336-593-2405</t>
  </si>
  <si>
    <t>828-586-5189 ext.206</t>
  </si>
  <si>
    <t>828-736-2577</t>
  </si>
  <si>
    <t>828-412-8062</t>
  </si>
  <si>
    <t>336-835-9819</t>
  </si>
  <si>
    <t>SCOTT.BRMSD@GMAIL.COM</t>
  </si>
  <si>
    <t>ashley@waynewaterdistricts.com</t>
  </si>
  <si>
    <t>mhunnicutt@ncbrwa.com</t>
  </si>
  <si>
    <t>shook@h2goonline.com</t>
  </si>
  <si>
    <t>spowell@mcdbc.org</t>
  </si>
  <si>
    <t>ctucker@wsacc.org</t>
  </si>
  <si>
    <t>john.mclean@cfpua.org</t>
  </si>
  <si>
    <t>ginger@clevelandcountywater.com</t>
  </si>
  <si>
    <t>cmsd100@embarqmail.com</t>
  </si>
  <si>
    <t>Rhonda.Haskins@faypwc.com</t>
  </si>
  <si>
    <t>firstcraven@embarqmail.com</t>
  </si>
  <si>
    <t>nixonr@co.surry.nc.us</t>
  </si>
  <si>
    <t>FTSD1@bellsouth.net</t>
  </si>
  <si>
    <t>csirls73@gmail.com</t>
  </si>
  <si>
    <t>mccauljw@guc.com</t>
  </si>
  <si>
    <t>lhedrick@handysanitary.com</t>
  </si>
  <si>
    <t>taraa@ccemc.com</t>
  </si>
  <si>
    <t>jnickol@jsdwater.org</t>
  </si>
  <si>
    <t>director@lcfwasa.gov</t>
  </si>
  <si>
    <t>kbarnett@mvsdh2o.com</t>
  </si>
  <si>
    <t>cange@martincountyncgov.com</t>
  </si>
  <si>
    <t>emilyjsam@embarqmail.com</t>
  </si>
  <si>
    <t>angela.mckenzie@nrwasa.org</t>
  </si>
  <si>
    <t>billfcaswell@gmail.com</t>
  </si>
  <si>
    <t>triggs@onwasa.com</t>
  </si>
  <si>
    <t>swinters@owasa.org</t>
  </si>
  <si>
    <t>jsparks@ptrwa.org</t>
  </si>
  <si>
    <t>twrenn@rrsd.org</t>
  </si>
  <si>
    <t>cathy.mccaskill@ubw.com</t>
  </si>
  <si>
    <t>sedgefieldsanitary@triad.rr.com</t>
  </si>
  <si>
    <t>rbalmer@sgwasa.org</t>
  </si>
  <si>
    <t>kwhite@southeastbrunswick.com</t>
  </si>
  <si>
    <t>ingramscott@bfusa.com</t>
  </si>
  <si>
    <t>thinson@stanlycountync.gov</t>
  </si>
  <si>
    <t>jedwards@co.stokes.nc.us</t>
  </si>
  <si>
    <t>wcool@twsanc.us</t>
  </si>
  <si>
    <t>venters.brmsd@gmail.com</t>
  </si>
  <si>
    <t>whittiersd@gmail.com</t>
  </si>
  <si>
    <t>jdmartin@woodfinwater.com</t>
  </si>
  <si>
    <t>info@yvsa.org</t>
  </si>
  <si>
    <t>GF FBA% of Exp w/o Powell Bill Formula: (506+536-4-5-6-11+647)/(532+20+509-533-508)</t>
  </si>
  <si>
    <t>Tim</t>
  </si>
  <si>
    <t>McNeill</t>
  </si>
  <si>
    <t>John McLean</t>
  </si>
  <si>
    <t>Christy McNeill</t>
  </si>
  <si>
    <t>Bookkeeper</t>
  </si>
  <si>
    <t>252-551-1532</t>
  </si>
  <si>
    <t>336-299-8879</t>
  </si>
  <si>
    <t>Tim Holloman</t>
  </si>
  <si>
    <t>Thomas Wrenn</t>
  </si>
  <si>
    <r>
      <t xml:space="preserve">Mark to Market unrealized losses in the General Fund.  </t>
    </r>
    <r>
      <rPr>
        <sz val="11"/>
        <color theme="5" tint="-0.249977111117893"/>
        <rFont val="Calibri"/>
        <family val="2"/>
        <scheme val="minor"/>
      </rPr>
      <t>(enter as a negative number)</t>
    </r>
  </si>
  <si>
    <r>
      <t xml:space="preserve">Mark to Market unrealized losses in the Water and Sewer Fund. </t>
    </r>
    <r>
      <rPr>
        <sz val="11"/>
        <color theme="5" tint="-0.249977111117893"/>
        <rFont val="Calibri"/>
        <family val="2"/>
        <scheme val="minor"/>
      </rPr>
      <t>(enter as a negative number)</t>
    </r>
  </si>
  <si>
    <r>
      <t xml:space="preserve"> Mark to Market unrealized losses in the Electric Fund. </t>
    </r>
    <r>
      <rPr>
        <sz val="11"/>
        <color theme="5" tint="-0.249977111117893"/>
        <rFont val="Calibri"/>
        <family val="2"/>
        <scheme val="minor"/>
      </rPr>
      <t>(enter as a negative number)</t>
    </r>
  </si>
  <si>
    <t>TD Info Completed by Auditor : CCH acct # 973</t>
  </si>
  <si>
    <t>If unit is an employer participant in one of the State Cost Sharing Plans rows 174-176 should be blank.  Unless they have an additional single employer plan.</t>
  </si>
  <si>
    <t>Number of other matters that auditor asked the unit to respond to.</t>
  </si>
  <si>
    <t>DIW Batch Total</t>
  </si>
  <si>
    <t>Mark to Market unrealized losses in the Water and Sewer Fund</t>
  </si>
  <si>
    <t>Estimated cost not yet budgeted of any mandate placed on unit by DEQ, a court order or some similar requirement (that has no realistic appeal path)</t>
  </si>
  <si>
    <t>Number of material weaknesses findings</t>
  </si>
  <si>
    <t>Number of significant deficiency findings</t>
  </si>
  <si>
    <t>Mark to Market unrealized losses in the General Fund</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</si>
  <si>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</si>
  <si>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</si>
  <si>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statutory violations (not including budget violations) (Yes or No)</t>
  </si>
  <si>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</si>
  <si>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extennsion, etc.</t>
  </si>
  <si>
    <r>
      <t xml:space="preserve">Indicate if your water/sewer system:
50 - Became Operational
51 - Ceased Operations
52 - No Change
</t>
    </r>
    <r>
      <rPr>
        <b/>
        <sz val="11"/>
        <color theme="1"/>
        <rFont val="Calibri"/>
        <family val="2"/>
        <scheme val="minor"/>
      </rPr>
      <t>Select from the drop down list.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</si>
  <si>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=1 or No= 2</t>
    </r>
    <r>
      <rPr>
        <sz val="11"/>
        <color theme="1"/>
        <rFont val="Calibri"/>
        <family val="2"/>
        <scheme val="minor"/>
      </rPr>
      <t xml:space="preserve">
</t>
    </r>
    <r>
      <rPr>
        <b/>
        <sz val="11"/>
        <color theme="1"/>
        <rFont val="Calibri"/>
        <family val="2"/>
        <scheme val="minor"/>
      </rPr>
      <t>Select from the drop down list.</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</si>
  <si>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Yes=1 or No=2</t>
    </r>
    <r>
      <rPr>
        <sz val="11"/>
        <color theme="1"/>
        <rFont val="Calibri"/>
        <family val="2"/>
        <scheme val="minor"/>
      </rPr>
      <t xml:space="preserve">
</t>
    </r>
    <r>
      <rPr>
        <b/>
        <sz val="11"/>
        <color theme="1"/>
        <rFont val="Calibri"/>
        <family val="2"/>
        <scheme val="minor"/>
      </rPr>
      <t>Select from the drop down list.</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</si>
  <si>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the drop down list.
</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</si>
  <si>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the drop down list.</t>
    </r>
  </si>
  <si>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</si>
  <si>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t>Statutory Calculation of Fund Balance Available for Appropriation At June 30 for the General Fund
Restricted - Stabilization by State Statute</t>
  </si>
  <si>
    <t>Calculation</t>
  </si>
  <si>
    <t>Total</t>
  </si>
  <si>
    <t>Without Including Restricted Cash</t>
  </si>
  <si>
    <t>Fund Balance Available for Appropriation - G.S. §159-8(a)</t>
  </si>
  <si>
    <t xml:space="preserve">Unrestricted Cash and Investments </t>
  </si>
  <si>
    <t xml:space="preserve">Restricted cash and investments </t>
  </si>
  <si>
    <t>Liabilities……………………………………………………………….………………………….</t>
  </si>
  <si>
    <t>Encumbrances at June 30 (listed in the notes)……………………………...…………………………</t>
  </si>
  <si>
    <t>Unavailable or Unearned Revenues Arising from Cash Receipts ……………………………</t>
  </si>
  <si>
    <t>Fund Balance Available for Appropriation ……………………………………………………….</t>
  </si>
  <si>
    <t>Column C Formula</t>
  </si>
  <si>
    <t>Column E Formula</t>
  </si>
  <si>
    <t>=506-4-6-5</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</si>
  <si>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</si>
  <si>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</si>
  <si>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</si>
  <si>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</si>
  <si>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</si>
  <si>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</si>
  <si>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</si>
  <si>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</si>
  <si>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</si>
  <si>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</si>
  <si>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 xml:space="preserve"> Restricted Cash</t>
  </si>
  <si>
    <t>Expenditures - General Fund</t>
  </si>
  <si>
    <t>Total Expenditures - General Fund ………………………………..………………………………..</t>
  </si>
  <si>
    <t>Adjustments</t>
  </si>
  <si>
    <t xml:space="preserve">    Transfers Out …………………………...…………………………………...…….</t>
  </si>
  <si>
    <t xml:space="preserve">    Negative Debt Refunding</t>
  </si>
  <si>
    <t xml:space="preserve">    Issuance of Capital Leases &amp; Installment Purchases ……………...………….</t>
  </si>
  <si>
    <t xml:space="preserve">    Positive Debt Refunding</t>
  </si>
  <si>
    <t xml:space="preserve">          Total Expenditures (As Adjusted) ………………………………...…………………….</t>
  </si>
  <si>
    <t xml:space="preserve">    Fund Balance Available  as % of Expenditures …………………………..........</t>
  </si>
  <si>
    <t>=506+536-4-6-5</t>
  </si>
  <si>
    <t>=9-(506+536-4-6-5)</t>
  </si>
  <si>
    <t>=9-(506+536-4-6-5)-7</t>
  </si>
  <si>
    <t>=532+20+509-533-508</t>
  </si>
  <si>
    <t xml:space="preserve">This calculation subtracts operating expenses from operating revenues. Depreciation expense is not included the calculation but debt principal and interest payments are included.  A negative balance indicates that your rates are not covering your operating expenses.  </t>
  </si>
  <si>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</si>
  <si>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Unit Data from Audit Worksheet tab : 84-85+49-331-89</t>
  </si>
  <si>
    <t>Unit Data from Audit worksheet tab : 80/(85+351-49+331)</t>
  </si>
  <si>
    <t>Unit Data from Audit worksheet tab : 90/(364+94-52+100)</t>
  </si>
  <si>
    <t>Revenue, Expenses &amp; Changes in Fund Net Position</t>
  </si>
  <si>
    <t>Cash Flow Statement</t>
  </si>
  <si>
    <t>Fund balance, No spendable-  inventory/prepaids/etc.</t>
  </si>
  <si>
    <t xml:space="preserve">Does the unit have a self-insurance fund? </t>
  </si>
  <si>
    <t>Section 2:</t>
  </si>
  <si>
    <r>
      <t xml:space="preserve">Number of significant deficiency findings (financial statement findings only)
</t>
    </r>
    <r>
      <rPr>
        <sz val="11"/>
        <color rgb="FFFF0000"/>
        <rFont val="Calibri"/>
        <family val="2"/>
        <scheme val="minor"/>
      </rPr>
      <t>Exclude findings reported in questions 907, 951</t>
    </r>
  </si>
  <si>
    <r>
      <t xml:space="preserve">Number of material weaknesses findings (financial statements findings only)
</t>
    </r>
    <r>
      <rPr>
        <sz val="11"/>
        <color rgb="FFFF0000"/>
        <rFont val="Calibri"/>
        <family val="2"/>
        <scheme val="minor"/>
      </rPr>
      <t>Exclude findings reported in questions  907, 951</t>
    </r>
  </si>
  <si>
    <t xml:space="preserve"> Did the unit have a board-appointed finance officer or board-appointed interim finance officer the entire fiscal year as required pursuant to G.S. 159-24 which requires that "each local government and public authority shall, at all times, have a finance officer appointed by the local government, public authority, or designated official to hold office at the pleasurer of the appointing board or official?" (Yes or No)</t>
  </si>
  <si>
    <t>Was the finance officer or interium finance officer appropriately bonded pursuant to G.S. 159-29 which requires that the finance officer give a true accounting and faithful performance bond in an amount not less than the greater of (1) $50,000 or (2) an amount equal to 10% of the unit's annually budgeted funds, up to $1,000,000? (Yes or No)</t>
  </si>
  <si>
    <t>For units of government that have Proprietary Funds that do not prepare Government-Wide Financial Statement need to answer the following questions.</t>
  </si>
  <si>
    <t>Does the unit have a self-insurance fund</t>
  </si>
  <si>
    <t>Does the Unit have a non-state administrered pension plan?</t>
  </si>
  <si>
    <r>
      <rPr>
        <b/>
        <u/>
        <sz val="11"/>
        <color rgb="FFFF0000"/>
        <rFont val="Calibri"/>
        <family val="2"/>
        <scheme val="minor"/>
      </rPr>
      <t>All Proprietary Funds</t>
    </r>
    <r>
      <rPr>
        <u/>
        <sz val="11"/>
        <color theme="1"/>
        <rFont val="Calibri"/>
        <family val="2"/>
        <scheme val="minor"/>
      </rPr>
      <t xml:space="preserve"> -Depreciation and amortization expense</t>
    </r>
  </si>
  <si>
    <r>
      <rPr>
        <b/>
        <u/>
        <sz val="11"/>
        <color rgb="FFFF0000"/>
        <rFont val="Calibri"/>
        <family val="2"/>
        <scheme val="minor"/>
      </rPr>
      <t>All Proprietary Funds</t>
    </r>
    <r>
      <rPr>
        <u/>
        <sz val="11"/>
        <color theme="1"/>
        <rFont val="Calibri"/>
        <family val="2"/>
        <scheme val="minor"/>
      </rPr>
      <t xml:space="preserve"> -Principal paid on long-term debt.  Amount should be reduced by principal payments for debt refunding.</t>
    </r>
  </si>
  <si>
    <t>If the unit is self-insured for employee health care does the unit use a qualified consultant to establish rates and appropriate reserve levels?</t>
  </si>
  <si>
    <r>
      <rPr>
        <b/>
        <u/>
        <sz val="11"/>
        <color rgb="FFFF0000"/>
        <rFont val="Calibri"/>
        <family val="2"/>
        <scheme val="minor"/>
      </rPr>
      <t>All Proprietary Funds</t>
    </r>
    <r>
      <rPr>
        <u/>
        <sz val="11"/>
        <color theme="1"/>
        <rFont val="Calibri"/>
        <family val="2"/>
        <scheme val="minor"/>
      </rPr>
      <t xml:space="preserve"> -total </t>
    </r>
    <r>
      <rPr>
        <b/>
        <u/>
        <sz val="11"/>
        <color rgb="FFFF0000"/>
        <rFont val="Calibri"/>
        <family val="2"/>
        <scheme val="minor"/>
      </rPr>
      <t>of all</t>
    </r>
    <r>
      <rPr>
        <u/>
        <sz val="11"/>
        <color theme="1"/>
        <rFont val="Calibri"/>
        <family val="2"/>
        <scheme val="minor"/>
      </rPr>
      <t xml:space="preserve"> expenses excluding transfers out</t>
    </r>
  </si>
  <si>
    <t xml:space="preserve">"Certain" Special Purpose Governments as defined by GASB 34 (a special purpose government that only has proprietary funds (no governmental funds)) are not required </t>
  </si>
  <si>
    <t>to prepare Government Wide Statements but can use an alternate presentation.  If your unit is a Special Purpose Government that did not prepare  Government Wide</t>
  </si>
  <si>
    <t xml:space="preserve">Statements but can use an alternate presentation.  If your unit is a Special Purpose Government that did not prepare  Government Wide financial statements please </t>
  </si>
  <si>
    <t>This is a description question that is retained on the data input tab - This information is not uploaded to CCH or our data base</t>
  </si>
  <si>
    <t>WS-Please enter any pension liabilities that are classified as current liabilities and included in account 633 above (amounts entered should agree to the current amount included in the changes to long-term debt note)</t>
  </si>
  <si>
    <t>WS-Please enter any current liabilities that are payable from restricted assets and included row 12 above (amounts entered should agree to the current amount included in the changes to long-term debt note)</t>
  </si>
  <si>
    <t>WS-Please enter any OPEB liabilities that are classified as current liabilities and included in account 633 above (amounts entered should agree to the current amount included in the changes to long-term debt note)</t>
  </si>
  <si>
    <t xml:space="preserve">Electric-Current liabilities (as reported on the Statement of Fund Net Position)
Include:   Current liabilities including current portion of long-term debt.  Deferred inflows should not be included in Current Liabilities  
</t>
  </si>
  <si>
    <t>Electric-Please enter any bond anticipation notes that are classified as current liabilities and included in account 639 above (amounts entered should agree to the current amount included in the changes to long-term debt note)</t>
  </si>
  <si>
    <t>Electric-Please enter any compensated absences that are classified as current liabilities and included in account 639 above (amounts entered should agree to the current amount included in the changes to long-term debt note)</t>
  </si>
  <si>
    <t>Electric-Please enter any pension liabilities that are classified as current liabilities and included account in 639 above (amounts entered should agree to the current amount included in the changes to long-term debt note)</t>
  </si>
  <si>
    <t>Electric-Please enter any current liabilities that are payable from restricted assets and included in account 639 above.</t>
  </si>
  <si>
    <t>Electric-Please enter any OPEB liabilities that are classified as current liabilities and included in account 639 above (amounts entered should agree to the current amount included in the changes to long-term debt note)</t>
  </si>
  <si>
    <t>Wendi</t>
  </si>
  <si>
    <t>TOMMY</t>
  </si>
  <si>
    <t>Laura</t>
  </si>
  <si>
    <t>WILLIAM</t>
  </si>
  <si>
    <t>Toby</t>
  </si>
  <si>
    <t>Brian</t>
  </si>
  <si>
    <t>Heglar</t>
  </si>
  <si>
    <t>ETHERIDGE</t>
  </si>
  <si>
    <t>Neely</t>
  </si>
  <si>
    <t>McKenzie</t>
  </si>
  <si>
    <t>CASWELL</t>
  </si>
  <si>
    <t>Gainey</t>
  </si>
  <si>
    <t>Hinson</t>
  </si>
  <si>
    <t>Lankford</t>
  </si>
  <si>
    <t>Polyasko</t>
  </si>
  <si>
    <t>Goldstein</t>
  </si>
  <si>
    <t>8/18/2022</t>
  </si>
  <si>
    <t>6/8/2016</t>
  </si>
  <si>
    <t>10/8/2014</t>
  </si>
  <si>
    <t>2/8/2022</t>
  </si>
  <si>
    <t>1/10/2022</t>
  </si>
  <si>
    <t>1/1/2023</t>
  </si>
  <si>
    <t>8/1/2020</t>
  </si>
  <si>
    <t>MARTHA SCOTT</t>
  </si>
  <si>
    <t>Scott Hook</t>
  </si>
  <si>
    <t>Wendi Heglar</t>
  </si>
  <si>
    <t>TOMMY ETHERIDGE</t>
  </si>
  <si>
    <t>Angela McKenzie</t>
  </si>
  <si>
    <t>WILLIAM CASWELL</t>
  </si>
  <si>
    <t>Kate S. White</t>
  </si>
  <si>
    <t>Thomas Gainey</t>
  </si>
  <si>
    <t>Lisa Lankford</t>
  </si>
  <si>
    <t>Karen Polyasko</t>
  </si>
  <si>
    <t>Brian Goldstein</t>
  </si>
  <si>
    <t>Deputy Executive Director &amp; Chief Financial Officer</t>
  </si>
  <si>
    <t>General Manger/Chief Financial Officer</t>
  </si>
  <si>
    <t>Office Manager/Finance Officer</t>
  </si>
  <si>
    <t>Finance officer</t>
  </si>
  <si>
    <t>TREASURER OF BOARD</t>
  </si>
  <si>
    <t>Board Member/Finance Officer</t>
  </si>
  <si>
    <t>Director (new director started in January 2023)</t>
  </si>
  <si>
    <t>11/30/2022</t>
  </si>
  <si>
    <t>11/18/2022</t>
  </si>
  <si>
    <t>12/1/2022</t>
  </si>
  <si>
    <t>4/11/2023</t>
  </si>
  <si>
    <t>10/1/2022</t>
  </si>
  <si>
    <t>10/26/2022</t>
  </si>
  <si>
    <t>10/10/2022</t>
  </si>
  <si>
    <t>10/31/2022</t>
  </si>
  <si>
    <t>11/21/2022</t>
  </si>
  <si>
    <t>2/3/2023</t>
  </si>
  <si>
    <t>10/17/2022</t>
  </si>
  <si>
    <t>11/23/2022</t>
  </si>
  <si>
    <t>11/8/2022</t>
  </si>
  <si>
    <t>3/1/2023</t>
  </si>
  <si>
    <t>10/27/2022</t>
  </si>
  <si>
    <t>10/18/2022</t>
  </si>
  <si>
    <t>11/9/2022</t>
  </si>
  <si>
    <t>10/19/2022</t>
  </si>
  <si>
    <t>10/20/2022</t>
  </si>
  <si>
    <t>11/2/2022</t>
  </si>
  <si>
    <t>11/4/2022</t>
  </si>
  <si>
    <t>10/6/2022</t>
  </si>
  <si>
    <t>9/27/2022</t>
  </si>
  <si>
    <t>4/24/2023</t>
  </si>
  <si>
    <t>9/15/2022</t>
  </si>
  <si>
    <t>9/30/2022</t>
  </si>
  <si>
    <t>10/21/2022</t>
  </si>
  <si>
    <t>2/17/2023</t>
  </si>
  <si>
    <t>9/28/2022</t>
  </si>
  <si>
    <t>2/10/2023</t>
  </si>
  <si>
    <t>12/20/2022</t>
  </si>
  <si>
    <t>980-248-0502</t>
  </si>
  <si>
    <t>252-588-0508</t>
  </si>
  <si>
    <t>919-548-0106</t>
  </si>
  <si>
    <t>828-586-6303</t>
  </si>
  <si>
    <t>828-253-5551</t>
  </si>
  <si>
    <t>wheglar@wsacc.org</t>
  </si>
  <si>
    <t>JASRSTS@GMAIL.COM</t>
  </si>
  <si>
    <t>neelyl@co.surry.nc.us</t>
  </si>
  <si>
    <t>kbyrdsong@outlook.com</t>
  </si>
  <si>
    <t>SWSANITARY@BELLSOUTH.NET</t>
  </si>
  <si>
    <t>llankford@co.stokes.nc.us</t>
  </si>
  <si>
    <t>kpolyasko@twsanc.us</t>
  </si>
  <si>
    <t>bgoldstein@woodfinwater.com</t>
  </si>
  <si>
    <t>wayne.moore@yvsa.org</t>
  </si>
  <si>
    <t>Did the Unit have any of the following occur:
1.  Were any debt service payments deferred or restructured in this fiscal year? (does not include refinancings designed to take advantage of lower interest rates)
2.  Bond covenants were not met
3.  Debt serv</t>
  </si>
  <si>
    <t>The Auditor will submit the Audit Report to the LGC within five months plus one day after the fiscal year end.-á (for units with a June 30th fiscal year-end this would be December 1)-á-á Select Yes or No</t>
  </si>
  <si>
    <t>1/15/2023</t>
  </si>
  <si>
    <t>12/27/2022</t>
  </si>
  <si>
    <t>4/19/2023</t>
  </si>
  <si>
    <t>12/15/2022</t>
  </si>
  <si>
    <t>7/1/2022</t>
  </si>
  <si>
    <t>12/14/2022</t>
  </si>
  <si>
    <t>1/17/2023</t>
  </si>
  <si>
    <t>11/16/2022</t>
  </si>
  <si>
    <t>4/4/2023</t>
  </si>
  <si>
    <t>12/5/2022</t>
  </si>
  <si>
    <t>11/17/2022</t>
  </si>
  <si>
    <t>11/22/2022</t>
  </si>
  <si>
    <t>5/2/2023</t>
  </si>
  <si>
    <t>4/26/2023</t>
  </si>
  <si>
    <t>11/15/2022</t>
  </si>
  <si>
    <t>12/12/2022</t>
  </si>
  <si>
    <t>2/14/2023</t>
  </si>
  <si>
    <t>Estimated cost of any mandate placed on unit by DEQ, a court order or some similar requirement (that has no realistic appeal path) that the finacial effect will be greater that 3% of the WS budget and is not already been budgeted.</t>
  </si>
  <si>
    <t>Amount transferred from the Electric Fund to an Electric Capital Project Fund</t>
  </si>
  <si>
    <t>Mark to Market unrealized losses in the General Fund.</t>
  </si>
  <si>
    <t>Mark to Market unrealized losses in the Water and Sewer Fund.</t>
  </si>
  <si>
    <t>Mark to Market unrealized losses in the Electric Fund.</t>
  </si>
  <si>
    <t>Did your audit disclose as a finding bank reconciliations or subsidiary ledger reconciliations not performed timely? (Yes or No)</t>
  </si>
  <si>
    <t>Did your audit disclose as a finding that the unitGÇÖs records were not completed by the agreed upon time? (Yes or No)</t>
  </si>
  <si>
    <t>Did the unit have a board-appointed finance officer the entire fiscal year? (Yes or No)?</t>
  </si>
  <si>
    <t>Single Audit Only - Coronavirus State and Local Recovery Funds expenditures (21.027)</t>
  </si>
  <si>
    <t>Date Audit First Received</t>
  </si>
  <si>
    <t>2022-11-30</t>
  </si>
  <si>
    <t>2022-11-18</t>
  </si>
  <si>
    <t>2022-12-01</t>
  </si>
  <si>
    <t>2023-04-12</t>
  </si>
  <si>
    <t>2022-10-30</t>
  </si>
  <si>
    <t>2022-10-31</t>
  </si>
  <si>
    <t>2022-10-11</t>
  </si>
  <si>
    <t>2022-11-22</t>
  </si>
  <si>
    <t>2023-02-02</t>
  </si>
  <si>
    <t>2022-10-21</t>
  </si>
  <si>
    <t>2022-10-19</t>
  </si>
  <si>
    <t>2022-11-08</t>
  </si>
  <si>
    <t>2023-03-06</t>
  </si>
  <si>
    <t>2022-10-14</t>
  </si>
  <si>
    <t>2022-11-15</t>
  </si>
  <si>
    <t>2022-11-01</t>
  </si>
  <si>
    <t>2022-10-20</t>
  </si>
  <si>
    <t>2022-11-03</t>
  </si>
  <si>
    <t>2022-11-04</t>
  </si>
  <si>
    <t>2022-10-13</t>
  </si>
  <si>
    <t>2022-08-12</t>
  </si>
  <si>
    <t>2022-10-10</t>
  </si>
  <si>
    <t>2023-04-28</t>
  </si>
  <si>
    <t>2022-09-19</t>
  </si>
  <si>
    <t>2022-11-09</t>
  </si>
  <si>
    <t>2022-10-07</t>
  </si>
  <si>
    <t>2022-10-28</t>
  </si>
  <si>
    <t>2023-03-23</t>
  </si>
  <si>
    <t>2022-09-16</t>
  </si>
  <si>
    <t>2022-09-28</t>
  </si>
  <si>
    <t>2023-02-10</t>
  </si>
  <si>
    <t>2022-12-29</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</si>
  <si>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</si>
  <si>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</si>
  <si>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</si>
  <si>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</si>
  <si>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1/1/2022</t>
  </si>
  <si>
    <t>Tommy</t>
  </si>
  <si>
    <t>Etheridge</t>
  </si>
  <si>
    <t>12/16/2022</t>
  </si>
  <si>
    <t>jasrsts@gmail.com</t>
  </si>
  <si>
    <t># of other matters that auditor asked the unit to respond to.</t>
  </si>
  <si>
    <t>If the unit had PIs of concern, the issues were presented to the board and informed they needed to send Response Letter in 60 days</t>
  </si>
  <si>
    <t>Does the entity have an  effective pre-audit process to ensure that pervasive budgetary over- expenditures do not occur at the budget ordinance level?</t>
  </si>
  <si>
    <t>Did the audit disclose any statutory violations in the notes that were not covered by findings?  Select Yes or No</t>
  </si>
  <si>
    <t>4/20/2022</t>
  </si>
  <si>
    <t>1/11/2022</t>
  </si>
  <si>
    <t>5/10/2022</t>
  </si>
  <si>
    <t>12/15/2021</t>
  </si>
  <si>
    <t>1/20/2022</t>
  </si>
  <si>
    <t>11/10/2021</t>
  </si>
  <si>
    <t>12/30/2022</t>
  </si>
  <si>
    <t>11/8/2021</t>
  </si>
  <si>
    <t>12/20/2021</t>
  </si>
  <si>
    <t>11/17/2021</t>
  </si>
  <si>
    <t>3/1/2022</t>
  </si>
  <si>
    <t>11/18/2021</t>
  </si>
  <si>
    <t>12/21/2021</t>
  </si>
  <si>
    <t>12/17/2021</t>
  </si>
  <si>
    <t>11/11/2021</t>
  </si>
  <si>
    <t>12/11/2021</t>
  </si>
  <si>
    <t>10/13/2021</t>
  </si>
  <si>
    <t>12/6/2021</t>
  </si>
  <si>
    <t>12/2/2021</t>
  </si>
  <si>
    <t>12/16/2021</t>
  </si>
  <si>
    <t>9/23/2021</t>
  </si>
  <si>
    <t>12/1/2021</t>
  </si>
  <si>
    <t>12/9/2021</t>
  </si>
  <si>
    <t>11/16/2021</t>
  </si>
  <si>
    <t>10/14/2021</t>
  </si>
  <si>
    <t>2/21/2022</t>
  </si>
  <si>
    <t>Amount of Ad valorem tax collected (including motor vehicle and prior years) reported on budget actual statement</t>
  </si>
  <si>
    <t>Amount of Ad valorem tax budgeted (including motor vehicle and prior years) reported on budget actual statement</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</si>
  <si>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</si>
  <si>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</si>
  <si>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</si>
  <si>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Units with Electric Operations have 0.07, 0.08, 0.09</t>
  </si>
  <si>
    <t>The data collected in the Data Input Workbook is used for reporting purposes. This self-reported data is used in:  (1) determining units placed on the Unit Assistance List (2) calculation of Financial Indicators of Concern (3) Statistical Memos (4) internal reports used for audit review analysis.  Other state agencies and other governmental entities are provided with data that they use for their purposes on a recurring basis such as the Department of Environmental Quality and the UNC, School of Government, Environmental Finance Center.</t>
  </si>
  <si>
    <t>As of the publication date of this workbook, prior year self-reported numbers may not been received by the LGC staff, please contact LGC staff at lgcaudit@nctreasurer.com to have the prior year’s numbers populated on this worksheet.  Please include in email subject "Prior Year Financial Data."</t>
  </si>
  <si>
    <t>Data documenting the unit's compliance with General Statue 159-25 is captured in account numbers 947, 948, 949, 950, and 952</t>
  </si>
  <si>
    <t xml:space="preserve">The TD Info Completed by Auditor Worksheet is to be filled out using the completed audit report for the fiscal year 2023. </t>
  </si>
  <si>
    <t>Please remember the original 2023 audit report submission cannot be processed unless we receive the following:</t>
  </si>
  <si>
    <t xml:space="preserve">- PDF file of the Audit Report named “Unit Name 2023 Audit”             </t>
  </si>
  <si>
    <t>- PDF file of all communication letters from the auditor to the unit  named “Unit Name 2023 comm #1”, “Unit Name 2023 comm #2”, etc.</t>
  </si>
  <si>
    <t xml:space="preserve">- Excel file named “Unit Name 2023 Data Input Workbook" </t>
  </si>
  <si>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</si>
  <si>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Location of Documents for the 2023 Audit Submission Process</t>
  </si>
  <si>
    <t>Instructions for Audits with a Fiscal Year Ending Earlier than June 30, 2023</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</si>
  <si>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</si>
  <si>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</si>
  <si>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</si>
  <si>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</si>
  <si>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t>As of the publication date of this workbook, prior year self-reported numbers may not been received by the LGC staff, please contact LGC staff at lgcaudit@nctreasurer.com to have the prior year’s numbers populated in this workbook.  Please include in email subject "Prior Year Financial Data."</t>
  </si>
  <si>
    <t xml:space="preserve">This self-reported data is used in calculations including but not limited to: reporting Financial Performance Indicators (FPI), FPI thresholds, published memos, legislative reporting, and determining units placed on the Unit Assistance List (UAL). </t>
  </si>
  <si>
    <t>Transfers from General Fund to Water and Sewer Fund.  (Enter as positive)</t>
  </si>
  <si>
    <t>Not collected in prior years</t>
  </si>
  <si>
    <t>Transfers from Water and Sewer to General Fund.  (Enter as positive)</t>
  </si>
  <si>
    <t>Water and Sewer - Fund Revenue, Expenses &amp; Changes in Fund Net Position or Notes to Financial Statements</t>
  </si>
  <si>
    <t>Amount transferred from the Water and Sewer Fund to a Water and Sewer Capital Project Fund</t>
  </si>
  <si>
    <t>Please enter page number if information included in the audit report/other communications</t>
  </si>
  <si>
    <t>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t>
  </si>
  <si>
    <t>If the unit is self-insured for employee health care, does the unit use a qualified consultant to establish rates and appropriate reserve levels?</t>
  </si>
  <si>
    <t>If the unit is self-insured for employee health care, does the unit use a qualified consultant to establish rates and appropriate reserve levels</t>
  </si>
  <si>
    <t>Amount of ARPA funds expended in total for fiscal year for non-capital purposes</t>
  </si>
  <si>
    <t>Does the Performance Indicator Print worksheet in this workbook have a red shaded cell</t>
  </si>
  <si>
    <t>Did your audit disclose any budget violations at the adopted ordinance level? (Yes or No)</t>
  </si>
  <si>
    <t>Did your audit disclose as a finding any budget violations at the adopted ordinance level (Yes or No)</t>
  </si>
  <si>
    <t xml:space="preserve">Is there is a going concern noted in the audit report? </t>
  </si>
  <si>
    <t xml:space="preserve"> Did the unit have a board-appointed finance officer or board-appointed interim finance officer for the entire fiscal year (Yes or No)</t>
  </si>
  <si>
    <t>If the answer to 1059 is "No," was the unit without a board-appointed interim or permanent finance officer for more than 2 weeks at any time in the fiscal year</t>
  </si>
  <si>
    <t>Was the finance officer or interim finance officer bonded (Yes or No) pursuant to G.S. 159-29</t>
  </si>
  <si>
    <t>Water and Sewer Condition of Assets</t>
  </si>
  <si>
    <t>Unit Data from Audit worksheet tab:
 1-((523+524+525+526)/(515+516+517+518))</t>
  </si>
  <si>
    <t>new</t>
  </si>
  <si>
    <t>1-((523+524+525+526)/(515+516+517+518))</t>
  </si>
  <si>
    <t>Water and Sewer Capital Assets Condition Ratio</t>
  </si>
  <si>
    <t xml:space="preserve">This capital assets condition ratio formula calculates the remaining useful life. A remaining useful asset value less than 0.50  may signal the need to replace the assets in the near future. </t>
  </si>
  <si>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</si>
  <si>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Does the Performance Indicator Print worksheet in this workbook have a red shaded cell?</t>
  </si>
  <si>
    <t>TD Info Completed by Auditor tab: CCH acct # 1079</t>
  </si>
  <si>
    <t>Did your audit disclose as a finding any budget violations at the adopted ordinance level?     (Yes or No)</t>
  </si>
  <si>
    <t>This indicator identifies whether the unit has any material weaknesses, significant deficiencies, management letter comments or items identified on the TD Info Completed by Audit tab including 1055, 1056, 1058, 955 and 957, that require a response.</t>
  </si>
  <si>
    <t>8</t>
  </si>
  <si>
    <t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</si>
  <si>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</si>
  <si>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t>The indicator is to determine if at any time during the fiscal year, the unit was without a bonded, board-appoint finance officer as required by G.S. 159-29.</t>
  </si>
  <si>
    <t>TD Info Completed by Auditor : CCH acct # 1067</t>
  </si>
  <si>
    <t>This indicator advises if any other issues that the unit should address in the FPIC response letter.</t>
  </si>
  <si>
    <t>All Proprietary Funds -total of all expenses excluding transfers out</t>
  </si>
  <si>
    <t>All Proprietary Funds -Depreciation and amortization expense</t>
  </si>
  <si>
    <t>All Proprietary Funds -Principal paid on long-term debt.  Amount should be reduced by principal payments for debt refunding</t>
  </si>
  <si>
    <t>Is there is a going concern noted in the audit report</t>
  </si>
  <si>
    <t xml:space="preserve">Was an AU-C Section 260 (The Auditor's Communication With Those Charged With Governance) letter issued?     </t>
  </si>
  <si>
    <t>Was an AU-C Section 265 (Communicating Internal Control Related Matters Identified in an Audit) letter issued?</t>
  </si>
  <si>
    <t xml:space="preserve">                             -  </t>
  </si>
  <si>
    <t xml:space="preserve">                               -  </t>
  </si>
  <si>
    <t xml:space="preserve">                   -  </t>
  </si>
  <si>
    <t>CCH TB Batch Total</t>
  </si>
  <si>
    <r>
      <t xml:space="preserve">Date the auditor presented or plans to present Financial Performance Indicators of Concern (FPIC) to the Governing Board.  </t>
    </r>
    <r>
      <rPr>
        <sz val="11"/>
        <color theme="9" tint="-0.499984740745262"/>
        <rFont val="Calibri"/>
        <family val="2"/>
        <scheme val="minor"/>
      </rPr>
      <t>If there are no FPICs to present to the governing board,  enter "7/1/2023" to indicate that an FPIC response is not required.</t>
    </r>
  </si>
  <si>
    <t>J</t>
  </si>
  <si>
    <t>Please enter the fiscal year end reported on the unit's audited financial statements if other than 6/30/2023.              Format "MM/DD/YYYY"</t>
  </si>
  <si>
    <t>If the fiscal year-end is other than 6/30/2023, 9/30/2023, 12/31/2023 or 3/31/2024, please contact us.</t>
  </si>
  <si>
    <t>What date was the audit report submitted to the LGC?  (Note audit reports are due four months after fiscal year end regardless of the contract submission date.)</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</si>
  <si>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J30 to the right and in your FPIC Response.</t>
    </r>
  </si>
  <si>
    <t>C31</t>
  </si>
  <si>
    <t>C30</t>
  </si>
  <si>
    <t xml:space="preserve">What date was the audit report submitted to the LGC? </t>
  </si>
  <si>
    <t>Fiscal Year 2023</t>
  </si>
  <si>
    <t>Remaining useful life of asset greater than or equal to 0.50</t>
  </si>
  <si>
    <t>Fiscal 2023 -  Data Input Workbook incorporates the
Unit Data from Audit Worksheet, TD Info Completed by Auditor Worksheet, Performance Indicators Print Worksheet</t>
  </si>
  <si>
    <t>answer the following questions.   A special purpose government should not have completed questions in the Governmental Activities section in rows 9 through 44</t>
  </si>
  <si>
    <r>
      <t xml:space="preserve">If you appropriated General Fund Balance in your 2023 budget and your "change in fund balance": (account # 23 above) is </t>
    </r>
    <r>
      <rPr>
        <sz val="11"/>
        <color rgb="FFFF0000"/>
        <rFont val="Calibri"/>
        <family val="2"/>
        <scheme val="minor"/>
      </rPr>
      <t>negative</t>
    </r>
    <r>
      <rPr>
        <sz val="11"/>
        <color theme="1"/>
        <rFont val="Calibri"/>
        <family val="2"/>
        <scheme val="minor"/>
      </rPr>
      <t>, please select from the drop down box in column F either "operations" or "capital", whichever best describes what the fund balance was used for.  Briefly describe in column G to the right what the fund balance was used for.</t>
    </r>
  </si>
  <si>
    <t>N//A</t>
  </si>
  <si>
    <t>Water Sewer Dashboard, Financial Performance Indicator</t>
  </si>
  <si>
    <t>Review Summary, Financial Performance Indicator</t>
  </si>
  <si>
    <t>Water Sewer Dashboard, UAL Determination, Financial Performance Indicator</t>
  </si>
  <si>
    <t>Dashboard; Determination of Fiscal Health, Financial Performance Indicator</t>
  </si>
  <si>
    <t>Determination of Fiscal Health, Financial Performance Indicator</t>
  </si>
  <si>
    <t>Review Summary; Electric Memo, Financial Performance Indicator</t>
  </si>
  <si>
    <t>Dashboard, Electric Memo, Financial Performance Indicator</t>
  </si>
  <si>
    <t>Electric Memo, Financial Performance Indicator</t>
  </si>
  <si>
    <t>Dashboard, Financial Performance Indicator</t>
  </si>
  <si>
    <t>Electric Memo, Dashboard, Financial Performance Indicator</t>
  </si>
  <si>
    <t>Does the Unit have a non-state administered pension plan</t>
  </si>
  <si>
    <t>Must be linked to unit number on Unit Data from Audit Worksheet tab</t>
  </si>
  <si>
    <t>What date was the audit report submitted to the LGC?  (Note audit reports are due four months after fiscal year end regardless of the contract submission date.)   Enter as "MM/DD/YYYY"</t>
  </si>
  <si>
    <t>Version Date 10/13/2023</t>
  </si>
  <si>
    <r>
      <t>Please list the amount of ARPA funds expended in total this fiscal year for non-capital purposes.  Enter "</t>
    </r>
    <r>
      <rPr>
        <b/>
        <sz val="11"/>
        <rFont val="Calibri"/>
        <family val="2"/>
        <scheme val="minor"/>
      </rPr>
      <t>0</t>
    </r>
    <r>
      <rPr>
        <sz val="11"/>
        <color theme="1"/>
        <rFont val="Calibri"/>
        <family val="2"/>
        <scheme val="minor"/>
      </rPr>
      <t>" if no ARPA funds expended for this fiscal year for non-capital purposes.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</si>
</sst>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2">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_(* #,##0.000_);_(* \(#,##0.000\);_(* &quot;-&quot;??_);_(@_)"/>
    <numFmt numFmtId="184" formatCode="[&lt;=9999999]###\-####;\(###\)\ ###\-####"/>
    <numFmt numFmtId="185" formatCode="###\-###\-####"/>
    <numFmt numFmtId="186" formatCode="@*."/>
    <numFmt numFmtId="187" formatCode="0.00_);[Red]\(0.00\)"/>
    <numFmt numFmtId="188" formatCode="0.0_);[Red]\(0.0\)"/>
    <numFmt numFmtId="189" formatCode="#,##0.0_);[Red]\(#,##0.0\)"/>
  </numFmts>
  <fonts count="184"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b/>
      <sz val="18"/>
      <color rgb="FFFF0000"/>
      <name val="Calibri"/>
      <family val="2"/>
      <scheme val="minor"/>
    </font>
    <font>
      <i/>
      <sz val="14"/>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b/>
      <i/>
      <sz val="12"/>
      <color rgb="FFFF0000"/>
      <name val="Cambria"/>
      <family val="1"/>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11"/>
      <color theme="9" tint="-0.499984740745262"/>
      <name val="Calibri"/>
      <family val="2"/>
      <scheme val="minor"/>
    </font>
    <font>
      <b/>
      <u/>
      <sz val="11"/>
      <color rgb="FFFF0000"/>
      <name val="Calibri"/>
      <family val="2"/>
      <scheme val="minor"/>
    </font>
    <font>
      <b/>
      <sz val="12"/>
      <color theme="1"/>
      <name val="Century Schoolbook"/>
      <family val="1"/>
    </font>
    <font>
      <b/>
      <sz val="12"/>
      <color theme="1"/>
      <name val="Cambria"/>
      <family val="1"/>
    </font>
    <font>
      <b/>
      <sz val="14"/>
      <color rgb="FFFF0000"/>
      <name val="Calibri"/>
      <family val="2"/>
      <scheme val="minor"/>
    </font>
    <font>
      <b/>
      <u/>
      <sz val="14"/>
      <color theme="1"/>
      <name val="Calibri"/>
      <family val="2"/>
      <scheme val="minor"/>
    </font>
  </fonts>
  <fills count="84">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solid">
        <fgColor rgb="FF92D050"/>
        <bgColor indexed="64"/>
      </patternFill>
    </fill>
    <fill>
      <patternFill patternType="solid">
        <fgColor theme="8" tint="0.79998168889431442"/>
        <bgColor indexed="64"/>
      </patternFill>
    </fill>
  </fills>
  <borders count="10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uble">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173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6" applyNumberFormat="0" applyFill="0" applyAlignment="0" applyProtection="0"/>
    <xf numFmtId="0" fontId="71" fillId="0" borderId="47" applyNumberFormat="0" applyFill="0" applyAlignment="0" applyProtection="0"/>
    <xf numFmtId="0" fontId="72" fillId="0" borderId="48"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49" applyNumberFormat="0" applyAlignment="0" applyProtection="0"/>
    <xf numFmtId="0" fontId="76" fillId="41" borderId="50" applyNumberFormat="0" applyAlignment="0" applyProtection="0"/>
    <xf numFmtId="0" fontId="77" fillId="41" borderId="49" applyNumberFormat="0" applyAlignment="0" applyProtection="0"/>
    <xf numFmtId="0" fontId="78" fillId="0" borderId="51" applyNumberFormat="0" applyFill="0" applyAlignment="0" applyProtection="0"/>
    <xf numFmtId="0" fontId="79" fillId="42" borderId="52" applyNumberFormat="0" applyAlignment="0" applyProtection="0"/>
    <xf numFmtId="0" fontId="68" fillId="0" borderId="0" applyNumberFormat="0" applyFill="0" applyBorder="0" applyAlignment="0" applyProtection="0"/>
    <xf numFmtId="0" fontId="39" fillId="0" borderId="54"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3"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3"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3"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49" applyNumberFormat="0" applyAlignment="0" applyProtection="0"/>
    <xf numFmtId="0" fontId="97" fillId="42" borderId="52"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6" applyNumberFormat="0" applyFill="0" applyAlignment="0" applyProtection="0"/>
    <xf numFmtId="0" fontId="101" fillId="0" borderId="47" applyNumberFormat="0" applyFill="0" applyAlignment="0" applyProtection="0"/>
    <xf numFmtId="0" fontId="15" fillId="0" borderId="57" applyNumberFormat="0" applyFill="0" applyAlignment="0" applyProtection="0"/>
    <xf numFmtId="0" fontId="15" fillId="0" borderId="57" applyNumberFormat="0" applyFill="0" applyAlignment="0" applyProtection="0"/>
    <xf numFmtId="0" fontId="102" fillId="0" borderId="48" applyNumberFormat="0" applyFill="0" applyAlignment="0" applyProtection="0"/>
    <xf numFmtId="0" fontId="102" fillId="0" borderId="0" applyNumberFormat="0" applyFill="0" applyBorder="0" applyAlignment="0" applyProtection="0"/>
    <xf numFmtId="0" fontId="103" fillId="40" borderId="49" applyNumberFormat="0" applyAlignment="0" applyProtection="0"/>
    <xf numFmtId="0" fontId="104" fillId="0" borderId="51"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3" applyNumberFormat="0" applyFont="0" applyAlignment="0" applyProtection="0"/>
    <xf numFmtId="0" fontId="106" fillId="41" borderId="50"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4"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2" fillId="0" borderId="0"/>
    <xf numFmtId="43" fontId="112" fillId="0" borderId="0" applyFont="0" applyFill="0" applyBorder="0" applyAlignment="0" applyProtection="0"/>
    <xf numFmtId="0" fontId="112" fillId="0" borderId="0"/>
    <xf numFmtId="0" fontId="124" fillId="0" borderId="0"/>
    <xf numFmtId="0" fontId="33" fillId="0" borderId="0"/>
    <xf numFmtId="0" fontId="124" fillId="0" borderId="0"/>
    <xf numFmtId="43" fontId="112" fillId="0" borderId="0" applyFont="0" applyFill="0" applyBorder="0" applyAlignment="0" applyProtection="0"/>
    <xf numFmtId="0" fontId="112" fillId="0" borderId="0"/>
    <xf numFmtId="0" fontId="112" fillId="0" borderId="0"/>
    <xf numFmtId="0" fontId="112"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3"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3"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3"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66" fillId="0" borderId="0"/>
    <xf numFmtId="0" fontId="169" fillId="0" borderId="0"/>
    <xf numFmtId="43" fontId="169" fillId="0" borderId="0" applyFont="0" applyFill="0" applyBorder="0" applyAlignment="0" applyProtection="0"/>
    <xf numFmtId="44" fontId="169"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983">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164" fontId="56" fillId="23" borderId="22"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4" xfId="0" applyNumberFormat="1" applyFont="1" applyFill="1" applyBorder="1" applyAlignment="1" applyProtection="1">
      <alignment horizontal="center" vertical="center"/>
    </xf>
    <xf numFmtId="0" fontId="58" fillId="0" borderId="24" xfId="0" applyNumberFormat="1" applyFont="1" applyFill="1" applyBorder="1" applyAlignment="1" applyProtection="1">
      <alignment horizontal="center" vertical="center"/>
    </xf>
    <xf numFmtId="0" fontId="39" fillId="23" borderId="24" xfId="0" applyNumberFormat="1" applyFont="1" applyFill="1" applyBorder="1" applyAlignment="1" applyProtection="1">
      <alignment horizontal="center" vertical="center"/>
    </xf>
    <xf numFmtId="0" fontId="39" fillId="0" borderId="25" xfId="0" applyNumberFormat="1" applyFont="1" applyFill="1" applyBorder="1" applyAlignment="1" applyProtection="1">
      <alignment horizontal="center" vertical="center"/>
    </xf>
    <xf numFmtId="0" fontId="49" fillId="24" borderId="20" xfId="0" applyFont="1" applyFill="1" applyBorder="1" applyAlignment="1" applyProtection="1">
      <alignment horizontal="center" vertical="center" wrapText="1"/>
    </xf>
    <xf numFmtId="0" fontId="0" fillId="0" borderId="29"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0"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56" fillId="0" borderId="0" xfId="0" applyFont="1" applyProtection="1"/>
    <xf numFmtId="0" fontId="56" fillId="23" borderId="22" xfId="0" applyNumberFormat="1" applyFont="1" applyFill="1" applyBorder="1" applyAlignment="1" applyProtection="1">
      <alignment horizontal="left" vertical="center" wrapText="1"/>
    </xf>
    <xf numFmtId="0" fontId="56" fillId="0" borderId="30" xfId="0" applyNumberFormat="1" applyFont="1" applyFill="1" applyBorder="1" applyAlignment="1" applyProtection="1">
      <alignment horizontal="left" vertical="center" wrapText="1"/>
    </xf>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164" fontId="56" fillId="0" borderId="22"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2"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2" xfId="0" applyFont="1" applyFill="1" applyBorder="1" applyAlignment="1" applyProtection="1">
      <alignment vertical="center" wrapText="1"/>
    </xf>
    <xf numFmtId="164" fontId="56" fillId="22" borderId="22" xfId="439" applyNumberFormat="1" applyFont="1" applyFill="1" applyBorder="1" applyAlignment="1" applyProtection="1">
      <alignment horizontal="center" vertical="center" wrapText="1"/>
    </xf>
    <xf numFmtId="0" fontId="49" fillId="30" borderId="24"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8" xfId="439" applyNumberFormat="1" applyFont="1" applyFill="1" applyBorder="1" applyAlignment="1" applyProtection="1">
      <alignment horizontal="center" vertical="center" wrapText="1"/>
    </xf>
    <xf numFmtId="39" fontId="56" fillId="23" borderId="27"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4" xfId="0" applyNumberFormat="1" applyFont="1" applyFill="1" applyBorder="1" applyAlignment="1" applyProtection="1">
      <alignment horizontal="center" vertical="center"/>
    </xf>
    <xf numFmtId="0" fontId="0" fillId="32" borderId="22"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41" fillId="0" borderId="24" xfId="0" applyNumberFormat="1" applyFont="1" applyFill="1" applyBorder="1" applyAlignment="1" applyProtection="1">
      <alignment horizontal="left" vertical="center" wrapText="1"/>
    </xf>
    <xf numFmtId="41" fontId="56" fillId="0" borderId="22" xfId="439" applyNumberFormat="1" applyFont="1" applyFill="1" applyBorder="1" applyAlignment="1" applyProtection="1">
      <alignment horizontal="center" vertical="center" wrapText="1"/>
    </xf>
    <xf numFmtId="0" fontId="47" fillId="0" borderId="22"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2"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2" xfId="439" applyNumberFormat="1" applyFont="1" applyFill="1" applyBorder="1" applyAlignment="1" applyProtection="1">
      <alignment horizontal="center" vertical="center" wrapText="1"/>
      <protection locked="0"/>
    </xf>
    <xf numFmtId="37" fontId="57" fillId="33" borderId="27" xfId="439" applyNumberFormat="1" applyFont="1" applyFill="1" applyBorder="1" applyAlignment="1" applyProtection="1">
      <alignment horizontal="center" vertical="center" wrapText="1"/>
    </xf>
    <xf numFmtId="37" fontId="39" fillId="0" borderId="27" xfId="439" applyNumberFormat="1" applyFont="1" applyFill="1" applyBorder="1" applyAlignment="1" applyProtection="1">
      <alignment horizontal="center" vertical="center" wrapText="1"/>
    </xf>
    <xf numFmtId="37" fontId="57" fillId="0" borderId="27" xfId="439" applyNumberFormat="1" applyFont="1" applyFill="1" applyBorder="1" applyAlignment="1" applyProtection="1">
      <alignment horizontal="center" vertical="center" wrapText="1"/>
    </xf>
    <xf numFmtId="0" fontId="0" fillId="0" borderId="22"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4"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8" xfId="439" applyNumberFormat="1" applyFont="1" applyFill="1" applyBorder="1" applyAlignment="1" applyProtection="1">
      <alignment horizontal="center" vertical="center" wrapText="1"/>
    </xf>
    <xf numFmtId="172"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2" xfId="0" applyFont="1" applyFill="1" applyBorder="1" applyAlignment="1" applyProtection="1">
      <alignment vertical="center" wrapText="1"/>
      <protection locked="0"/>
    </xf>
    <xf numFmtId="164" fontId="56" fillId="29" borderId="43" xfId="439" applyNumberFormat="1" applyFont="1" applyFill="1" applyBorder="1" applyAlignment="1" applyProtection="1">
      <alignment horizontal="center" vertical="center" wrapText="1"/>
      <protection locked="0"/>
    </xf>
    <xf numFmtId="164" fontId="56" fillId="0" borderId="29" xfId="439" applyNumberFormat="1" applyFont="1" applyFill="1" applyBorder="1" applyAlignment="1" applyProtection="1">
      <alignment horizontal="center" vertical="center" wrapText="1"/>
    </xf>
    <xf numFmtId="39" fontId="56" fillId="0" borderId="26" xfId="439" applyNumberFormat="1" applyFont="1" applyFill="1" applyBorder="1" applyAlignment="1" applyProtection="1">
      <alignment horizontal="center" vertical="center" wrapText="1"/>
    </xf>
    <xf numFmtId="164" fontId="56" fillId="0" borderId="45" xfId="439" applyNumberFormat="1" applyFont="1" applyFill="1" applyBorder="1" applyAlignment="1" applyProtection="1">
      <alignment horizontal="center" vertical="center" wrapText="1"/>
    </xf>
    <xf numFmtId="0" fontId="39" fillId="32" borderId="25" xfId="0" applyNumberFormat="1" applyFont="1" applyFill="1" applyBorder="1" applyAlignment="1" applyProtection="1">
      <alignment horizontal="center" vertical="center"/>
    </xf>
    <xf numFmtId="0" fontId="0" fillId="32" borderId="30" xfId="0" applyFont="1" applyFill="1" applyBorder="1" applyAlignment="1" applyProtection="1">
      <alignment vertical="center" wrapText="1"/>
    </xf>
    <xf numFmtId="164" fontId="56" fillId="29" borderId="44" xfId="439" applyNumberFormat="1" applyFont="1" applyFill="1" applyBorder="1" applyAlignment="1" applyProtection="1">
      <alignment horizontal="center" vertical="center" wrapText="1"/>
      <protection locked="0"/>
    </xf>
    <xf numFmtId="0" fontId="56" fillId="0" borderId="29" xfId="0" applyNumberFormat="1" applyFont="1" applyFill="1" applyBorder="1" applyAlignment="1" applyProtection="1">
      <alignment horizontal="left" vertical="center" wrapText="1"/>
    </xf>
    <xf numFmtId="0" fontId="56" fillId="23" borderId="30" xfId="0" applyNumberFormat="1" applyFont="1" applyFill="1" applyBorder="1" applyAlignment="1" applyProtection="1">
      <alignment horizontal="left" vertical="center" wrapText="1"/>
    </xf>
    <xf numFmtId="0" fontId="56" fillId="23" borderId="30" xfId="439" applyNumberFormat="1" applyFont="1" applyFill="1" applyBorder="1" applyAlignment="1" applyProtection="1">
      <alignment horizontal="center" vertical="center" wrapText="1"/>
    </xf>
    <xf numFmtId="37" fontId="39" fillId="23" borderId="28" xfId="439" applyNumberFormat="1" applyFont="1" applyFill="1" applyBorder="1" applyAlignment="1" applyProtection="1">
      <alignment horizontal="center" vertical="center" wrapText="1"/>
    </xf>
    <xf numFmtId="0" fontId="39" fillId="23" borderId="25" xfId="0" applyNumberFormat="1" applyFont="1" applyFill="1" applyBorder="1" applyAlignment="1" applyProtection="1">
      <alignment horizontal="center" vertical="center"/>
    </xf>
    <xf numFmtId="37" fontId="39" fillId="0" borderId="26" xfId="439" applyNumberFormat="1" applyFont="1" applyFill="1" applyBorder="1" applyAlignment="1" applyProtection="1">
      <alignment horizontal="center" vertical="center" wrapText="1"/>
    </xf>
    <xf numFmtId="0" fontId="39" fillId="34" borderId="0" xfId="0" applyFont="1" applyFill="1" applyProtection="1"/>
    <xf numFmtId="0" fontId="0" fillId="0" borderId="35" xfId="0" applyNumberFormat="1" applyFont="1" applyFill="1" applyBorder="1" applyAlignment="1" applyProtection="1">
      <alignment horizontal="left" vertical="center" wrapText="1"/>
    </xf>
    <xf numFmtId="0" fontId="0" fillId="0" borderId="35" xfId="0" applyNumberFormat="1" applyFont="1" applyFill="1" applyBorder="1" applyAlignment="1" applyProtection="1">
      <alignment horizontal="center" vertical="center" wrapText="1"/>
    </xf>
    <xf numFmtId="0" fontId="0" fillId="34" borderId="22" xfId="0" applyFont="1" applyFill="1" applyBorder="1" applyAlignment="1" applyProtection="1">
      <alignment vertical="center" wrapText="1"/>
    </xf>
    <xf numFmtId="39" fontId="0" fillId="0" borderId="27" xfId="439" applyNumberFormat="1" applyFont="1" applyFill="1" applyBorder="1" applyAlignment="1" applyProtection="1">
      <alignment horizontal="center" vertical="center" wrapText="1"/>
    </xf>
    <xf numFmtId="39" fontId="0" fillId="0" borderId="27" xfId="439" applyNumberFormat="1" applyFont="1" applyFill="1" applyBorder="1" applyAlignment="1" applyProtection="1">
      <alignment vertical="center" wrapText="1"/>
    </xf>
    <xf numFmtId="0" fontId="68" fillId="0" borderId="0" xfId="0" applyNumberFormat="1" applyFont="1" applyFill="1" applyAlignment="1" applyProtection="1">
      <alignment horizontal="left" vertical="center" wrapText="1" indent="6"/>
    </xf>
    <xf numFmtId="0" fontId="56" fillId="0" borderId="24" xfId="0" applyNumberFormat="1" applyFont="1" applyFill="1" applyBorder="1" applyAlignment="1" applyProtection="1">
      <alignment horizontal="left" vertical="center" wrapText="1"/>
    </xf>
    <xf numFmtId="0" fontId="0" fillId="23" borderId="22" xfId="0" applyFont="1" applyFill="1" applyBorder="1" applyAlignment="1" applyProtection="1">
      <alignment vertical="center" wrapText="1"/>
    </xf>
    <xf numFmtId="41" fontId="64" fillId="0" borderId="0" xfId="0" applyNumberFormat="1" applyFont="1" applyFill="1" applyAlignment="1" applyProtection="1">
      <alignment wrapText="1"/>
    </xf>
    <xf numFmtId="164" fontId="49" fillId="0" borderId="0" xfId="0" applyNumberFormat="1" applyFont="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172" fontId="56" fillId="22" borderId="22" xfId="439" applyNumberFormat="1" applyFont="1" applyFill="1" applyBorder="1" applyAlignment="1" applyProtection="1">
      <alignment horizontal="center" vertical="center" wrapText="1"/>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29" xfId="439" applyNumberFormat="1" applyFont="1" applyFill="1" applyBorder="1" applyAlignment="1" applyProtection="1">
      <alignment horizontal="center" vertical="center" wrapText="1"/>
    </xf>
    <xf numFmtId="175" fontId="56" fillId="75" borderId="22" xfId="439" applyNumberFormat="1" applyFont="1" applyFill="1" applyBorder="1" applyAlignment="1" applyProtection="1">
      <alignment horizontal="center" vertical="center" wrapText="1"/>
    </xf>
    <xf numFmtId="3" fontId="56" fillId="0" borderId="22" xfId="439" applyNumberFormat="1" applyFont="1" applyFill="1" applyBorder="1" applyAlignment="1" applyProtection="1">
      <alignment horizontal="center" vertical="center" wrapText="1"/>
      <protection locked="0"/>
    </xf>
    <xf numFmtId="180" fontId="56" fillId="75" borderId="22"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 fontId="56" fillId="23" borderId="30" xfId="439" applyNumberFormat="1" applyFont="1" applyFill="1" applyBorder="1" applyAlignment="1" applyProtection="1">
      <alignment horizontal="center" vertical="center" wrapText="1"/>
    </xf>
    <xf numFmtId="3" fontId="56" fillId="23" borderId="22" xfId="439" applyNumberFormat="1" applyFont="1" applyFill="1" applyBorder="1" applyAlignment="1" applyProtection="1">
      <alignment horizontal="center" vertical="center" wrapText="1"/>
    </xf>
    <xf numFmtId="3" fontId="56" fillId="0" borderId="29" xfId="439" applyNumberFormat="1" applyFont="1" applyFill="1" applyBorder="1" applyAlignment="1" applyProtection="1">
      <alignment horizontal="center" vertical="center" wrapText="1"/>
    </xf>
    <xf numFmtId="37" fontId="56" fillId="0" borderId="22"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6"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60" xfId="0" applyNumberFormat="1" applyFont="1" applyFill="1" applyBorder="1" applyAlignment="1">
      <alignment horizontal="center"/>
    </xf>
    <xf numFmtId="0" fontId="80"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171" fontId="56" fillId="75" borderId="28" xfId="439" applyNumberFormat="1" applyFont="1" applyFill="1" applyBorder="1" applyAlignment="1" applyProtection="1">
      <alignment horizontal="center" vertical="center" wrapText="1"/>
    </xf>
    <xf numFmtId="0" fontId="39" fillId="74" borderId="63"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4" xfId="0" applyFont="1" applyFill="1" applyBorder="1" applyAlignment="1" applyProtection="1">
      <alignment horizontal="center" vertical="center" wrapText="1"/>
    </xf>
    <xf numFmtId="0" fontId="60" fillId="32" borderId="44" xfId="0" applyFont="1" applyFill="1" applyBorder="1" applyAlignment="1" applyProtection="1">
      <alignment horizontal="center" vertical="center" wrapText="1"/>
    </xf>
    <xf numFmtId="0" fontId="56" fillId="31" borderId="24" xfId="0" applyNumberFormat="1" applyFont="1" applyFill="1" applyBorder="1" applyAlignment="1" applyProtection="1">
      <alignment horizontal="left" vertical="center" wrapText="1"/>
    </xf>
    <xf numFmtId="0" fontId="41" fillId="31" borderId="65" xfId="0" applyFont="1" applyFill="1" applyBorder="1" applyAlignment="1">
      <alignment wrapText="1"/>
    </xf>
    <xf numFmtId="14" fontId="41" fillId="31" borderId="65" xfId="0" applyNumberFormat="1" applyFont="1" applyFill="1" applyBorder="1" applyAlignment="1">
      <alignment wrapText="1"/>
    </xf>
    <xf numFmtId="0" fontId="39" fillId="31" borderId="63"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xf numFmtId="169" fontId="39" fillId="29" borderId="0" xfId="439" applyNumberFormat="1" applyFont="1" applyFill="1" applyAlignment="1" applyProtection="1">
      <alignment horizontal="center" vertical="center"/>
      <protection locked="0"/>
    </xf>
    <xf numFmtId="174" fontId="39" fillId="29" borderId="0" xfId="439" applyNumberFormat="1" applyFont="1" applyFill="1" applyAlignment="1" applyProtection="1">
      <alignment horizontal="center" vertical="center"/>
      <protection locked="0"/>
    </xf>
    <xf numFmtId="0" fontId="39" fillId="0" borderId="42"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170" fontId="39" fillId="29" borderId="0" xfId="439" applyNumberFormat="1" applyFont="1" applyFill="1" applyAlignment="1" applyProtection="1">
      <alignment horizontal="center" vertical="center"/>
      <protection locked="0"/>
    </xf>
    <xf numFmtId="0" fontId="39" fillId="78" borderId="71" xfId="0" applyFont="1" applyFill="1" applyBorder="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128" fillId="0" borderId="0" xfId="0" applyFont="1"/>
    <xf numFmtId="0" fontId="0" fillId="0" borderId="44" xfId="0" applyNumberFormat="1" applyFont="1" applyFill="1" applyBorder="1" applyAlignment="1" applyProtection="1">
      <alignment horizontal="left" vertical="center" wrapText="1"/>
    </xf>
    <xf numFmtId="0" fontId="0" fillId="0" borderId="44" xfId="0" applyNumberFormat="1" applyFont="1" applyFill="1" applyBorder="1" applyAlignment="1" applyProtection="1">
      <alignment horizontal="center" vertical="center"/>
    </xf>
    <xf numFmtId="0" fontId="0" fillId="0" borderId="44" xfId="0" applyNumberFormat="1" applyFont="1" applyFill="1" applyBorder="1" applyAlignment="1" applyProtection="1">
      <alignment horizontal="center" vertical="center" wrapText="1"/>
    </xf>
    <xf numFmtId="0" fontId="0" fillId="0" borderId="44" xfId="0" applyFont="1" applyFill="1" applyBorder="1" applyAlignment="1" applyProtection="1">
      <alignment vertical="center" wrapText="1"/>
    </xf>
    <xf numFmtId="0" fontId="0" fillId="0" borderId="44" xfId="0"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4" xfId="0" applyFont="1" applyFill="1" applyBorder="1" applyAlignment="1">
      <alignment horizontal="center" vertical="center"/>
    </xf>
    <xf numFmtId="0" fontId="39" fillId="0" borderId="42" xfId="0" applyFont="1" applyFill="1" applyBorder="1" applyAlignment="1">
      <alignment horizontal="center" vertical="center"/>
    </xf>
    <xf numFmtId="0" fontId="58" fillId="0" borderId="24" xfId="0" applyFont="1" applyFill="1" applyBorder="1" applyAlignment="1">
      <alignment horizontal="center" vertical="center"/>
    </xf>
    <xf numFmtId="0" fontId="49" fillId="0" borderId="24" xfId="0" applyFont="1" applyFill="1" applyBorder="1" applyAlignment="1">
      <alignment horizontal="center" vertical="center" wrapText="1"/>
    </xf>
    <xf numFmtId="0" fontId="57" fillId="0" borderId="24" xfId="0" applyFont="1" applyFill="1" applyBorder="1" applyAlignment="1">
      <alignment horizontal="center" vertical="center"/>
    </xf>
    <xf numFmtId="0" fontId="39" fillId="0" borderId="63"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29" xfId="0" applyNumberFormat="1" applyFont="1" applyFill="1" applyBorder="1" applyAlignment="1" applyProtection="1">
      <alignment horizontal="left" vertical="center" wrapText="1"/>
    </xf>
    <xf numFmtId="39" fontId="56" fillId="0" borderId="44"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4" xfId="0" applyNumberFormat="1" applyFont="1" applyFill="1" applyBorder="1" applyAlignment="1" applyProtection="1">
      <alignment horizontal="left"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37" fontId="39" fillId="0" borderId="44" xfId="439" applyNumberFormat="1" applyFont="1" applyFill="1" applyBorder="1" applyAlignment="1" applyProtection="1">
      <alignment horizontal="center" vertical="center" wrapText="1"/>
    </xf>
    <xf numFmtId="0" fontId="61" fillId="0" borderId="44" xfId="0" applyNumberFormat="1" applyFont="1" applyFill="1" applyBorder="1" applyAlignment="1" applyProtection="1">
      <alignment horizontal="left" vertical="center" wrapText="1"/>
    </xf>
    <xf numFmtId="0" fontId="56" fillId="0" borderId="27" xfId="0" applyNumberFormat="1" applyFont="1" applyFill="1" applyBorder="1" applyAlignment="1" applyProtection="1">
      <alignment horizontal="left" vertical="center" wrapText="1"/>
    </xf>
    <xf numFmtId="0" fontId="39" fillId="0" borderId="44" xfId="0" applyNumberFormat="1" applyFont="1" applyFill="1" applyBorder="1" applyAlignment="1" applyProtection="1">
      <alignment horizontal="center" vertical="center"/>
    </xf>
    <xf numFmtId="164" fontId="56" fillId="0" borderId="44"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2" xfId="0" applyNumberFormat="1" applyFont="1" applyFill="1" applyBorder="1" applyAlignment="1" applyProtection="1">
      <alignment horizontal="lef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3" fontId="56" fillId="0" borderId="44" xfId="439" applyNumberFormat="1" applyFont="1" applyFill="1" applyBorder="1" applyAlignment="1" applyProtection="1">
      <alignment horizontal="center" vertical="center" wrapText="1"/>
    </xf>
    <xf numFmtId="0" fontId="56" fillId="0" borderId="44" xfId="0" applyNumberFormat="1" applyFont="1" applyFill="1" applyBorder="1" applyAlignment="1" applyProtection="1">
      <alignment horizontal="left" vertical="center" wrapText="1"/>
    </xf>
    <xf numFmtId="0" fontId="39" fillId="34" borderId="24" xfId="0" applyNumberFormat="1" applyFont="1" applyFill="1" applyBorder="1" applyAlignment="1" applyProtection="1">
      <alignment horizontal="center" vertical="center"/>
    </xf>
    <xf numFmtId="182" fontId="39" fillId="29" borderId="0" xfId="439" applyNumberFormat="1" applyFont="1" applyFill="1" applyAlignment="1" applyProtection="1">
      <alignment horizontal="center" vertical="center"/>
      <protection locked="0"/>
    </xf>
    <xf numFmtId="0" fontId="56" fillId="78" borderId="24" xfId="0" applyNumberFormat="1" applyFont="1" applyFill="1" applyBorder="1" applyAlignment="1" applyProtection="1">
      <alignment horizontal="left" vertical="center" wrapText="1"/>
    </xf>
    <xf numFmtId="0" fontId="56" fillId="78" borderId="22" xfId="0" applyNumberFormat="1" applyFont="1" applyFill="1" applyBorder="1" applyAlignment="1" applyProtection="1">
      <alignment horizontal="left" vertical="center" wrapText="1"/>
    </xf>
    <xf numFmtId="0" fontId="39" fillId="78" borderId="42" xfId="0" applyNumberFormat="1" applyFont="1" applyFill="1" applyBorder="1" applyAlignment="1" applyProtection="1">
      <alignment horizontal="center" vertical="center"/>
    </xf>
    <xf numFmtId="0" fontId="39" fillId="78" borderId="25" xfId="0" applyNumberFormat="1" applyFont="1" applyFill="1" applyBorder="1" applyAlignment="1" applyProtection="1">
      <alignment horizontal="center" vertical="center"/>
    </xf>
    <xf numFmtId="0" fontId="0" fillId="78" borderId="30" xfId="0" applyFont="1" applyFill="1" applyBorder="1" applyAlignment="1" applyProtection="1">
      <alignment vertical="center" wrapText="1"/>
    </xf>
    <xf numFmtId="0" fontId="39" fillId="78" borderId="24" xfId="0" applyNumberFormat="1" applyFont="1" applyFill="1" applyBorder="1" applyAlignment="1" applyProtection="1">
      <alignment horizontal="center" vertical="center"/>
    </xf>
    <xf numFmtId="0" fontId="0" fillId="78" borderId="22" xfId="0" applyFont="1" applyFill="1" applyBorder="1" applyAlignment="1" applyProtection="1">
      <alignment vertical="center" wrapText="1"/>
    </xf>
    <xf numFmtId="3" fontId="39" fillId="0" borderId="0" xfId="439" applyNumberFormat="1" applyFont="1" applyFill="1" applyAlignment="1" applyProtection="1">
      <alignment horizontal="center" vertical="center" wrapText="1"/>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3" xfId="0" applyNumberFormat="1" applyFont="1" applyFill="1" applyBorder="1" applyAlignment="1" applyProtection="1">
      <alignment horizontal="center" vertical="center"/>
    </xf>
    <xf numFmtId="0" fontId="41" fillId="78"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0" fontId="0" fillId="0" borderId="25" xfId="0" applyNumberFormat="1" applyFont="1" applyFill="1" applyBorder="1" applyAlignment="1" applyProtection="1">
      <alignment horizontal="left" vertical="center" wrapText="1"/>
    </xf>
    <xf numFmtId="0" fontId="0" fillId="0" borderId="30" xfId="0" applyNumberFormat="1" applyFont="1" applyFill="1" applyBorder="1" applyAlignment="1" applyProtection="1">
      <alignment horizontal="left" vertical="center" wrapText="1"/>
    </xf>
    <xf numFmtId="37" fontId="0" fillId="0" borderId="28" xfId="439" applyNumberFormat="1" applyFont="1" applyBorder="1" applyAlignment="1" applyProtection="1">
      <alignment vertical="center"/>
    </xf>
    <xf numFmtId="37" fontId="0" fillId="32" borderId="28" xfId="439" applyNumberFormat="1" applyFont="1" applyFill="1" applyBorder="1" applyAlignment="1" applyProtection="1">
      <alignment vertical="center"/>
    </xf>
    <xf numFmtId="0" fontId="0" fillId="0" borderId="29" xfId="0" applyNumberFormat="1" applyFont="1" applyFill="1" applyBorder="1" applyAlignment="1" applyProtection="1">
      <alignment horizontal="left" vertical="center" wrapText="1"/>
    </xf>
    <xf numFmtId="0" fontId="0" fillId="0" borderId="44" xfId="0" applyFont="1" applyFill="1" applyBorder="1" applyProtection="1"/>
    <xf numFmtId="0" fontId="0" fillId="0" borderId="44" xfId="0" applyFont="1" applyFill="1" applyBorder="1" applyAlignment="1" applyProtection="1">
      <alignment horizontal="center" vertical="center"/>
    </xf>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2" xfId="0" applyNumberFormat="1" applyFont="1" applyFill="1" applyBorder="1" applyAlignment="1" applyProtection="1">
      <alignment horizontal="left" vertical="center" wrapText="1"/>
    </xf>
    <xf numFmtId="37" fontId="0" fillId="23" borderId="27" xfId="439" applyNumberFormat="1" applyFont="1" applyFill="1" applyBorder="1" applyAlignment="1" applyProtection="1">
      <alignment vertical="center"/>
    </xf>
    <xf numFmtId="0" fontId="0" fillId="0" borderId="23" xfId="0" applyNumberFormat="1" applyFont="1" applyFill="1" applyBorder="1" applyAlignment="1" applyProtection="1">
      <alignment horizontal="left" vertical="center" wrapText="1"/>
    </xf>
    <xf numFmtId="0" fontId="0" fillId="22" borderId="44" xfId="0" applyFont="1" applyFill="1" applyBorder="1" applyAlignment="1" applyProtection="1">
      <alignment vertical="center"/>
    </xf>
    <xf numFmtId="37" fontId="0" fillId="0" borderId="26" xfId="439" applyNumberFormat="1" applyFont="1" applyFill="1" applyBorder="1" applyAlignment="1" applyProtection="1">
      <alignment vertical="center"/>
    </xf>
    <xf numFmtId="0" fontId="0" fillId="23" borderId="30" xfId="0" applyNumberFormat="1" applyFont="1" applyFill="1" applyBorder="1" applyAlignment="1" applyProtection="1">
      <alignment horizontal="left" vertical="center" wrapText="1"/>
    </xf>
    <xf numFmtId="0" fontId="0" fillId="34" borderId="24" xfId="0" applyNumberFormat="1" applyFont="1" applyFill="1" applyBorder="1" applyAlignment="1" applyProtection="1">
      <alignment horizontal="left" vertical="center" wrapText="1"/>
    </xf>
    <xf numFmtId="0" fontId="0" fillId="34" borderId="22" xfId="0" applyNumberFormat="1" applyFont="1" applyFill="1" applyBorder="1" applyAlignment="1" applyProtection="1">
      <alignment horizontal="left" vertical="center" wrapText="1"/>
    </xf>
    <xf numFmtId="37" fontId="0" fillId="34" borderId="28" xfId="439" applyNumberFormat="1" applyFont="1" applyFill="1" applyBorder="1" applyAlignment="1" applyProtection="1">
      <alignment vertical="center"/>
    </xf>
    <xf numFmtId="3" fontId="44" fillId="0" borderId="22" xfId="1540" applyFont="1" applyFill="1" applyBorder="1" applyAlignment="1" applyProtection="1">
      <alignment vertical="center" wrapText="1"/>
    </xf>
    <xf numFmtId="38" fontId="0" fillId="0" borderId="44"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3" xfId="0" applyNumberFormat="1" applyFont="1" applyFill="1" applyBorder="1" applyAlignment="1" applyProtection="1">
      <alignment horizontal="left" vertical="center" wrapText="1"/>
    </xf>
    <xf numFmtId="37" fontId="0" fillId="0" borderId="27"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4" xfId="0" applyNumberFormat="1" applyFont="1" applyFill="1" applyBorder="1" applyAlignment="1" applyProtection="1">
      <alignment horizontal="left" vertical="center" wrapText="1"/>
    </xf>
    <xf numFmtId="0" fontId="0" fillId="0" borderId="0" xfId="0" applyFont="1" applyBorder="1" applyProtection="1"/>
    <xf numFmtId="0" fontId="0" fillId="0" borderId="24"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7" xfId="439" applyNumberFormat="1" applyFont="1" applyFill="1" applyBorder="1" applyAlignment="1" applyProtection="1">
      <alignment horizontal="center" vertical="center" wrapText="1"/>
    </xf>
    <xf numFmtId="0" fontId="0" fillId="0" borderId="22" xfId="0" applyFont="1" applyFill="1" applyBorder="1" applyAlignment="1">
      <alignment vertical="center" wrapText="1"/>
    </xf>
    <xf numFmtId="39" fontId="130" fillId="76" borderId="62" xfId="1562" applyNumberFormat="1" applyFont="1" applyFill="1" applyBorder="1" applyAlignment="1">
      <alignment horizontal="center" vertical="center" wrapText="1"/>
    </xf>
    <xf numFmtId="0" fontId="0" fillId="23" borderId="24"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7" xfId="439" applyNumberFormat="1" applyFont="1" applyFill="1" applyBorder="1" applyAlignment="1" applyProtection="1">
      <alignment vertical="center"/>
    </xf>
    <xf numFmtId="0" fontId="0" fillId="78" borderId="24" xfId="0" applyNumberFormat="1" applyFont="1" applyFill="1" applyBorder="1" applyAlignment="1" applyProtection="1">
      <alignment horizontal="left" vertical="center" wrapText="1"/>
    </xf>
    <xf numFmtId="0" fontId="130" fillId="78" borderId="0" xfId="0" applyFont="1" applyFill="1" applyAlignment="1" applyProtection="1">
      <alignment horizontal="left" vertical="center" wrapText="1"/>
    </xf>
    <xf numFmtId="164" fontId="0" fillId="78" borderId="22" xfId="439" applyNumberFormat="1" applyFont="1" applyFill="1" applyBorder="1" applyAlignment="1" applyProtection="1">
      <alignment horizontal="center" vertical="center" wrapText="1"/>
    </xf>
    <xf numFmtId="0" fontId="0" fillId="78" borderId="23" xfId="0" quotePrefix="1" applyNumberFormat="1" applyFont="1" applyFill="1" applyBorder="1" applyAlignment="1" applyProtection="1">
      <alignment horizontal="center" vertical="center" wrapText="1"/>
    </xf>
    <xf numFmtId="0" fontId="0" fillId="78" borderId="22" xfId="0" applyFont="1" applyFill="1" applyBorder="1" applyAlignment="1">
      <alignment vertical="center" wrapText="1"/>
    </xf>
    <xf numFmtId="37" fontId="0" fillId="78" borderId="28" xfId="439" applyNumberFormat="1" applyFont="1" applyFill="1" applyBorder="1" applyAlignment="1" applyProtection="1">
      <alignment vertical="center"/>
    </xf>
    <xf numFmtId="0" fontId="56"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4" fillId="78" borderId="0" xfId="0" applyFont="1" applyFill="1" applyAlignment="1" applyProtection="1">
      <alignment horizontal="left"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37" fontId="0" fillId="78" borderId="27" xfId="439" applyNumberFormat="1" applyFont="1" applyFill="1" applyBorder="1" applyAlignment="1" applyProtection="1">
      <alignment vertical="center"/>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39" fontId="0" fillId="78" borderId="27" xfId="439"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4" xfId="0" applyFont="1" applyFill="1" applyBorder="1" applyAlignment="1">
      <alignment vertical="center" wrapText="1"/>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4" borderId="22" xfId="0" applyNumberFormat="1" applyFont="1" applyFill="1" applyBorder="1" applyAlignment="1" applyProtection="1">
      <alignment horizontal="left" vertical="center" wrapText="1"/>
    </xf>
    <xf numFmtId="49" fontId="0" fillId="74" borderId="64"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4" xfId="439" applyNumberFormat="1" applyFont="1" applyFill="1" applyBorder="1" applyAlignment="1" applyProtection="1">
      <alignment horizontal="center" vertical="center"/>
    </xf>
    <xf numFmtId="49" fontId="0" fillId="31" borderId="0" xfId="0" applyNumberFormat="1" applyFont="1" applyFill="1" applyAlignment="1" applyProtection="1">
      <alignment horizontal="center"/>
    </xf>
    <xf numFmtId="41" fontId="0" fillId="0" borderId="65" xfId="0" applyNumberFormat="1" applyFont="1" applyFill="1" applyBorder="1" applyAlignment="1">
      <alignment horizontal="center" vertical="center" wrapText="1"/>
    </xf>
    <xf numFmtId="0" fontId="0" fillId="31" borderId="22" xfId="0" applyNumberFormat="1" applyFont="1" applyFill="1" applyBorder="1" applyAlignment="1" applyProtection="1">
      <alignment horizontal="left" vertical="center" wrapText="1"/>
    </xf>
    <xf numFmtId="49" fontId="0" fillId="31" borderId="63"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3" xfId="439" applyNumberFormat="1" applyFont="1" applyFill="1" applyBorder="1" applyAlignment="1" applyProtection="1">
      <alignment horizontal="center" vertical="center"/>
    </xf>
    <xf numFmtId="41" fontId="0" fillId="78" borderId="0" xfId="0" applyNumberFormat="1" applyFont="1" applyFill="1" applyBorder="1" applyAlignment="1">
      <alignment horizontal="center" vertical="center" wrapText="1"/>
    </xf>
    <xf numFmtId="14" fontId="0" fillId="78" borderId="63" xfId="439" applyNumberFormat="1" applyFont="1" applyFill="1" applyBorder="1" applyAlignment="1" applyProtection="1">
      <alignment horizontal="center" vertical="center"/>
    </xf>
    <xf numFmtId="169" fontId="0" fillId="74" borderId="64"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8"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1"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1" xfId="0" applyFont="1" applyFill="1" applyBorder="1" applyAlignment="1">
      <alignment vertical="center" wrapText="1"/>
    </xf>
    <xf numFmtId="0" fontId="61" fillId="0" borderId="61"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9"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164" fontId="0" fillId="0" borderId="0" xfId="0" applyNumberFormat="1" applyFont="1" applyFill="1" applyAlignment="1" applyProtection="1">
      <alignment wrapText="1"/>
      <protection locked="0"/>
    </xf>
    <xf numFmtId="41" fontId="68" fillId="0" borderId="0" xfId="439" applyNumberFormat="1" applyFont="1" applyFill="1" applyAlignment="1" applyProtection="1">
      <alignment wrapText="1"/>
    </xf>
    <xf numFmtId="37" fontId="0" fillId="29" borderId="0" xfId="439" applyNumberFormat="1" applyFont="1" applyFill="1" applyAlignment="1" applyProtection="1">
      <alignment horizontal="center" vertical="center"/>
      <protection locked="0"/>
    </xf>
    <xf numFmtId="41" fontId="68" fillId="0" borderId="0" xfId="0" applyNumberFormat="1" applyFont="1" applyFill="1" applyAlignment="1" applyProtection="1">
      <alignment wrapText="1"/>
    </xf>
    <xf numFmtId="41" fontId="69" fillId="0" borderId="44" xfId="0" applyNumberFormat="1" applyFont="1" applyFill="1" applyBorder="1" applyAlignment="1" applyProtection="1">
      <alignment wrapText="1"/>
    </xf>
    <xf numFmtId="41" fontId="69" fillId="0" borderId="44" xfId="0" applyNumberFormat="1" applyFont="1" applyBorder="1" applyAlignment="1">
      <alignment wrapText="1"/>
    </xf>
    <xf numFmtId="41" fontId="69" fillId="0" borderId="0" xfId="0" applyNumberFormat="1" applyFont="1" applyFill="1" applyAlignment="1">
      <alignment wrapText="1"/>
    </xf>
    <xf numFmtId="41" fontId="69" fillId="0" borderId="0" xfId="0" applyNumberFormat="1" applyFont="1" applyAlignment="1">
      <alignment wrapText="1"/>
    </xf>
    <xf numFmtId="3" fontId="0" fillId="28" borderId="0" xfId="439" applyNumberFormat="1" applyFont="1" applyFill="1" applyAlignment="1" applyProtection="1">
      <alignment horizontal="center" vertical="center"/>
      <protection locked="0"/>
    </xf>
    <xf numFmtId="0" fontId="0" fillId="0" borderId="44"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164" fontId="0" fillId="28" borderId="0" xfId="439" applyNumberFormat="1" applyFont="1" applyFill="1" applyProtection="1"/>
    <xf numFmtId="0" fontId="0" fillId="32" borderId="0" xfId="0" applyFont="1" applyFill="1" applyProtection="1"/>
    <xf numFmtId="3" fontId="0" fillId="28" borderId="0" xfId="439" applyNumberFormat="1" applyFont="1" applyFill="1" applyAlignment="1" applyProtection="1">
      <alignment horizontal="center" vertical="center"/>
    </xf>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0" fontId="0" fillId="0" borderId="21" xfId="0" applyFont="1" applyFill="1" applyBorder="1"/>
    <xf numFmtId="0" fontId="0" fillId="0" borderId="0" xfId="0" applyFont="1" applyBorder="1"/>
    <xf numFmtId="0" fontId="0" fillId="0" borderId="55"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6" xfId="0" applyFont="1" applyFill="1" applyBorder="1" applyAlignment="1">
      <alignment horizontal="center" vertical="center" wrapText="1"/>
    </xf>
    <xf numFmtId="0" fontId="39" fillId="31" borderId="38" xfId="0" applyFont="1" applyFill="1" applyBorder="1" applyAlignment="1">
      <alignment horizontal="center" vertical="center" wrapText="1"/>
    </xf>
    <xf numFmtId="41" fontId="68"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37" fillId="0" borderId="0" xfId="0" applyNumberFormat="1" applyFont="1" applyFill="1" applyAlignment="1" applyProtection="1">
      <alignment horizontal="left" vertical="center" wrapText="1"/>
    </xf>
    <xf numFmtId="0" fontId="137" fillId="0" borderId="0" xfId="0" applyFont="1" applyFill="1" applyAlignment="1" applyProtection="1">
      <alignment horizontal="left" vertical="center" wrapText="1"/>
    </xf>
    <xf numFmtId="0" fontId="44" fillId="0" borderId="0" xfId="0" applyNumberFormat="1" applyFont="1" applyFill="1" applyAlignment="1" applyProtection="1">
      <alignment vertical="center" wrapText="1"/>
    </xf>
    <xf numFmtId="0" fontId="0" fillId="0" borderId="44"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3" fontId="144" fillId="0" borderId="0" xfId="1540" applyFont="1" applyFill="1" applyAlignment="1" applyProtection="1">
      <alignment vertical="center" wrapText="1"/>
    </xf>
    <xf numFmtId="0" fontId="57"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0"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69" fillId="74" borderId="0" xfId="0" applyFont="1" applyFill="1" applyAlignment="1" applyProtection="1"/>
    <xf numFmtId="0" fontId="39" fillId="74" borderId="0" xfId="0" applyFont="1" applyFill="1" applyAlignment="1" applyProtection="1">
      <alignment horizontal="center" vertical="center" wrapText="1"/>
      <protection locked="0"/>
    </xf>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1" fillId="74" borderId="0" xfId="0" applyFont="1" applyFill="1" applyAlignment="1" applyProtection="1">
      <alignment horizontal="left" vertical="center"/>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8"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4" fillId="74" borderId="0" xfId="439" applyNumberFormat="1" applyFont="1" applyFill="1" applyProtection="1"/>
    <xf numFmtId="0" fontId="146"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147" fillId="74" borderId="0" xfId="0" applyFont="1" applyFill="1" applyAlignment="1" applyProtection="1">
      <alignment horizontal="left" vertical="center"/>
    </xf>
    <xf numFmtId="0" fontId="80" fillId="74" borderId="0" xfId="0" applyFont="1" applyFill="1" applyAlignment="1" applyProtection="1">
      <alignment vertical="center"/>
    </xf>
    <xf numFmtId="0" fontId="148" fillId="74" borderId="0" xfId="0" applyFont="1" applyFill="1" applyAlignment="1" applyProtection="1">
      <alignment vertical="center"/>
      <protection locked="0"/>
    </xf>
    <xf numFmtId="0" fontId="57" fillId="74" borderId="0" xfId="0" applyFont="1" applyFill="1" applyAlignment="1">
      <alignment vertical="center" wrapText="1"/>
    </xf>
    <xf numFmtId="41" fontId="149"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0" fontId="0" fillId="0" borderId="69" xfId="0" applyBorder="1"/>
    <xf numFmtId="0" fontId="0" fillId="0" borderId="79" xfId="0" applyBorder="1"/>
    <xf numFmtId="0" fontId="49" fillId="78" borderId="56" xfId="0" applyFont="1" applyFill="1" applyBorder="1" applyAlignment="1">
      <alignment horizontal="center" wrapText="1"/>
    </xf>
    <xf numFmtId="0" fontId="0" fillId="0" borderId="56" xfId="0" applyBorder="1" applyAlignment="1">
      <alignment horizontal="center" vertical="center" wrapText="1"/>
    </xf>
    <xf numFmtId="0" fontId="0" fillId="78" borderId="56" xfId="0" applyFill="1" applyBorder="1" applyAlignment="1">
      <alignment vertical="center" wrapText="1"/>
    </xf>
    <xf numFmtId="0" fontId="57" fillId="78" borderId="11" xfId="0" applyFont="1" applyFill="1" applyBorder="1" applyAlignment="1">
      <alignment horizontal="center" vertical="center" wrapText="1"/>
    </xf>
    <xf numFmtId="2" fontId="0" fillId="0" borderId="0" xfId="0" applyNumberFormat="1"/>
    <xf numFmtId="168" fontId="0" fillId="0" borderId="69" xfId="0" applyNumberFormat="1" applyBorder="1"/>
    <xf numFmtId="2" fontId="0" fillId="0" borderId="40" xfId="0" applyNumberFormat="1" applyBorder="1" applyAlignment="1">
      <alignment horizontal="center"/>
    </xf>
    <xf numFmtId="2" fontId="0" fillId="0" borderId="41" xfId="0" applyNumberFormat="1" applyBorder="1" applyAlignment="1">
      <alignment horizontal="center"/>
    </xf>
    <xf numFmtId="0" fontId="39" fillId="0" borderId="66" xfId="0" applyFont="1" applyBorder="1" applyAlignment="1">
      <alignment horizontal="center"/>
    </xf>
    <xf numFmtId="0" fontId="0" fillId="0" borderId="56" xfId="0" applyBorder="1" applyAlignment="1">
      <alignment horizontal="center" wrapText="1"/>
    </xf>
    <xf numFmtId="0" fontId="39" fillId="0" borderId="56" xfId="0" applyFont="1" applyBorder="1" applyAlignment="1">
      <alignment horizontal="center"/>
    </xf>
    <xf numFmtId="0" fontId="39" fillId="78" borderId="66" xfId="0" applyFont="1" applyFill="1" applyBorder="1" applyAlignment="1">
      <alignment horizontal="center"/>
    </xf>
    <xf numFmtId="0" fontId="0" fillId="78" borderId="56" xfId="0" applyFill="1" applyBorder="1"/>
    <xf numFmtId="0" fontId="0" fillId="78" borderId="56" xfId="0" applyFill="1" applyBorder="1" applyAlignment="1">
      <alignment horizontal="center"/>
    </xf>
    <xf numFmtId="0" fontId="0" fillId="0" borderId="72" xfId="0" applyBorder="1"/>
    <xf numFmtId="0" fontId="0" fillId="0" borderId="77" xfId="0" applyBorder="1"/>
    <xf numFmtId="0" fontId="57" fillId="78" borderId="56" xfId="0" applyFont="1" applyFill="1" applyBorder="1" applyAlignment="1">
      <alignment horizontal="center" vertical="center" wrapText="1"/>
    </xf>
    <xf numFmtId="0" fontId="57" fillId="78" borderId="56" xfId="0" applyFont="1" applyFill="1" applyBorder="1" applyAlignment="1">
      <alignment horizontal="center" wrapText="1"/>
    </xf>
    <xf numFmtId="0" fontId="37" fillId="78" borderId="56" xfId="0" applyFont="1" applyFill="1" applyBorder="1" applyAlignment="1">
      <alignment vertical="center" wrapText="1"/>
    </xf>
    <xf numFmtId="0" fontId="45" fillId="78" borderId="56" xfId="0" applyFont="1" applyFill="1" applyBorder="1" applyAlignment="1">
      <alignment vertical="center" wrapText="1"/>
    </xf>
    <xf numFmtId="10" fontId="0" fillId="78" borderId="16" xfId="4688" applyNumberFormat="1" applyFont="1" applyFill="1" applyBorder="1" applyAlignment="1">
      <alignment horizontal="center"/>
    </xf>
    <xf numFmtId="0" fontId="0" fillId="78" borderId="16" xfId="0" applyFill="1" applyBorder="1" applyAlignment="1">
      <alignment horizontal="center" wrapText="1"/>
    </xf>
    <xf numFmtId="10" fontId="0" fillId="78" borderId="16" xfId="0" applyNumberFormat="1" applyFill="1" applyBorder="1" applyAlignment="1">
      <alignment horizontal="center"/>
    </xf>
    <xf numFmtId="0" fontId="0" fillId="78" borderId="56" xfId="0" applyFill="1" applyBorder="1" applyAlignment="1">
      <alignment vertical="center"/>
    </xf>
    <xf numFmtId="0" fontId="37" fillId="78" borderId="56" xfId="0" applyFont="1" applyFill="1" applyBorder="1" applyAlignment="1">
      <alignment horizontal="left" vertical="center" wrapText="1"/>
    </xf>
    <xf numFmtId="0" fontId="37" fillId="78" borderId="56" xfId="0" applyFont="1" applyFill="1" applyBorder="1" applyAlignment="1">
      <alignment horizontal="justify" vertical="center"/>
    </xf>
    <xf numFmtId="0" fontId="45" fillId="78" borderId="56" xfId="0" applyFont="1" applyFill="1" applyBorder="1" applyAlignment="1">
      <alignment horizontal="center" vertical="center" wrapText="1"/>
    </xf>
    <xf numFmtId="0" fontId="45" fillId="78" borderId="13" xfId="0" applyFont="1" applyFill="1" applyBorder="1" applyAlignment="1">
      <alignment vertical="center" wrapText="1"/>
    </xf>
    <xf numFmtId="0" fontId="40" fillId="78" borderId="13" xfId="0" applyFont="1" applyFill="1" applyBorder="1" applyAlignment="1">
      <alignment horizontal="center" vertical="center"/>
    </xf>
    <xf numFmtId="0" fontId="45" fillId="78" borderId="13" xfId="0" applyFont="1" applyFill="1" applyBorder="1" applyAlignment="1">
      <alignment vertical="center"/>
    </xf>
    <xf numFmtId="0" fontId="0" fillId="0" borderId="56" xfId="0" applyBorder="1"/>
    <xf numFmtId="0" fontId="45" fillId="78" borderId="16" xfId="0" applyFont="1" applyFill="1" applyBorder="1" applyAlignment="1">
      <alignment vertical="center" wrapText="1"/>
    </xf>
    <xf numFmtId="0" fontId="0" fillId="78" borderId="11" xfId="0" applyFill="1" applyBorder="1" applyAlignment="1">
      <alignment vertical="center" wrapText="1"/>
    </xf>
    <xf numFmtId="4" fontId="0" fillId="0" borderId="56" xfId="4688" applyNumberFormat="1" applyFont="1" applyFill="1" applyBorder="1" applyAlignment="1">
      <alignment horizontal="center"/>
    </xf>
    <xf numFmtId="4" fontId="0" fillId="0" borderId="56" xfId="0" applyNumberFormat="1" applyBorder="1" applyAlignment="1">
      <alignment horizontal="center"/>
    </xf>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54" fillId="77" borderId="56" xfId="0" applyFont="1" applyFill="1" applyBorder="1" applyAlignment="1">
      <alignment horizontal="center" vertical="center" wrapText="1"/>
    </xf>
    <xf numFmtId="0" fontId="151" fillId="0" borderId="0" xfId="0" applyFont="1"/>
    <xf numFmtId="0" fontId="155" fillId="73" borderId="0" xfId="0" applyFont="1" applyFill="1" applyAlignment="1">
      <alignment horizontal="justify" vertical="center"/>
    </xf>
    <xf numFmtId="0" fontId="155" fillId="73" borderId="0" xfId="0" applyFont="1" applyFill="1" applyAlignment="1">
      <alignment vertical="center"/>
    </xf>
    <xf numFmtId="0" fontId="0" fillId="0" borderId="0" xfId="0" applyAlignment="1">
      <alignment vertical="center"/>
    </xf>
    <xf numFmtId="0" fontId="155" fillId="73" borderId="0" xfId="0" applyFont="1" applyFill="1" applyAlignment="1">
      <alignment vertical="center" wrapText="1"/>
    </xf>
    <xf numFmtId="0" fontId="159" fillId="73" borderId="0" xfId="611" applyFont="1" applyFill="1" applyAlignment="1">
      <alignment vertical="center"/>
    </xf>
    <xf numFmtId="0" fontId="160" fillId="73" borderId="0" xfId="0" applyFont="1" applyFill="1" applyAlignment="1">
      <alignment vertical="center"/>
    </xf>
    <xf numFmtId="0" fontId="161" fillId="73" borderId="0" xfId="611" applyFont="1" applyFill="1" applyAlignment="1" applyProtection="1">
      <alignment vertical="center"/>
      <protection locked="0"/>
    </xf>
    <xf numFmtId="0" fontId="160" fillId="73" borderId="0" xfId="0" applyFont="1" applyFill="1"/>
    <xf numFmtId="0" fontId="161" fillId="73" borderId="0" xfId="611" applyFont="1" applyFill="1" applyProtection="1">
      <protection locked="0"/>
    </xf>
    <xf numFmtId="0" fontId="116" fillId="73" borderId="0" xfId="30098" quotePrefix="1" applyFont="1" applyFill="1" applyAlignment="1">
      <alignment horizontal="left" vertical="center" wrapText="1" indent="1"/>
    </xf>
    <xf numFmtId="0" fontId="164" fillId="73" borderId="0" xfId="30098" applyFont="1" applyFill="1" applyAlignment="1">
      <alignment vertical="center" wrapText="1"/>
    </xf>
    <xf numFmtId="0" fontId="35" fillId="0" borderId="0" xfId="611"/>
    <xf numFmtId="0" fontId="155" fillId="73" borderId="0" xfId="30098" applyFont="1" applyFill="1" applyAlignment="1">
      <alignment vertical="center" wrapText="1"/>
    </xf>
    <xf numFmtId="0" fontId="161" fillId="73" borderId="0" xfId="611" applyFont="1" applyFill="1" applyAlignment="1">
      <alignment vertical="center"/>
    </xf>
    <xf numFmtId="38" fontId="0" fillId="0" borderId="0" xfId="0" applyNumberFormat="1" applyFont="1" applyFill="1" applyProtection="1"/>
    <xf numFmtId="0" fontId="0" fillId="79" borderId="24" xfId="0" applyNumberFormat="1" applyFont="1" applyFill="1" applyBorder="1" applyAlignment="1" applyProtection="1">
      <alignment horizontal="left" vertical="center" wrapText="1"/>
    </xf>
    <xf numFmtId="164" fontId="49" fillId="34" borderId="0" xfId="0" applyNumberFormat="1" applyFont="1" applyFill="1" applyAlignment="1" applyProtection="1">
      <alignment wrapText="1"/>
    </xf>
    <xf numFmtId="1" fontId="0" fillId="0" borderId="0" xfId="0" applyNumberFormat="1" applyFont="1" applyFill="1" applyAlignment="1" applyProtection="1">
      <alignment horizontal="center" vertical="center"/>
    </xf>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0" borderId="0" xfId="0" applyFill="1" applyAlignment="1">
      <alignment horizontal="center"/>
    </xf>
    <xf numFmtId="0" fontId="0" fillId="0" borderId="0" xfId="0" applyFill="1"/>
    <xf numFmtId="0" fontId="0" fillId="80" borderId="0" xfId="0" applyFill="1" applyAlignment="1">
      <alignment horizontal="center"/>
    </xf>
    <xf numFmtId="0" fontId="0" fillId="80" borderId="0" xfId="0" applyFill="1"/>
    <xf numFmtId="0" fontId="0" fillId="80" borderId="0" xfId="0" applyNumberFormat="1" applyFont="1" applyFill="1" applyAlignment="1" applyProtection="1">
      <alignment horizontal="center" vertical="center"/>
    </xf>
    <xf numFmtId="0" fontId="0" fillId="80" borderId="44" xfId="0" applyNumberFormat="1" applyFont="1" applyFill="1" applyBorder="1" applyAlignment="1" applyProtection="1">
      <alignment horizontal="center" vertical="center" wrapText="1"/>
    </xf>
    <xf numFmtId="0" fontId="0" fillId="26" borderId="0" xfId="0" applyFill="1" applyAlignment="1">
      <alignment horizontal="center"/>
    </xf>
    <xf numFmtId="0" fontId="0" fillId="81" borderId="0" xfId="0" applyFill="1"/>
    <xf numFmtId="38" fontId="44" fillId="22" borderId="44" xfId="439" applyNumberFormat="1" applyFont="1" applyFill="1" applyBorder="1" applyAlignment="1" applyProtection="1">
      <alignment horizontal="center" vertical="center" wrapText="1"/>
    </xf>
    <xf numFmtId="4" fontId="0" fillId="0" borderId="0" xfId="0" applyNumberFormat="1"/>
    <xf numFmtId="183" fontId="0" fillId="0" borderId="0" xfId="439" applyNumberFormat="1" applyFont="1" applyProtection="1"/>
    <xf numFmtId="43" fontId="0" fillId="0" borderId="0" xfId="0" applyNumberFormat="1" applyFont="1" applyProtection="1"/>
    <xf numFmtId="184" fontId="41" fillId="31" borderId="65" xfId="0" applyNumberFormat="1" applyFont="1" applyFill="1" applyBorder="1" applyAlignment="1">
      <alignment wrapText="1"/>
    </xf>
    <xf numFmtId="184" fontId="56" fillId="0" borderId="27" xfId="439" applyNumberFormat="1" applyFont="1" applyFill="1" applyBorder="1" applyAlignment="1" applyProtection="1">
      <alignment horizontal="center" vertical="center" wrapText="1"/>
    </xf>
    <xf numFmtId="0" fontId="0" fillId="0" borderId="13" xfId="0" applyBorder="1"/>
    <xf numFmtId="0" fontId="0" fillId="0" borderId="39" xfId="0" applyBorder="1"/>
    <xf numFmtId="0" fontId="0" fillId="0" borderId="66" xfId="0" applyBorder="1"/>
    <xf numFmtId="0" fontId="0" fillId="0" borderId="80" xfId="0" applyBorder="1"/>
    <xf numFmtId="0" fontId="153" fillId="0" borderId="67" xfId="0" applyFont="1" applyBorder="1" applyAlignment="1">
      <alignment horizontal="center" vertical="center" wrapText="1"/>
    </xf>
    <xf numFmtId="0" fontId="0" fillId="0" borderId="67" xfId="0" applyBorder="1"/>
    <xf numFmtId="0" fontId="153" fillId="0" borderId="13" xfId="0" applyFont="1" applyBorder="1" applyAlignment="1">
      <alignment horizontal="center" vertical="center" wrapText="1"/>
    </xf>
    <xf numFmtId="0" fontId="39" fillId="0" borderId="56" xfId="0" quotePrefix="1" applyFont="1" applyBorder="1" applyAlignment="1">
      <alignment horizontal="center" vertical="center"/>
    </xf>
    <xf numFmtId="0" fontId="0" fillId="0" borderId="67" xfId="0" applyBorder="1" applyAlignment="1">
      <alignment horizontal="center" vertical="center" wrapText="1"/>
    </xf>
    <xf numFmtId="0" fontId="37" fillId="78" borderId="56" xfId="0" applyFont="1" applyFill="1" applyBorder="1" applyAlignment="1">
      <alignment horizontal="justify" vertical="center" wrapText="1"/>
    </xf>
    <xf numFmtId="0" fontId="39" fillId="0" borderId="56" xfId="0" quotePrefix="1" applyFont="1" applyBorder="1" applyAlignment="1">
      <alignment horizontal="center"/>
    </xf>
    <xf numFmtId="0" fontId="165" fillId="78" borderId="11" xfId="0" applyFont="1" applyFill="1" applyBorder="1" applyAlignment="1">
      <alignment horizontal="justify" vertical="center" wrapText="1"/>
    </xf>
    <xf numFmtId="0" fontId="39" fillId="0" borderId="40" xfId="0" applyFont="1" applyBorder="1" applyAlignment="1">
      <alignment vertical="center" wrapText="1"/>
    </xf>
    <xf numFmtId="0" fontId="39" fillId="0" borderId="37" xfId="0" applyFont="1" applyBorder="1" applyAlignment="1">
      <alignment vertical="center" wrapText="1"/>
    </xf>
    <xf numFmtId="5" fontId="0" fillId="0" borderId="56" xfId="0" applyNumberFormat="1" applyBorder="1" applyAlignment="1">
      <alignment horizontal="center" vertical="center"/>
    </xf>
    <xf numFmtId="10" fontId="0" fillId="0" borderId="56" xfId="4688" applyNumberFormat="1" applyFont="1" applyFill="1" applyBorder="1" applyAlignment="1">
      <alignment horizontal="center" vertical="center"/>
    </xf>
    <xf numFmtId="10" fontId="0" fillId="0" borderId="56" xfId="0" applyNumberFormat="1" applyBorder="1" applyAlignment="1">
      <alignment horizontal="center" vertical="center"/>
    </xf>
    <xf numFmtId="0" fontId="39" fillId="78" borderId="11" xfId="0" applyFont="1" applyFill="1" applyBorder="1" applyAlignment="1">
      <alignment horizontal="justify" vertical="center" wrapText="1"/>
    </xf>
    <xf numFmtId="37" fontId="0" fillId="0" borderId="56" xfId="0" applyNumberFormat="1" applyBorder="1" applyAlignment="1">
      <alignment horizontal="center" vertical="center" wrapText="1"/>
    </xf>
    <xf numFmtId="0" fontId="39" fillId="0" borderId="11" xfId="0" applyFont="1" applyBorder="1" applyAlignment="1">
      <alignment vertical="center" wrapText="1"/>
    </xf>
    <xf numFmtId="0" fontId="45" fillId="78" borderId="13" xfId="0" applyFont="1" applyFill="1" applyBorder="1" applyAlignment="1">
      <alignment horizontal="center" vertical="center" wrapText="1"/>
    </xf>
    <xf numFmtId="0" fontId="39" fillId="78" borderId="16" xfId="0" applyFont="1" applyFill="1" applyBorder="1" applyAlignment="1">
      <alignment vertical="center" wrapText="1"/>
    </xf>
    <xf numFmtId="0" fontId="39" fillId="78" borderId="56" xfId="0" applyFont="1" applyFill="1" applyBorder="1" applyAlignment="1">
      <alignment horizontal="center" wrapText="1"/>
    </xf>
    <xf numFmtId="0" fontId="0" fillId="78" borderId="81" xfId="0" applyFill="1" applyBorder="1"/>
    <xf numFmtId="49" fontId="39" fillId="0" borderId="56" xfId="0" quotePrefix="1" applyNumberFormat="1" applyFont="1" applyBorder="1" applyAlignment="1">
      <alignment horizontal="center" vertical="center"/>
    </xf>
    <xf numFmtId="0" fontId="39" fillId="0" borderId="56" xfId="0" applyFont="1" applyBorder="1" applyAlignment="1">
      <alignment horizontal="center" vertical="center"/>
    </xf>
    <xf numFmtId="0" fontId="39" fillId="78" borderId="11" xfId="0" applyFont="1" applyFill="1" applyBorder="1" applyAlignment="1">
      <alignment horizontal="left" vertical="center" wrapText="1"/>
    </xf>
    <xf numFmtId="0" fontId="0" fillId="1" borderId="56" xfId="0" applyFill="1" applyBorder="1" applyAlignment="1">
      <alignment horizontal="center" vertical="center" wrapText="1"/>
    </xf>
    <xf numFmtId="37" fontId="0" fillId="0" borderId="56" xfId="0" applyNumberFormat="1" applyBorder="1" applyAlignment="1">
      <alignment horizontal="center" vertical="center"/>
    </xf>
    <xf numFmtId="0" fontId="39" fillId="0" borderId="77" xfId="0" applyFont="1" applyBorder="1" applyAlignment="1">
      <alignment horizontal="center" vertical="center"/>
    </xf>
    <xf numFmtId="10" fontId="44" fillId="0" borderId="0" xfId="4688" applyNumberFormat="1" applyFont="1"/>
    <xf numFmtId="0" fontId="44" fillId="0" borderId="83" xfId="0" applyFont="1" applyBorder="1"/>
    <xf numFmtId="0" fontId="44" fillId="0" borderId="0" xfId="0" applyFont="1"/>
    <xf numFmtId="0" fontId="44" fillId="0" borderId="68" xfId="0" applyFont="1" applyBorder="1"/>
    <xf numFmtId="0" fontId="44" fillId="0" borderId="69" xfId="0" applyFont="1" applyBorder="1"/>
    <xf numFmtId="0" fontId="167" fillId="0" borderId="0" xfId="0" applyFont="1" applyAlignment="1">
      <alignment vertical="center" wrapText="1"/>
    </xf>
    <xf numFmtId="0" fontId="44" fillId="0" borderId="78" xfId="0" applyFont="1" applyBorder="1" applyAlignment="1">
      <alignment wrapText="1"/>
    </xf>
    <xf numFmtId="1" fontId="44" fillId="0" borderId="0" xfId="0" applyNumberFormat="1" applyFont="1"/>
    <xf numFmtId="0" fontId="44" fillId="0" borderId="76" xfId="0" applyFont="1" applyBorder="1"/>
    <xf numFmtId="2" fontId="44" fillId="0" borderId="0" xfId="4688" applyNumberFormat="1" applyFont="1"/>
    <xf numFmtId="2" fontId="44" fillId="0" borderId="0" xfId="0" applyNumberFormat="1" applyFont="1"/>
    <xf numFmtId="168" fontId="44" fillId="0" borderId="0" xfId="0" applyNumberFormat="1" applyFont="1"/>
    <xf numFmtId="168" fontId="44" fillId="0" borderId="68" xfId="0" applyNumberFormat="1" applyFont="1" applyBorder="1"/>
    <xf numFmtId="168" fontId="44" fillId="0" borderId="69" xfId="0" applyNumberFormat="1" applyFont="1" applyBorder="1"/>
    <xf numFmtId="164" fontId="44" fillId="0" borderId="0" xfId="439" applyNumberFormat="1" applyFont="1"/>
    <xf numFmtId="10" fontId="44" fillId="0" borderId="0" xfId="4688" applyNumberFormat="1" applyFont="1" applyFill="1" applyBorder="1"/>
    <xf numFmtId="0" fontId="44" fillId="0" borderId="0" xfId="0" applyFont="1" applyAlignment="1">
      <alignment wrapText="1"/>
    </xf>
    <xf numFmtId="39" fontId="44" fillId="0" borderId="0" xfId="0" applyNumberFormat="1" applyFont="1"/>
    <xf numFmtId="2" fontId="44" fillId="0" borderId="0" xfId="439" applyNumberFormat="1" applyFont="1" applyFill="1" applyBorder="1"/>
    <xf numFmtId="167" fontId="44" fillId="0" borderId="0" xfId="545" applyNumberFormat="1" applyFont="1" applyFill="1" applyBorder="1"/>
    <xf numFmtId="0" fontId="44" fillId="0" borderId="0" xfId="4688" applyNumberFormat="1" applyFont="1" applyFill="1" applyBorder="1"/>
    <xf numFmtId="0" fontId="44" fillId="0" borderId="78" xfId="0" applyFont="1" applyBorder="1"/>
    <xf numFmtId="37" fontId="44" fillId="0" borderId="0" xfId="0" applyNumberFormat="1" applyFont="1" applyAlignment="1">
      <alignment horizontal="center"/>
    </xf>
    <xf numFmtId="0" fontId="44" fillId="0" borderId="79" xfId="0" applyFont="1" applyBorder="1"/>
    <xf numFmtId="0" fontId="0" fillId="0" borderId="0" xfId="0" applyFill="1" applyAlignment="1">
      <alignment horizontal="left" vertical="center"/>
    </xf>
    <xf numFmtId="0" fontId="0" fillId="0" borderId="0" xfId="0" applyFill="1" applyAlignment="1">
      <alignment wrapText="1"/>
    </xf>
    <xf numFmtId="0" fontId="168"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80" fillId="0" borderId="40" xfId="0" applyFont="1" applyFill="1" applyBorder="1"/>
    <xf numFmtId="0" fontId="0" fillId="34" borderId="10" xfId="0" applyFill="1" applyBorder="1" applyAlignment="1">
      <alignment horizontal="center" vertical="center"/>
    </xf>
    <xf numFmtId="0" fontId="0" fillId="34" borderId="10" xfId="0" applyFill="1" applyBorder="1" applyAlignment="1">
      <alignment vertical="center" wrapText="1"/>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80" fillId="0" borderId="40" xfId="0" applyFont="1" applyFill="1" applyBorder="1" applyAlignment="1">
      <alignment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44" fillId="0" borderId="44"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4" xfId="0" applyNumberFormat="1" applyFont="1" applyFill="1" applyBorder="1" applyAlignment="1" applyProtection="1">
      <alignment horizontal="center" vertical="center"/>
    </xf>
    <xf numFmtId="0" fontId="0" fillId="32" borderId="44" xfId="0" applyFont="1" applyFill="1" applyBorder="1" applyAlignment="1" applyProtection="1">
      <alignment vertical="center" wrapText="1"/>
    </xf>
    <xf numFmtId="37" fontId="0" fillId="32" borderId="44"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74"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85" xfId="439" applyNumberFormat="1" applyFont="1" applyFill="1" applyBorder="1" applyAlignment="1">
      <alignment vertical="center" wrapText="1"/>
    </xf>
    <xf numFmtId="41" fontId="69" fillId="31" borderId="75" xfId="439" applyNumberFormat="1" applyFont="1" applyFill="1" applyBorder="1" applyAlignment="1">
      <alignment vertical="center" wrapText="1"/>
    </xf>
    <xf numFmtId="6" fontId="0" fillId="0" borderId="56" xfId="0" applyNumberFormat="1" applyBorder="1" applyAlignment="1">
      <alignment horizontal="center" vertical="center"/>
    </xf>
    <xf numFmtId="6" fontId="0" fillId="0" borderId="56" xfId="545" applyNumberFormat="1" applyFont="1" applyFill="1" applyBorder="1" applyAlignment="1">
      <alignment horizontal="center" vertical="center"/>
    </xf>
    <xf numFmtId="49" fontId="0" fillId="36" borderId="0" xfId="0" applyNumberFormat="1" applyFont="1" applyFill="1" applyAlignment="1" applyProtection="1">
      <alignment horizontal="center" vertical="center" wrapText="1"/>
    </xf>
    <xf numFmtId="49" fontId="0" fillId="78" borderId="63" xfId="439" applyNumberFormat="1" applyFont="1" applyFill="1" applyBorder="1" applyAlignment="1" applyProtection="1">
      <alignment horizontal="center" vertical="center" wrapText="1"/>
    </xf>
    <xf numFmtId="49" fontId="39" fillId="29" borderId="0" xfId="439" applyNumberFormat="1" applyFont="1" applyFill="1" applyAlignment="1" applyProtection="1">
      <alignment horizontal="center" vertical="center"/>
      <protection locked="0"/>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49" fontId="39" fillId="29" borderId="0" xfId="439" applyNumberFormat="1" applyFont="1" applyFill="1" applyAlignment="1" applyProtection="1">
      <alignment horizontal="center" vertical="center" wrapText="1"/>
      <protection locked="0"/>
    </xf>
    <xf numFmtId="0" fontId="68" fillId="0" borderId="10" xfId="0" applyFont="1" applyFill="1" applyBorder="1" applyAlignment="1">
      <alignment vertical="center" wrapText="1"/>
    </xf>
    <xf numFmtId="168" fontId="0" fillId="0" borderId="0" xfId="0" applyNumberFormat="1" applyFill="1" applyAlignment="1">
      <alignment wrapText="1"/>
    </xf>
    <xf numFmtId="0" fontId="68" fillId="0" borderId="10" xfId="0" applyFont="1" applyFill="1" applyBorder="1" applyAlignment="1">
      <alignment horizontal="left" vertical="center" wrapText="1"/>
    </xf>
    <xf numFmtId="0" fontId="0" fillId="0" borderId="0" xfId="0" applyFont="1" applyFill="1" applyAlignment="1" applyProtection="1">
      <alignment horizontal="left" vertical="center"/>
    </xf>
    <xf numFmtId="0" fontId="0" fillId="0" borderId="14" xfId="0" applyFont="1" applyFill="1" applyBorder="1" applyAlignment="1" applyProtection="1">
      <alignment horizontal="left" vertical="center"/>
    </xf>
    <xf numFmtId="41" fontId="69" fillId="0" borderId="0" xfId="0" applyNumberFormat="1" applyFont="1" applyFill="1" applyAlignment="1" applyProtection="1">
      <alignment vertical="center" wrapText="1"/>
    </xf>
    <xf numFmtId="14" fontId="123" fillId="29" borderId="10" xfId="31722" applyNumberFormat="1" applyFont="1" applyFill="1" applyBorder="1" applyAlignment="1" applyProtection="1">
      <alignment horizontal="left" vertical="center"/>
      <protection locked="0"/>
    </xf>
    <xf numFmtId="174" fontId="0" fillId="75" borderId="27" xfId="439" applyNumberFormat="1" applyFont="1" applyFill="1" applyBorder="1" applyAlignment="1" applyProtection="1">
      <alignment vertical="center"/>
    </xf>
    <xf numFmtId="2" fontId="56" fillId="0" borderId="22" xfId="439" applyNumberFormat="1" applyFont="1" applyFill="1" applyBorder="1" applyAlignment="1" applyProtection="1">
      <alignment horizontal="center" vertical="center" wrapText="1"/>
    </xf>
    <xf numFmtId="37" fontId="44" fillId="29" borderId="0" xfId="439" applyNumberFormat="1" applyFont="1" applyFill="1" applyAlignment="1" applyProtection="1">
      <alignment horizontal="center" vertical="center" wrapText="1"/>
      <protection locked="0"/>
    </xf>
    <xf numFmtId="0" fontId="69" fillId="0" borderId="0" xfId="0" applyFont="1" applyFill="1" applyAlignment="1" applyProtection="1">
      <alignment horizontal="left" wrapText="1" indent="2"/>
    </xf>
    <xf numFmtId="171" fontId="39" fillId="29" borderId="0" xfId="439" applyNumberFormat="1" applyFont="1" applyFill="1" applyAlignment="1" applyProtection="1">
      <alignment horizontal="center" vertical="center"/>
      <protection locked="0"/>
    </xf>
    <xf numFmtId="174" fontId="44" fillId="75" borderId="28" xfId="439" applyNumberFormat="1" applyFont="1" applyFill="1" applyBorder="1" applyAlignment="1" applyProtection="1">
      <alignment vertical="center"/>
    </xf>
    <xf numFmtId="39" fontId="0" fillId="75" borderId="28" xfId="439" applyNumberFormat="1" applyFont="1" applyFill="1" applyBorder="1" applyAlignment="1" applyProtection="1">
      <alignment vertical="center"/>
    </xf>
    <xf numFmtId="0" fontId="41" fillId="0" borderId="10" xfId="0" applyFont="1" applyBorder="1" applyAlignment="1" applyProtection="1">
      <alignment horizontal="right" wrapText="1"/>
    </xf>
    <xf numFmtId="0" fontId="41" fillId="0" borderId="10" xfId="0" applyFont="1" applyBorder="1" applyAlignment="1" applyProtection="1">
      <alignment horizontal="right" vertical="center" wrapText="1"/>
    </xf>
    <xf numFmtId="39" fontId="0" fillId="0" borderId="10" xfId="0" applyNumberFormat="1" applyBorder="1"/>
    <xf numFmtId="0" fontId="171" fillId="73" borderId="0" xfId="30098" applyFont="1" applyFill="1" applyAlignment="1">
      <alignment vertical="center" wrapText="1"/>
    </xf>
    <xf numFmtId="1" fontId="40" fillId="24" borderId="0" xfId="439" applyNumberFormat="1" applyFont="1" applyFill="1" applyBorder="1" applyAlignment="1" applyProtection="1">
      <alignment horizontal="center" wrapText="1"/>
    </xf>
    <xf numFmtId="0" fontId="44" fillId="0" borderId="44" xfId="0" applyFont="1" applyFill="1" applyBorder="1" applyAlignment="1" applyProtection="1">
      <alignment horizontal="center" vertical="center" wrapText="1"/>
    </xf>
    <xf numFmtId="0" fontId="44" fillId="0"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164" fontId="0" fillId="0" borderId="22" xfId="439" applyNumberFormat="1" applyFont="1" applyFill="1" applyBorder="1" applyAlignment="1" applyProtection="1">
      <alignment horizontal="center" vertical="center" wrapText="1"/>
      <protection locked="0"/>
    </xf>
    <xf numFmtId="0" fontId="61" fillId="0" borderId="0" xfId="0" applyFont="1" applyFill="1" applyAlignment="1" applyProtection="1">
      <alignment horizontal="center" vertical="center" wrapText="1"/>
    </xf>
    <xf numFmtId="0" fontId="39" fillId="0" borderId="36" xfId="0" applyFont="1" applyFill="1" applyBorder="1" applyAlignment="1">
      <alignment horizontal="left" vertical="center"/>
    </xf>
    <xf numFmtId="0" fontId="0" fillId="0" borderId="37" xfId="0" applyFill="1" applyBorder="1"/>
    <xf numFmtId="0" fontId="0" fillId="0" borderId="37" xfId="0" applyFill="1" applyBorder="1" applyAlignment="1">
      <alignment wrapText="1"/>
    </xf>
    <xf numFmtId="0" fontId="0" fillId="29" borderId="70" xfId="0" applyFill="1" applyBorder="1" applyAlignment="1" applyProtection="1">
      <alignment horizontal="center" vertical="center"/>
      <protection locked="0"/>
    </xf>
    <xf numFmtId="14" fontId="0" fillId="29" borderId="70" xfId="0" applyNumberFormat="1" applyFill="1" applyBorder="1" applyAlignment="1" applyProtection="1">
      <alignment horizontal="center" vertical="center"/>
      <protection locked="0"/>
    </xf>
    <xf numFmtId="0" fontId="56" fillId="22" borderId="27" xfId="439" applyNumberFormat="1" applyFont="1" applyFill="1" applyBorder="1" applyAlignment="1" applyProtection="1">
      <alignment horizontal="center" vertical="center" wrapText="1"/>
      <protection locked="0"/>
    </xf>
    <xf numFmtId="14" fontId="0" fillId="36" borderId="10" xfId="0" applyNumberFormat="1" applyFont="1" applyFill="1" applyBorder="1" applyAlignment="1" applyProtection="1">
      <alignment horizontal="center"/>
    </xf>
    <xf numFmtId="0" fontId="0" fillId="31" borderId="65" xfId="0" applyFont="1" applyFill="1" applyBorder="1" applyAlignment="1">
      <alignment horizontal="left"/>
    </xf>
    <xf numFmtId="0" fontId="0" fillId="78" borderId="0" xfId="0" applyFont="1" applyFill="1" applyBorder="1" applyAlignment="1">
      <alignment horizontal="left"/>
    </xf>
    <xf numFmtId="0" fontId="39" fillId="0" borderId="0" xfId="682" applyFont="1" applyAlignment="1">
      <alignment wrapText="1"/>
    </xf>
    <xf numFmtId="0" fontId="0" fillId="0" borderId="0" xfId="682" applyFont="1"/>
    <xf numFmtId="0" fontId="172" fillId="26" borderId="0" xfId="682" applyFont="1" applyFill="1"/>
    <xf numFmtId="0" fontId="39" fillId="26" borderId="17" xfId="0" applyFont="1" applyFill="1" applyBorder="1" applyAlignment="1">
      <alignment horizontal="center" vertical="center"/>
    </xf>
    <xf numFmtId="0" fontId="39" fillId="26" borderId="0" xfId="0" applyFont="1" applyFill="1" applyAlignment="1">
      <alignment horizontal="center" vertical="center"/>
    </xf>
    <xf numFmtId="0" fontId="173" fillId="0" borderId="0" xfId="682" applyFont="1"/>
    <xf numFmtId="0" fontId="173" fillId="0" borderId="0" xfId="682" applyFont="1" applyAlignment="1">
      <alignment vertical="center"/>
    </xf>
    <xf numFmtId="0" fontId="49" fillId="0" borderId="17" xfId="682" applyFont="1" applyBorder="1" applyAlignment="1">
      <alignment horizontal="center"/>
    </xf>
    <xf numFmtId="0" fontId="49" fillId="0" borderId="14" xfId="682" applyFont="1" applyBorder="1" applyAlignment="1">
      <alignment horizontal="center" vertical="center" wrapText="1"/>
    </xf>
    <xf numFmtId="0" fontId="174" fillId="0" borderId="0" xfId="682" applyFont="1"/>
    <xf numFmtId="0" fontId="52" fillId="0" borderId="0" xfId="682" applyFont="1"/>
    <xf numFmtId="186" fontId="52" fillId="0" borderId="0" xfId="682" applyNumberFormat="1" applyFont="1"/>
    <xf numFmtId="42" fontId="175" fillId="26" borderId="0" xfId="546" applyNumberFormat="1" applyFont="1" applyFill="1"/>
    <xf numFmtId="167" fontId="52" fillId="0" borderId="0" xfId="546" applyNumberFormat="1" applyFont="1"/>
    <xf numFmtId="167" fontId="175" fillId="26" borderId="0" xfId="546" applyNumberFormat="1" applyFont="1" applyFill="1"/>
    <xf numFmtId="0" fontId="52" fillId="0" borderId="0" xfId="0" applyFont="1" applyAlignment="1">
      <alignment horizontal="center"/>
    </xf>
    <xf numFmtId="0" fontId="52" fillId="0" borderId="0" xfId="0" applyFont="1"/>
    <xf numFmtId="41" fontId="175" fillId="26" borderId="0" xfId="682" applyNumberFormat="1" applyFont="1" applyFill="1"/>
    <xf numFmtId="38" fontId="52" fillId="0" borderId="0" xfId="682" applyNumberFormat="1" applyFont="1"/>
    <xf numFmtId="41" fontId="0" fillId="26" borderId="0" xfId="682" applyNumberFormat="1" applyFont="1" applyFill="1"/>
    <xf numFmtId="41" fontId="52" fillId="26" borderId="0" xfId="682" applyNumberFormat="1" applyFont="1" applyFill="1"/>
    <xf numFmtId="41" fontId="52" fillId="26" borderId="17" xfId="449" applyNumberFormat="1" applyFont="1" applyFill="1" applyBorder="1"/>
    <xf numFmtId="38" fontId="52" fillId="0" borderId="0" xfId="449" applyNumberFormat="1" applyFont="1"/>
    <xf numFmtId="0" fontId="39" fillId="0" borderId="0" xfId="682" applyFont="1"/>
    <xf numFmtId="42" fontId="49" fillId="27" borderId="0" xfId="546" applyNumberFormat="1" applyFont="1" applyFill="1"/>
    <xf numFmtId="0" fontId="52" fillId="0" borderId="0" xfId="0" quotePrefix="1" applyFont="1"/>
    <xf numFmtId="0" fontId="0" fillId="0" borderId="0" xfId="0" quotePrefix="1"/>
    <xf numFmtId="41" fontId="52" fillId="26" borderId="0" xfId="449" applyNumberFormat="1" applyFont="1" applyFill="1" applyBorder="1"/>
    <xf numFmtId="41" fontId="52" fillId="0" borderId="0" xfId="449" applyNumberFormat="1" applyFont="1"/>
    <xf numFmtId="164" fontId="0" fillId="0" borderId="0" xfId="0" applyNumberFormat="1"/>
    <xf numFmtId="0" fontId="174" fillId="0" borderId="0" xfId="682" applyFont="1" applyAlignment="1">
      <alignment vertical="center"/>
    </xf>
    <xf numFmtId="0" fontId="176" fillId="0" borderId="0" xfId="682" applyFont="1"/>
    <xf numFmtId="42" fontId="49" fillId="27" borderId="18" xfId="546" applyNumberFormat="1" applyFont="1" applyFill="1" applyBorder="1"/>
    <xf numFmtId="42" fontId="52" fillId="26" borderId="19" xfId="546" applyNumberFormat="1" applyFont="1" applyFill="1" applyBorder="1"/>
    <xf numFmtId="0" fontId="49" fillId="0" borderId="0" xfId="682" applyFont="1"/>
    <xf numFmtId="42" fontId="49" fillId="0" borderId="91" xfId="546" applyNumberFormat="1" applyFont="1" applyBorder="1"/>
    <xf numFmtId="0" fontId="177" fillId="27" borderId="0" xfId="682" applyFont="1" applyFill="1" applyAlignment="1">
      <alignment vertical="center" wrapText="1"/>
    </xf>
    <xf numFmtId="0" fontId="49" fillId="0" borderId="0" xfId="682" applyFont="1" applyAlignment="1">
      <alignment horizontal="center"/>
    </xf>
    <xf numFmtId="0" fontId="0" fillId="0" borderId="0" xfId="0" quotePrefix="1" applyAlignment="1">
      <alignment horizontal="center"/>
    </xf>
    <xf numFmtId="3" fontId="52" fillId="0" borderId="0" xfId="0" applyNumberFormat="1" applyFont="1"/>
    <xf numFmtId="0" fontId="176" fillId="0" borderId="0" xfId="0" applyFont="1" applyAlignment="1">
      <alignment horizontal="left" vertical="center" wrapText="1"/>
    </xf>
    <xf numFmtId="186" fontId="49" fillId="0" borderId="0" xfId="682" applyNumberFormat="1" applyFont="1"/>
    <xf numFmtId="10" fontId="49" fillId="0" borderId="19" xfId="682" applyNumberFormat="1" applyFont="1" applyBorder="1"/>
    <xf numFmtId="0" fontId="51" fillId="0" borderId="0" xfId="0" applyFont="1"/>
    <xf numFmtId="164" fontId="0" fillId="0" borderId="0" xfId="439" applyNumberFormat="1" applyFont="1"/>
    <xf numFmtId="42" fontId="52" fillId="0" borderId="19" xfId="546" applyNumberFormat="1" applyFont="1" applyBorder="1"/>
    <xf numFmtId="38" fontId="0" fillId="0" borderId="0" xfId="0" applyNumberFormat="1" applyFont="1" applyFill="1" applyAlignment="1" applyProtection="1">
      <alignment horizontal="center" vertical="center" wrapText="1"/>
      <protection locked="0"/>
    </xf>
    <xf numFmtId="164" fontId="0" fillId="0" borderId="0" xfId="0" applyNumberFormat="1" applyFont="1" applyFill="1" applyAlignment="1" applyProtection="1">
      <alignment vertical="center" wrapText="1"/>
      <protection locked="0"/>
    </xf>
    <xf numFmtId="14" fontId="56" fillId="32" borderId="22" xfId="439" applyNumberFormat="1" applyFont="1" applyFill="1" applyBorder="1" applyAlignment="1" applyProtection="1">
      <alignment horizontal="center" vertical="center" wrapText="1"/>
    </xf>
    <xf numFmtId="3" fontId="0" fillId="0" borderId="0" xfId="0" applyNumberFormat="1"/>
    <xf numFmtId="14" fontId="0" fillId="0" borderId="0" xfId="0" applyNumberFormat="1" applyFill="1" applyAlignment="1">
      <alignment wrapText="1"/>
    </xf>
    <xf numFmtId="187" fontId="0" fillId="0" borderId="67" xfId="0" applyNumberFormat="1" applyBorder="1" applyAlignment="1">
      <alignment horizontal="center" vertical="center"/>
    </xf>
    <xf numFmtId="187" fontId="0" fillId="0" borderId="56" xfId="0" applyNumberFormat="1" applyBorder="1" applyAlignment="1">
      <alignment horizontal="center" vertical="center" wrapText="1"/>
    </xf>
    <xf numFmtId="0" fontId="61" fillId="34" borderId="0" xfId="0" applyFont="1" applyFill="1" applyAlignment="1">
      <alignment horizontal="center" vertical="center" wrapText="1"/>
    </xf>
    <xf numFmtId="0" fontId="53" fillId="34" borderId="0" xfId="0" applyFont="1" applyFill="1" applyAlignment="1">
      <alignment horizontal="left" vertical="center" wrapText="1"/>
    </xf>
    <xf numFmtId="0" fontId="0" fillId="29" borderId="10" xfId="0" applyFill="1" applyBorder="1" applyAlignment="1" applyProtection="1">
      <alignment horizontal="center" vertical="center"/>
      <protection locked="0"/>
    </xf>
    <xf numFmtId="3" fontId="0" fillId="29" borderId="70" xfId="0" applyNumberFormat="1" applyFill="1" applyBorder="1" applyAlignment="1" applyProtection="1">
      <alignment horizontal="center" vertical="center"/>
      <protection locked="0"/>
    </xf>
    <xf numFmtId="0" fontId="0" fillId="0" borderId="23" xfId="0" applyNumberFormat="1" applyFont="1" applyFill="1" applyBorder="1" applyAlignment="1" applyProtection="1">
      <alignment horizontal="center" vertical="center" wrapText="1"/>
    </xf>
    <xf numFmtId="0" fontId="0" fillId="34" borderId="24" xfId="0" applyFill="1" applyBorder="1" applyAlignment="1">
      <alignment horizontal="left" vertical="center" wrapText="1"/>
    </xf>
    <xf numFmtId="3" fontId="0" fillId="0" borderId="23" xfId="0" applyNumberFormat="1" applyFont="1" applyFill="1" applyBorder="1" applyAlignment="1" applyProtection="1">
      <alignment horizontal="center" vertical="center" wrapText="1"/>
    </xf>
    <xf numFmtId="0" fontId="0" fillId="0" borderId="0" xfId="0" applyAlignment="1">
      <alignment horizontal="center" vertical="center"/>
    </xf>
    <xf numFmtId="0" fontId="0" fillId="34" borderId="39" xfId="0" applyFill="1" applyBorder="1" applyAlignment="1">
      <alignment vertical="center"/>
    </xf>
    <xf numFmtId="0" fontId="0" fillId="34" borderId="40" xfId="0" applyFill="1" applyBorder="1" applyAlignment="1">
      <alignment vertical="center"/>
    </xf>
    <xf numFmtId="41" fontId="69" fillId="34" borderId="41" xfId="0" applyNumberFormat="1" applyFont="1" applyFill="1" applyBorder="1" applyAlignment="1">
      <alignment wrapText="1"/>
    </xf>
    <xf numFmtId="0" fontId="39" fillId="34" borderId="92" xfId="0" applyFont="1" applyFill="1" applyBorder="1" applyAlignment="1">
      <alignment vertical="center"/>
    </xf>
    <xf numFmtId="0" fontId="39" fillId="34" borderId="93" xfId="0" applyFont="1" applyFill="1" applyBorder="1" applyAlignment="1">
      <alignment vertical="center"/>
    </xf>
    <xf numFmtId="0" fontId="39" fillId="34" borderId="94" xfId="0" applyFont="1" applyFill="1" applyBorder="1" applyAlignment="1">
      <alignment vertical="center"/>
    </xf>
    <xf numFmtId="0" fontId="0" fillId="34" borderId="0" xfId="0" applyFill="1" applyBorder="1" applyAlignment="1">
      <alignment vertical="center"/>
    </xf>
    <xf numFmtId="0" fontId="0" fillId="34" borderId="36" xfId="0" applyFill="1" applyBorder="1" applyAlignment="1">
      <alignment vertical="center"/>
    </xf>
    <xf numFmtId="0" fontId="0" fillId="34" borderId="37" xfId="0" applyFill="1" applyBorder="1" applyAlignment="1">
      <alignment vertical="center"/>
    </xf>
    <xf numFmtId="41" fontId="69" fillId="34" borderId="38" xfId="0" applyNumberFormat="1" applyFont="1" applyFill="1" applyBorder="1" applyAlignment="1">
      <alignment wrapText="1"/>
    </xf>
    <xf numFmtId="0" fontId="0" fillId="34" borderId="15" xfId="0" applyFill="1" applyBorder="1" applyAlignment="1">
      <alignment vertical="center"/>
    </xf>
    <xf numFmtId="41" fontId="69" fillId="34" borderId="59" xfId="0" applyNumberFormat="1" applyFont="1" applyFill="1" applyBorder="1" applyAlignment="1">
      <alignment wrapText="1"/>
    </xf>
    <xf numFmtId="0" fontId="0" fillId="34" borderId="15" xfId="0" applyFill="1" applyBorder="1"/>
    <xf numFmtId="0" fontId="0" fillId="0" borderId="0" xfId="0" applyFill="1" applyAlignment="1">
      <alignment horizontal="center" wrapText="1"/>
    </xf>
    <xf numFmtId="38" fontId="44" fillId="0" borderId="0" xfId="439" quotePrefix="1" applyNumberFormat="1" applyFont="1" applyFill="1" applyAlignment="1" applyProtection="1">
      <alignment horizontal="center" vertical="center" wrapText="1"/>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NumberFormat="1" applyFont="1" applyFill="1" applyAlignment="1" applyProtection="1">
      <alignment horizontal="center" vertical="center" wrapText="1"/>
    </xf>
    <xf numFmtId="43" fontId="0" fillId="0" borderId="0" xfId="439" applyNumberFormat="1" applyFont="1"/>
    <xf numFmtId="38" fontId="0" fillId="0" borderId="0" xfId="0" applyNumberFormat="1" applyFill="1"/>
    <xf numFmtId="43" fontId="0" fillId="0" borderId="0" xfId="0" applyNumberFormat="1" applyFill="1"/>
    <xf numFmtId="0" fontId="171" fillId="34" borderId="56" xfId="0" applyFont="1" applyFill="1" applyBorder="1" applyAlignment="1">
      <alignment horizontal="left" vertical="center" wrapText="1"/>
    </xf>
    <xf numFmtId="0" fontId="0" fillId="0" borderId="0" xfId="0" applyFill="1" applyAlignment="1">
      <alignment vertical="center" wrapText="1"/>
    </xf>
    <xf numFmtId="0" fontId="44" fillId="34" borderId="0" xfId="0" applyNumberFormat="1" applyFont="1" applyFill="1" applyAlignment="1" applyProtection="1">
      <alignment horizontal="center" vertical="center"/>
    </xf>
    <xf numFmtId="0" fontId="0" fillId="34" borderId="0" xfId="0" applyNumberFormat="1" applyFont="1" applyFill="1" applyAlignment="1" applyProtection="1">
      <alignment vertical="center" wrapText="1"/>
    </xf>
    <xf numFmtId="0" fontId="57" fillId="34" borderId="24"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vertical="center" wrapText="1"/>
    </xf>
    <xf numFmtId="0" fontId="39" fillId="34" borderId="42" xfId="0" applyFont="1" applyFill="1" applyBorder="1" applyAlignment="1">
      <alignment horizontal="center" vertical="center"/>
    </xf>
    <xf numFmtId="0" fontId="0" fillId="80" borderId="0" xfId="0" applyFill="1" applyAlignment="1">
      <alignment horizontal="center" vertical="center"/>
    </xf>
    <xf numFmtId="0" fontId="0" fillId="34" borderId="24" xfId="0" applyFill="1" applyBorder="1" applyAlignment="1">
      <alignment horizontal="center" vertical="center" wrapText="1"/>
    </xf>
    <xf numFmtId="38" fontId="68" fillId="20" borderId="0" xfId="0" applyNumberFormat="1" applyFont="1" applyFill="1" applyAlignment="1" applyProtection="1">
      <alignment vertical="center" wrapText="1"/>
      <protection locked="0"/>
    </xf>
    <xf numFmtId="0" fontId="0" fillId="36" borderId="0" xfId="0" applyFill="1"/>
    <xf numFmtId="0" fontId="0" fillId="0" borderId="0" xfId="0" applyNumberFormat="1"/>
    <xf numFmtId="0" fontId="39" fillId="34" borderId="16" xfId="0" applyFont="1" applyFill="1" applyBorder="1" applyAlignment="1">
      <alignment horizontal="justify" vertical="center" wrapText="1"/>
    </xf>
    <xf numFmtId="0" fontId="39" fillId="34" borderId="56" xfId="0" quotePrefix="1" applyFont="1" applyFill="1" applyBorder="1" applyAlignment="1">
      <alignment horizontal="center" vertical="center"/>
    </xf>
    <xf numFmtId="0" fontId="0" fillId="36" borderId="0" xfId="0" applyFill="1" applyAlignment="1">
      <alignment horizontal="center" vertical="center"/>
    </xf>
    <xf numFmtId="181" fontId="0" fillId="36" borderId="0" xfId="0" applyNumberFormat="1" applyFill="1"/>
    <xf numFmtId="181" fontId="44" fillId="0" borderId="0" xfId="4688" applyNumberFormat="1" applyFont="1"/>
    <xf numFmtId="0" fontId="45" fillId="34" borderId="56" xfId="0" applyFont="1" applyFill="1" applyBorder="1" applyAlignment="1">
      <alignment horizontal="center" vertical="center" wrapText="1"/>
    </xf>
    <xf numFmtId="0" fontId="39" fillId="34" borderId="56" xfId="0" applyFont="1" applyFill="1" applyBorder="1" applyAlignment="1">
      <alignment horizontal="center" vertical="center" wrapText="1"/>
    </xf>
    <xf numFmtId="0" fontId="37" fillId="34" borderId="16" xfId="0" applyFont="1" applyFill="1" applyBorder="1" applyAlignment="1">
      <alignment horizontal="justify" vertical="center" wrapText="1"/>
    </xf>
    <xf numFmtId="188" fontId="0" fillId="34" borderId="56" xfId="4688" applyNumberFormat="1" applyFont="1" applyFill="1" applyBorder="1" applyAlignment="1">
      <alignment horizontal="center" vertical="center"/>
    </xf>
    <xf numFmtId="187" fontId="0" fillId="34" borderId="56" xfId="4688" applyNumberFormat="1" applyFont="1" applyFill="1" applyBorder="1" applyAlignment="1">
      <alignment horizontal="center" vertical="center"/>
    </xf>
    <xf numFmtId="0" fontId="45" fillId="34" borderId="13" xfId="0" applyFont="1" applyFill="1" applyBorder="1" applyAlignment="1">
      <alignment horizontal="center" vertical="center" wrapText="1"/>
    </xf>
    <xf numFmtId="0" fontId="183" fillId="34" borderId="56" xfId="0" applyFont="1" applyFill="1" applyBorder="1" applyAlignment="1">
      <alignment vertical="center" wrapText="1"/>
    </xf>
    <xf numFmtId="4" fontId="0" fillId="0" borderId="0" xfId="0" applyNumberFormat="1" applyFill="1"/>
    <xf numFmtId="0" fontId="0" fillId="0" borderId="10" xfId="0" applyBorder="1" applyAlignment="1">
      <alignment horizontal="center" vertical="center"/>
    </xf>
    <xf numFmtId="0" fontId="0" fillId="83" borderId="10" xfId="0" applyFill="1" applyBorder="1" applyAlignment="1">
      <alignment vertical="center" wrapText="1"/>
    </xf>
    <xf numFmtId="14" fontId="0" fillId="29" borderId="10" xfId="0" applyNumberFormat="1" applyFill="1" applyBorder="1" applyAlignment="1" applyProtection="1">
      <alignment horizontal="center" vertical="center"/>
      <protection locked="0"/>
    </xf>
    <xf numFmtId="0" fontId="69" fillId="83" borderId="70" xfId="0" applyFont="1" applyFill="1" applyBorder="1" applyAlignment="1">
      <alignment vertical="center" wrapText="1"/>
    </xf>
    <xf numFmtId="0" fontId="68" fillId="0" borderId="70" xfId="0" applyFont="1" applyBorder="1" applyAlignment="1">
      <alignment vertical="center" wrapText="1"/>
    </xf>
    <xf numFmtId="14" fontId="44" fillId="0" borderId="95" xfId="0" applyNumberFormat="1" applyFont="1" applyBorder="1"/>
    <xf numFmtId="14" fontId="44" fillId="34" borderId="96" xfId="0" applyNumberFormat="1" applyFont="1" applyFill="1" applyBorder="1"/>
    <xf numFmtId="14" fontId="44" fillId="34" borderId="97" xfId="0" applyNumberFormat="1" applyFont="1" applyFill="1" applyBorder="1"/>
    <xf numFmtId="0" fontId="44" fillId="0" borderId="21" xfId="0" applyFont="1" applyBorder="1"/>
    <xf numFmtId="0" fontId="44" fillId="0" borderId="55" xfId="0" applyFont="1" applyBorder="1"/>
    <xf numFmtId="14" fontId="44" fillId="0" borderId="0" xfId="0" applyNumberFormat="1" applyFont="1"/>
    <xf numFmtId="14" fontId="44" fillId="0" borderId="55" xfId="0" applyNumberFormat="1" applyFont="1" applyBorder="1"/>
    <xf numFmtId="0" fontId="44" fillId="0" borderId="98" xfId="0" applyFont="1" applyBorder="1"/>
    <xf numFmtId="14" fontId="44" fillId="0" borderId="17" xfId="0" applyNumberFormat="1" applyFont="1" applyBorder="1"/>
    <xf numFmtId="14" fontId="44" fillId="0" borderId="99" xfId="0" applyNumberFormat="1" applyFont="1" applyBorder="1"/>
    <xf numFmtId="14" fontId="0" fillId="0" borderId="56" xfId="0" applyNumberFormat="1" applyBorder="1" applyAlignment="1">
      <alignment horizontal="center" vertical="center" wrapText="1"/>
    </xf>
    <xf numFmtId="0" fontId="41" fillId="34" borderId="24" xfId="0" applyFont="1" applyFill="1" applyBorder="1" applyAlignment="1">
      <alignment horizontal="left" vertical="center" wrapText="1"/>
    </xf>
    <xf numFmtId="14" fontId="0" fillId="0" borderId="0" xfId="0" applyNumberFormat="1" applyAlignment="1">
      <alignment horizontal="center" vertical="center"/>
    </xf>
    <xf numFmtId="49" fontId="0" fillId="78" borderId="0" xfId="0" applyNumberFormat="1" applyFill="1" applyAlignment="1">
      <alignment horizontal="center" vertical="center" wrapText="1"/>
    </xf>
    <xf numFmtId="0" fontId="0" fillId="22" borderId="0" xfId="0" applyFill="1" applyAlignment="1">
      <alignment vertical="center"/>
    </xf>
    <xf numFmtId="0" fontId="39" fillId="78" borderId="63" xfId="0" applyFont="1" applyFill="1" applyBorder="1" applyAlignment="1">
      <alignment horizontal="center" vertical="center"/>
    </xf>
    <xf numFmtId="0" fontId="41" fillId="78" borderId="22" xfId="0" applyFont="1" applyFill="1" applyBorder="1" applyAlignment="1">
      <alignment horizontal="left" vertical="center" wrapText="1"/>
    </xf>
    <xf numFmtId="14" fontId="0" fillId="78" borderId="63" xfId="439" applyNumberFormat="1" applyFont="1" applyFill="1" applyBorder="1" applyAlignment="1" applyProtection="1">
      <alignment horizontal="center" vertical="center" wrapText="1"/>
    </xf>
    <xf numFmtId="10" fontId="0" fillId="34" borderId="56" xfId="0" applyNumberFormat="1" applyFill="1" applyBorder="1" applyAlignment="1">
      <alignment horizontal="center" vertical="center"/>
    </xf>
    <xf numFmtId="39" fontId="56" fillId="75" borderId="22" xfId="439" applyNumberFormat="1" applyFont="1" applyFill="1" applyBorder="1" applyAlignment="1" applyProtection="1">
      <alignment horizontal="center" vertical="center" wrapText="1"/>
    </xf>
    <xf numFmtId="38" fontId="68" fillId="20" borderId="0" xfId="0" applyNumberFormat="1" applyFont="1" applyFill="1" applyAlignment="1" applyProtection="1">
      <alignment vertical="center" wrapText="1"/>
    </xf>
    <xf numFmtId="0" fontId="0" fillId="0" borderId="100" xfId="0" applyFill="1" applyBorder="1" applyAlignment="1">
      <alignment horizontal="center" vertical="center"/>
    </xf>
    <xf numFmtId="0" fontId="0" fillId="29" borderId="95" xfId="0" applyFill="1" applyBorder="1" applyAlignment="1" applyProtection="1">
      <alignment horizontal="center" vertical="center"/>
      <protection locked="0"/>
    </xf>
    <xf numFmtId="0" fontId="68" fillId="0" borderId="100" xfId="0" applyFont="1" applyFill="1" applyBorder="1" applyAlignment="1">
      <alignment vertical="center" wrapText="1"/>
    </xf>
    <xf numFmtId="0" fontId="0" fillId="34" borderId="12" xfId="0" applyFill="1" applyBorder="1" applyAlignment="1">
      <alignment horizontal="center" vertical="center"/>
    </xf>
    <xf numFmtId="0" fontId="0" fillId="34" borderId="12" xfId="0" applyFill="1" applyBorder="1" applyAlignment="1">
      <alignment vertical="center" wrapText="1"/>
    </xf>
    <xf numFmtId="0" fontId="0" fillId="29" borderId="12" xfId="0" applyFill="1" applyBorder="1" applyAlignment="1" applyProtection="1">
      <alignment horizontal="center" vertical="center"/>
      <protection locked="0"/>
    </xf>
    <xf numFmtId="0" fontId="0" fillId="78" borderId="14" xfId="0" applyFill="1" applyBorder="1" applyAlignment="1">
      <alignment vertical="center" wrapText="1"/>
    </xf>
    <xf numFmtId="0" fontId="0" fillId="78" borderId="14" xfId="0" applyFill="1" applyBorder="1" applyAlignment="1" applyProtection="1">
      <alignment horizontal="center" vertical="center"/>
      <protection locked="0"/>
    </xf>
    <xf numFmtId="0" fontId="68" fillId="78" borderId="20" xfId="0" applyFont="1" applyFill="1" applyBorder="1" applyAlignment="1">
      <alignment vertical="center" wrapText="1"/>
    </xf>
    <xf numFmtId="0" fontId="0" fillId="0" borderId="70" xfId="0" applyFill="1" applyBorder="1" applyAlignment="1">
      <alignment vertical="center"/>
    </xf>
    <xf numFmtId="0" fontId="0" fillId="0" borderId="0" xfId="0" applyFill="1" applyAlignment="1">
      <alignment vertical="center"/>
    </xf>
    <xf numFmtId="0" fontId="0" fillId="29" borderId="44" xfId="0" applyFill="1" applyBorder="1" applyAlignment="1">
      <alignment horizontal="center" vertical="center" wrapText="1"/>
    </xf>
    <xf numFmtId="0" fontId="0" fillId="29" borderId="0" xfId="0" applyFill="1" applyAlignment="1">
      <alignment horizontal="center" vertical="center" wrapText="1"/>
    </xf>
    <xf numFmtId="0" fontId="44" fillId="29" borderId="44" xfId="0" applyFont="1" applyFill="1" applyBorder="1" applyAlignment="1">
      <alignment horizontal="center" vertical="center" wrapText="1"/>
    </xf>
    <xf numFmtId="0" fontId="0" fillId="29" borderId="0" xfId="0" applyFont="1" applyFill="1" applyAlignment="1" applyProtection="1">
      <alignment horizontal="center" vertical="center" wrapText="1"/>
    </xf>
    <xf numFmtId="0" fontId="0" fillId="29" borderId="44" xfId="0" applyFont="1" applyFill="1" applyBorder="1" applyAlignment="1" applyProtection="1">
      <alignment horizontal="center" vertical="center" wrapText="1"/>
    </xf>
    <xf numFmtId="0" fontId="44" fillId="29" borderId="44" xfId="0" applyFont="1" applyFill="1" applyBorder="1" applyAlignment="1" applyProtection="1">
      <alignment horizontal="center" vertical="center" wrapText="1"/>
    </xf>
    <xf numFmtId="0" fontId="51" fillId="34" borderId="56" xfId="0" applyFont="1" applyFill="1" applyBorder="1" applyAlignment="1">
      <alignment vertical="center" wrapText="1"/>
    </xf>
    <xf numFmtId="0" fontId="39" fillId="78" borderId="70" xfId="0" applyFont="1" applyFill="1" applyBorder="1" applyAlignment="1">
      <alignment horizontal="center" vertical="center"/>
    </xf>
    <xf numFmtId="0" fontId="0" fillId="82" borderId="10" xfId="0" applyFill="1" applyBorder="1" applyAlignment="1">
      <alignment horizontal="center" vertical="center"/>
    </xf>
    <xf numFmtId="189" fontId="44" fillId="0" borderId="0" xfId="439" applyNumberFormat="1" applyFont="1" applyFill="1" applyAlignment="1" applyProtection="1">
      <alignment horizontal="center" vertical="center" wrapText="1"/>
    </xf>
    <xf numFmtId="0" fontId="0" fillId="0" borderId="56" xfId="0" applyBorder="1" applyAlignment="1" applyProtection="1">
      <alignment vertical="center" wrapText="1"/>
      <protection locked="0"/>
    </xf>
    <xf numFmtId="0" fontId="0" fillId="0" borderId="56" xfId="0" applyFill="1" applyBorder="1" applyAlignment="1" applyProtection="1">
      <alignment vertical="center" wrapText="1"/>
      <protection locked="0"/>
    </xf>
    <xf numFmtId="0" fontId="0" fillId="0" borderId="56" xfId="0" applyBorder="1" applyAlignment="1" applyProtection="1">
      <alignment horizontal="left" vertical="center" wrapText="1"/>
      <protection locked="0"/>
    </xf>
    <xf numFmtId="0" fontId="0" fillId="78" borderId="56" xfId="0" applyFill="1" applyBorder="1" applyAlignment="1" applyProtection="1">
      <alignment vertical="center" wrapText="1"/>
      <protection locked="0"/>
    </xf>
    <xf numFmtId="0" fontId="0" fillId="78" borderId="11" xfId="0" applyFill="1" applyBorder="1" applyAlignment="1" applyProtection="1">
      <alignment vertical="center" wrapText="1"/>
      <protection locked="0"/>
    </xf>
    <xf numFmtId="0" fontId="57" fillId="78" borderId="56" xfId="0" applyFont="1" applyFill="1" applyBorder="1" applyAlignment="1" applyProtection="1">
      <alignment vertical="center" wrapText="1"/>
      <protection locked="0"/>
    </xf>
    <xf numFmtId="0" fontId="39" fillId="0" borderId="0" xfId="0" applyFont="1" applyFill="1" applyBorder="1" applyAlignment="1" applyProtection="1">
      <alignment horizontal="center" wrapText="1"/>
    </xf>
    <xf numFmtId="0" fontId="0" fillId="0" borderId="0" xfId="0" quotePrefix="1" applyFont="1" applyFill="1" applyAlignment="1" applyProtection="1">
      <alignment horizontal="left" vertical="center"/>
      <protection locked="0"/>
    </xf>
    <xf numFmtId="0" fontId="0" fillId="0" borderId="0" xfId="0" applyFont="1" applyFill="1" applyAlignment="1" applyProtection="1">
      <alignment horizontal="left" vertical="center"/>
      <protection locked="0"/>
    </xf>
    <xf numFmtId="0" fontId="0" fillId="0" borderId="0" xfId="0" applyFont="1" applyFill="1" applyAlignment="1" applyProtection="1">
      <alignment horizontal="left" vertical="center" wrapText="1"/>
      <protection locked="0"/>
    </xf>
    <xf numFmtId="0" fontId="0" fillId="0" borderId="0" xfId="0" applyFont="1" applyAlignment="1" applyProtection="1">
      <alignment horizontal="left" vertical="center" wrapText="1"/>
      <protection locked="0"/>
    </xf>
    <xf numFmtId="164" fontId="0" fillId="0" borderId="0" xfId="0" applyNumberFormat="1" applyFont="1" applyFill="1" applyAlignment="1" applyProtection="1">
      <alignment horizontal="left" vertical="center" wrapText="1"/>
      <protection locked="0"/>
    </xf>
    <xf numFmtId="0" fontId="68" fillId="0" borderId="0" xfId="0" applyFont="1" applyFill="1" applyAlignment="1" applyProtection="1">
      <alignment horizontal="left" vertical="center" wrapText="1"/>
      <protection locked="0"/>
    </xf>
    <xf numFmtId="0" fontId="0" fillId="0" borderId="44" xfId="0" applyFont="1" applyFill="1" applyBorder="1" applyAlignment="1" applyProtection="1">
      <alignment horizontal="left" vertical="center" wrapText="1"/>
      <protection locked="0"/>
    </xf>
    <xf numFmtId="0" fontId="68" fillId="0" borderId="0" xfId="0" applyFont="1" applyAlignment="1" applyProtection="1">
      <alignment horizontal="left" vertical="center" wrapText="1"/>
      <protection locked="0"/>
    </xf>
    <xf numFmtId="0" fontId="0" fillId="0" borderId="0" xfId="0" applyAlignment="1">
      <alignment horizontal="left" vertical="center"/>
    </xf>
    <xf numFmtId="164" fontId="0" fillId="0" borderId="44" xfId="0" applyNumberFormat="1" applyFont="1" applyFill="1" applyBorder="1" applyAlignment="1" applyProtection="1">
      <alignment horizontal="left" vertical="center" wrapText="1"/>
      <protection locked="0"/>
    </xf>
    <xf numFmtId="0" fontId="39" fillId="0" borderId="0" xfId="0" applyFont="1" applyFill="1" applyAlignment="1" applyProtection="1">
      <alignment horizontal="left" vertical="center" wrapText="1"/>
    </xf>
    <xf numFmtId="0" fontId="0" fillId="0" borderId="0" xfId="0" applyFont="1" applyBorder="1" applyAlignment="1" applyProtection="1">
      <alignment horizontal="left" vertical="center" wrapText="1"/>
    </xf>
    <xf numFmtId="37" fontId="0" fillId="0" borderId="44" xfId="0" applyNumberFormat="1" applyFont="1" applyFill="1" applyBorder="1" applyAlignment="1" applyProtection="1">
      <alignment horizontal="left" vertical="center" wrapText="1"/>
      <protection locked="0"/>
    </xf>
    <xf numFmtId="37" fontId="0" fillId="0" borderId="0" xfId="0" applyNumberFormat="1" applyFont="1" applyAlignment="1" applyProtection="1">
      <alignment horizontal="left" vertical="center" wrapText="1"/>
      <protection locked="0"/>
    </xf>
    <xf numFmtId="164" fontId="0" fillId="0" borderId="0" xfId="0" applyNumberFormat="1" applyFont="1" applyAlignment="1" applyProtection="1">
      <alignment horizontal="left" vertical="center" wrapText="1"/>
      <protection locked="0"/>
    </xf>
    <xf numFmtId="0" fontId="0" fillId="0" borderId="0" xfId="0" applyFont="1" applyAlignment="1" applyProtection="1">
      <alignment horizontal="left" vertical="center" wrapText="1"/>
    </xf>
    <xf numFmtId="0" fontId="0" fillId="0" borderId="0" xfId="0" applyFont="1" applyAlignment="1" applyProtection="1">
      <alignment horizontal="left" vertical="center"/>
    </xf>
    <xf numFmtId="38" fontId="68" fillId="20" borderId="0" xfId="0" applyNumberFormat="1" applyFont="1" applyFill="1" applyAlignment="1" applyProtection="1">
      <alignment horizontal="left" vertical="center" wrapText="1"/>
    </xf>
    <xf numFmtId="41" fontId="69" fillId="0" borderId="0" xfId="0" applyNumberFormat="1" applyFont="1" applyFill="1" applyAlignment="1" applyProtection="1">
      <alignment horizontal="left" vertical="center" wrapText="1"/>
    </xf>
    <xf numFmtId="168" fontId="0" fillId="0" borderId="0" xfId="0" applyNumberFormat="1" applyFont="1" applyFill="1" applyAlignment="1" applyProtection="1">
      <alignment horizontal="left" vertical="center" wrapText="1"/>
    </xf>
    <xf numFmtId="0" fontId="39" fillId="0" borderId="0" xfId="0" applyFont="1" applyAlignment="1" applyProtection="1">
      <alignment horizontal="left" vertical="center" wrapText="1"/>
      <protection locked="0"/>
    </xf>
    <xf numFmtId="2" fontId="0" fillId="0" borderId="0" xfId="0" applyNumberFormat="1" applyFont="1" applyAlignment="1" applyProtection="1">
      <alignment horizontal="left" vertical="center" wrapText="1"/>
      <protection locked="0"/>
    </xf>
    <xf numFmtId="0" fontId="0" fillId="74" borderId="0" xfId="0" applyFont="1" applyFill="1" applyAlignment="1" applyProtection="1">
      <alignment horizontal="left" vertical="center" wrapText="1"/>
      <protection locked="0"/>
    </xf>
    <xf numFmtId="0" fontId="0" fillId="0" borderId="0" xfId="0" applyAlignment="1">
      <alignment horizontal="left" vertical="center" wrapText="1"/>
    </xf>
    <xf numFmtId="0" fontId="0" fillId="0" borderId="0" xfId="0" applyFont="1" applyAlignment="1">
      <alignment horizontal="left" vertical="center" wrapText="1"/>
    </xf>
    <xf numFmtId="168" fontId="0" fillId="0" borderId="0" xfId="0" applyNumberFormat="1" applyFont="1" applyAlignment="1" applyProtection="1">
      <alignment horizontal="left" vertical="center" wrapText="1"/>
    </xf>
    <xf numFmtId="37" fontId="0" fillId="0" borderId="0" xfId="0" applyNumberFormat="1" applyFont="1" applyFill="1" applyAlignment="1" applyProtection="1">
      <alignment horizontal="left" vertical="center" wrapText="1"/>
    </xf>
    <xf numFmtId="14" fontId="0" fillId="0" borderId="0" xfId="0" applyNumberFormat="1" applyFont="1" applyAlignment="1">
      <alignment horizontal="left" vertical="center" wrapText="1"/>
    </xf>
    <xf numFmtId="14" fontId="0" fillId="0" borderId="0" xfId="0" applyNumberFormat="1" applyFont="1" applyFill="1" applyAlignment="1" applyProtection="1">
      <alignment horizontal="left" vertical="center" wrapText="1"/>
    </xf>
    <xf numFmtId="0" fontId="0" fillId="0" borderId="10"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39" fillId="78" borderId="66" xfId="0" applyFont="1" applyFill="1" applyBorder="1" applyAlignment="1" applyProtection="1">
      <alignment vertical="center" wrapText="1"/>
      <protection locked="0"/>
    </xf>
    <xf numFmtId="0" fontId="0" fillId="78" borderId="80" xfId="0" applyFill="1" applyBorder="1" applyAlignment="1" applyProtection="1">
      <alignment vertical="center" wrapText="1"/>
      <protection locked="0"/>
    </xf>
    <xf numFmtId="0" fontId="0" fillId="0" borderId="80" xfId="0" applyBorder="1" applyAlignment="1" applyProtection="1">
      <alignment vertical="center" wrapText="1"/>
      <protection locked="0"/>
    </xf>
    <xf numFmtId="37" fontId="57" fillId="29" borderId="0" xfId="439" applyNumberFormat="1" applyFont="1" applyFill="1" applyAlignment="1" applyProtection="1">
      <alignment horizontal="center" vertical="center" wrapText="1"/>
      <protection locked="0"/>
    </xf>
    <xf numFmtId="3" fontId="57" fillId="29" borderId="0" xfId="439" applyNumberFormat="1" applyFont="1" applyFill="1" applyAlignment="1" applyProtection="1">
      <alignment horizontal="center" vertical="center" wrapText="1"/>
      <protection locked="0"/>
    </xf>
    <xf numFmtId="38" fontId="57" fillId="0" borderId="14" xfId="439" applyNumberFormat="1" applyFont="1" applyFill="1" applyBorder="1" applyAlignment="1" applyProtection="1">
      <alignment horizontal="center" vertical="center" wrapText="1"/>
    </xf>
    <xf numFmtId="49" fontId="0" fillId="29" borderId="0" xfId="0" applyNumberFormat="1" applyFont="1" applyFill="1" applyAlignment="1" applyProtection="1">
      <alignment horizontal="center" vertical="center"/>
      <protection locked="0"/>
    </xf>
    <xf numFmtId="14" fontId="0" fillId="29" borderId="0" xfId="439" applyNumberFormat="1" applyFont="1" applyFill="1" applyAlignment="1" applyProtection="1">
      <alignment horizontal="center" vertical="center" wrapText="1"/>
      <protection locked="0"/>
    </xf>
    <xf numFmtId="49" fontId="0" fillId="31" borderId="13" xfId="0" applyNumberFormat="1" applyFont="1" applyFill="1" applyBorder="1" applyAlignment="1" applyProtection="1">
      <alignment horizontal="center" vertical="center"/>
      <protection locked="0"/>
    </xf>
    <xf numFmtId="14" fontId="0" fillId="31" borderId="13" xfId="0" applyNumberFormat="1" applyFont="1" applyFill="1" applyBorder="1" applyAlignment="1" applyProtection="1">
      <alignment horizontal="center" vertical="center"/>
      <protection locked="0"/>
    </xf>
    <xf numFmtId="185" fontId="0" fillId="31" borderId="13" xfId="0" applyNumberFormat="1" applyFont="1" applyFill="1" applyBorder="1" applyAlignment="1" applyProtection="1">
      <alignment horizontal="center" vertical="center"/>
      <protection locked="0"/>
    </xf>
    <xf numFmtId="49" fontId="35" fillId="31" borderId="13" xfId="611" applyNumberFormat="1" applyFill="1" applyBorder="1" applyAlignment="1" applyProtection="1">
      <alignment horizontal="center" vertical="center"/>
      <protection locked="0"/>
    </xf>
    <xf numFmtId="0" fontId="0" fillId="0" borderId="100" xfId="0" applyFill="1" applyBorder="1" applyAlignment="1">
      <alignment vertical="center" wrapText="1"/>
    </xf>
    <xf numFmtId="0" fontId="68" fillId="0" borderId="12" xfId="0" applyFont="1" applyFill="1" applyBorder="1" applyAlignment="1">
      <alignment vertical="center" wrapText="1"/>
    </xf>
    <xf numFmtId="0" fontId="0" fillId="29" borderId="10" xfId="0" applyFill="1" applyBorder="1" applyAlignment="1" applyProtection="1">
      <alignment vertical="center" wrapText="1"/>
      <protection locked="0"/>
    </xf>
    <xf numFmtId="37" fontId="0" fillId="0" borderId="44" xfId="0" applyNumberFormat="1" applyFont="1" applyFill="1" applyBorder="1" applyAlignment="1" applyProtection="1">
      <alignment horizontal="center" vertical="center" wrapText="1"/>
      <protection locked="0"/>
    </xf>
    <xf numFmtId="0" fontId="0" fillId="0" borderId="37" xfId="0" applyFont="1" applyBorder="1" applyAlignment="1">
      <alignment horizontal="left" wrapText="1"/>
    </xf>
    <xf numFmtId="0" fontId="0" fillId="36" borderId="13" xfId="0" applyFont="1" applyFill="1" applyBorder="1" applyAlignment="1">
      <alignment horizontal="left" vertical="center" wrapText="1"/>
    </xf>
    <xf numFmtId="0" fontId="0" fillId="36" borderId="16" xfId="0" applyFont="1" applyFill="1" applyBorder="1" applyAlignment="1">
      <alignment horizontal="left" vertical="center" wrapText="1"/>
    </xf>
    <xf numFmtId="0" fontId="0" fillId="0" borderId="13" xfId="0" applyFont="1" applyBorder="1" applyAlignment="1">
      <alignment horizontal="left" vertical="center"/>
    </xf>
    <xf numFmtId="0" fontId="0" fillId="0" borderId="16" xfId="0" applyFont="1" applyBorder="1" applyAlignment="1">
      <alignment horizontal="left" vertical="center"/>
    </xf>
    <xf numFmtId="0" fontId="0" fillId="0" borderId="13" xfId="0" applyFont="1" applyBorder="1" applyAlignment="1">
      <alignment horizontal="left" vertical="center" wrapText="1"/>
    </xf>
    <xf numFmtId="0" fontId="0" fillId="0" borderId="16" xfId="0" applyFont="1" applyBorder="1" applyAlignment="1">
      <alignment horizontal="lef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73" xfId="0" applyFont="1" applyFill="1" applyBorder="1" applyAlignment="1">
      <alignment horizontal="center" vertical="center" wrapText="1"/>
    </xf>
    <xf numFmtId="0" fontId="182" fillId="34" borderId="13" xfId="0" applyFont="1" applyFill="1" applyBorder="1" applyAlignment="1">
      <alignment horizontal="center" vertical="center" wrapText="1"/>
    </xf>
    <xf numFmtId="0" fontId="182" fillId="34" borderId="16" xfId="0" applyFont="1" applyFill="1" applyBorder="1" applyAlignment="1">
      <alignment horizontal="center" vertical="center" wrapText="1"/>
    </xf>
    <xf numFmtId="0" fontId="182" fillId="34" borderId="11" xfId="0" applyFont="1" applyFill="1" applyBorder="1" applyAlignment="1">
      <alignment horizontal="center" vertical="center"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70" fillId="82" borderId="13" xfId="0" applyFont="1" applyFill="1" applyBorder="1" applyAlignment="1">
      <alignment horizontal="center" vertical="center"/>
    </xf>
    <xf numFmtId="0" fontId="170" fillId="82"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182" fillId="34" borderId="13" xfId="0" applyFont="1" applyFill="1" applyBorder="1" applyAlignment="1">
      <alignment horizontal="center" wrapText="1"/>
    </xf>
    <xf numFmtId="0" fontId="182" fillId="34" borderId="16" xfId="0" applyFont="1" applyFill="1" applyBorder="1" applyAlignment="1">
      <alignment horizontal="center" wrapText="1"/>
    </xf>
    <xf numFmtId="0" fontId="182" fillId="34" borderId="11" xfId="0" applyFont="1" applyFill="1" applyBorder="1" applyAlignment="1">
      <alignment horizontal="center" wrapText="1"/>
    </xf>
    <xf numFmtId="0" fontId="69" fillId="34" borderId="66" xfId="0" applyFont="1" applyFill="1" applyBorder="1" applyAlignment="1">
      <alignment horizontal="center" wrapText="1"/>
    </xf>
    <xf numFmtId="0" fontId="69" fillId="34" borderId="80" xfId="0" applyFont="1" applyFill="1" applyBorder="1" applyAlignment="1">
      <alignment horizontal="center" wrapText="1"/>
    </xf>
    <xf numFmtId="0" fontId="152" fillId="0" borderId="39" xfId="0" applyFont="1" applyBorder="1" applyAlignment="1">
      <alignment horizontal="center" vertical="center"/>
    </xf>
    <xf numFmtId="0" fontId="152" fillId="0" borderId="40" xfId="0" applyFont="1" applyBorder="1" applyAlignment="1">
      <alignment horizontal="center" vertical="center"/>
    </xf>
    <xf numFmtId="0" fontId="152" fillId="0" borderId="16" xfId="0" applyFont="1" applyBorder="1" applyAlignment="1">
      <alignment horizontal="center" vertical="center"/>
    </xf>
    <xf numFmtId="0" fontId="152" fillId="0" borderId="11" xfId="0" applyFont="1" applyBorder="1" applyAlignment="1">
      <alignment horizontal="center" vertical="center"/>
    </xf>
    <xf numFmtId="0" fontId="57" fillId="34" borderId="13" xfId="0" applyFont="1" applyFill="1" applyBorder="1" applyAlignment="1">
      <alignment horizontal="justify" vertical="center" wrapText="1"/>
    </xf>
    <xf numFmtId="0" fontId="57" fillId="34" borderId="16" xfId="0" applyFont="1" applyFill="1" applyBorder="1" applyAlignment="1">
      <alignment horizontal="justify" vertical="center" wrapText="1"/>
    </xf>
    <xf numFmtId="0" fontId="57" fillId="34" borderId="11" xfId="0" applyFont="1" applyFill="1" applyBorder="1" applyAlignment="1">
      <alignment horizontal="justify" vertical="center" wrapText="1"/>
    </xf>
    <xf numFmtId="0" fontId="48" fillId="0" borderId="86" xfId="0" applyFont="1" applyBorder="1" applyAlignment="1">
      <alignment horizontal="center" vertical="center" wrapText="1"/>
    </xf>
    <xf numFmtId="0" fontId="48" fillId="0" borderId="87" xfId="0" applyFont="1" applyBorder="1" applyAlignment="1">
      <alignment horizontal="center" vertical="center" wrapText="1"/>
    </xf>
    <xf numFmtId="0" fontId="48" fillId="0" borderId="84" xfId="0" applyFont="1" applyBorder="1" applyAlignment="1">
      <alignment horizontal="center" vertical="center" wrapText="1"/>
    </xf>
    <xf numFmtId="0" fontId="39" fillId="0" borderId="15" xfId="0" applyFont="1" applyBorder="1" applyAlignment="1">
      <alignment horizontal="center" vertical="center"/>
    </xf>
    <xf numFmtId="0" fontId="39" fillId="0" borderId="59" xfId="0" applyFont="1" applyBorder="1" applyAlignment="1">
      <alignment horizontal="center" vertical="center"/>
    </xf>
    <xf numFmtId="0" fontId="39" fillId="0" borderId="39" xfId="0" applyFont="1" applyBorder="1" applyAlignment="1">
      <alignment horizontal="center" vertical="center"/>
    </xf>
    <xf numFmtId="0" fontId="39" fillId="0" borderId="41" xfId="0" applyFont="1" applyBorder="1" applyAlignment="1">
      <alignment horizontal="center" vertical="center"/>
    </xf>
    <xf numFmtId="0" fontId="39" fillId="0" borderId="80" xfId="0" applyFont="1" applyBorder="1" applyAlignment="1">
      <alignment horizontal="center" wrapText="1"/>
    </xf>
    <xf numFmtId="0" fontId="39" fillId="0" borderId="67" xfId="0" applyFont="1" applyBorder="1" applyAlignment="1">
      <alignment horizontal="center"/>
    </xf>
    <xf numFmtId="0" fontId="48" fillId="0" borderId="88" xfId="0" applyFont="1" applyBorder="1" applyAlignment="1">
      <alignment horizontal="center" vertical="center"/>
    </xf>
    <xf numFmtId="0" fontId="48" fillId="0" borderId="89" xfId="0" applyFont="1" applyBorder="1" applyAlignment="1">
      <alignment horizontal="center" vertical="center"/>
    </xf>
    <xf numFmtId="0" fontId="48" fillId="0" borderId="90" xfId="0" applyFont="1" applyBorder="1" applyAlignment="1">
      <alignment horizontal="center" vertical="center"/>
    </xf>
    <xf numFmtId="0" fontId="129" fillId="73" borderId="66" xfId="0" applyFont="1" applyFill="1" applyBorder="1" applyAlignment="1">
      <alignment horizontal="center" vertical="center" wrapText="1"/>
    </xf>
    <xf numFmtId="0" fontId="129" fillId="73" borderId="80" xfId="0" applyFont="1" applyFill="1" applyBorder="1" applyAlignment="1">
      <alignment horizontal="center" vertical="center" wrapText="1"/>
    </xf>
    <xf numFmtId="0" fontId="57" fillId="78" borderId="66" xfId="0" applyFont="1" applyFill="1" applyBorder="1" applyAlignment="1">
      <alignment horizontal="center" vertical="center" wrapText="1"/>
    </xf>
    <xf numFmtId="0" fontId="57" fillId="78" borderId="80" xfId="0" applyFont="1" applyFill="1" applyBorder="1" applyAlignment="1">
      <alignment horizontal="center" vertical="center" wrapText="1"/>
    </xf>
    <xf numFmtId="0" fontId="182" fillId="78" borderId="13" xfId="0" applyFont="1" applyFill="1" applyBorder="1" applyAlignment="1">
      <alignment horizontal="center" vertical="center" wrapText="1"/>
    </xf>
    <xf numFmtId="0" fontId="182" fillId="78" borderId="16" xfId="0" applyFont="1" applyFill="1" applyBorder="1" applyAlignment="1">
      <alignment horizontal="center" vertical="center" wrapText="1"/>
    </xf>
    <xf numFmtId="0" fontId="182" fillId="78" borderId="11" xfId="0" applyFont="1" applyFill="1" applyBorder="1" applyAlignment="1">
      <alignment horizontal="center" vertical="center" wrapText="1"/>
    </xf>
    <xf numFmtId="0" fontId="57" fillId="78" borderId="16" xfId="0" applyFont="1" applyFill="1" applyBorder="1" applyAlignment="1">
      <alignment horizontal="left" wrapText="1"/>
    </xf>
    <xf numFmtId="0" fontId="39" fillId="0" borderId="16" xfId="0" applyFont="1" applyBorder="1" applyAlignment="1">
      <alignment horizontal="center" wrapText="1"/>
    </xf>
    <xf numFmtId="0" fontId="39" fillId="0" borderId="11" xfId="0" applyFont="1" applyBorder="1" applyAlignment="1">
      <alignment horizontal="center" wrapText="1"/>
    </xf>
    <xf numFmtId="0" fontId="57" fillId="0" borderId="16" xfId="0" applyFont="1" applyFill="1" applyBorder="1" applyAlignment="1">
      <alignment horizontal="justify" vertical="center" wrapText="1"/>
    </xf>
    <xf numFmtId="0" fontId="57" fillId="0" borderId="11" xfId="0" applyFont="1" applyFill="1" applyBorder="1" applyAlignment="1">
      <alignment horizontal="justify" vertical="center" wrapText="1"/>
    </xf>
    <xf numFmtId="0" fontId="57" fillId="78" borderId="11" xfId="0" applyFont="1" applyFill="1" applyBorder="1" applyAlignment="1">
      <alignment horizontal="left" wrapText="1"/>
    </xf>
    <xf numFmtId="0" fontId="57" fillId="34" borderId="56" xfId="0" applyFont="1" applyFill="1" applyBorder="1" applyAlignment="1">
      <alignment horizontal="justify" vertical="center" wrapText="1"/>
    </xf>
    <xf numFmtId="0" fontId="39" fillId="78" borderId="16" xfId="0" applyFont="1" applyFill="1" applyBorder="1" applyAlignment="1">
      <alignment horizontal="center" wrapText="1"/>
    </xf>
    <xf numFmtId="0" fontId="39" fillId="78" borderId="11" xfId="0" applyFont="1" applyFill="1" applyBorder="1" applyAlignment="1">
      <alignment horizontal="center" wrapText="1"/>
    </xf>
    <xf numFmtId="0" fontId="57" fillId="0" borderId="13" xfId="0" applyFont="1" applyFill="1" applyBorder="1" applyAlignment="1">
      <alignment horizontal="left" vertical="center" wrapText="1"/>
    </xf>
    <xf numFmtId="0" fontId="57" fillId="0" borderId="16" xfId="0" applyFont="1" applyFill="1" applyBorder="1" applyAlignment="1">
      <alignment horizontal="left" vertical="center" wrapText="1"/>
    </xf>
    <xf numFmtId="0" fontId="57" fillId="0" borderId="11" xfId="0" applyFont="1" applyFill="1" applyBorder="1" applyAlignment="1">
      <alignment horizontal="left" vertical="center" wrapText="1"/>
    </xf>
    <xf numFmtId="0" fontId="57" fillId="78" borderId="82" xfId="0" applyFont="1" applyFill="1" applyBorder="1" applyAlignment="1">
      <alignment horizontal="left" wrapText="1"/>
    </xf>
    <xf numFmtId="0" fontId="39" fillId="78" borderId="16" xfId="0" applyFont="1" applyFill="1" applyBorder="1" applyAlignment="1">
      <alignment horizontal="justify" vertical="center" wrapText="1"/>
    </xf>
    <xf numFmtId="0" fontId="39" fillId="78" borderId="11" xfId="0" applyFont="1" applyFill="1" applyBorder="1" applyAlignment="1">
      <alignment horizontal="justify" vertical="center" wrapText="1"/>
    </xf>
    <xf numFmtId="0" fontId="57" fillId="0" borderId="56" xfId="0" applyFont="1" applyFill="1" applyBorder="1" applyAlignment="1">
      <alignment horizontal="left" vertical="center" wrapText="1"/>
    </xf>
    <xf numFmtId="0" fontId="0" fillId="78" borderId="16" xfId="0" applyFill="1" applyBorder="1" applyAlignment="1">
      <alignment horizontal="center"/>
    </xf>
    <xf numFmtId="0" fontId="0" fillId="78" borderId="11" xfId="0" applyFill="1" applyBorder="1" applyAlignment="1">
      <alignment horizontal="center"/>
    </xf>
    <xf numFmtId="0" fontId="57" fillId="34" borderId="13" xfId="0" applyFont="1" applyFill="1" applyBorder="1" applyAlignment="1">
      <alignment horizontal="left" vertical="center" wrapText="1"/>
    </xf>
    <xf numFmtId="0" fontId="57" fillId="34" borderId="16" xfId="0" applyFont="1" applyFill="1" applyBorder="1" applyAlignment="1">
      <alignment horizontal="left" vertical="center" wrapText="1"/>
    </xf>
    <xf numFmtId="0" fontId="57" fillId="34" borderId="11" xfId="0" applyFont="1" applyFill="1" applyBorder="1" applyAlignment="1">
      <alignment horizontal="left" vertical="center" wrapText="1"/>
    </xf>
    <xf numFmtId="0" fontId="57" fillId="27" borderId="0" xfId="682" applyFont="1" applyFill="1" applyAlignment="1">
      <alignment horizontal="center" vertical="center" wrapText="1"/>
    </xf>
  </cellXfs>
  <cellStyles count="31737">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23061F0C-4409-4E5F-A960-26EABC21E703}"/>
    <cellStyle name="Normal 24" xfId="31724" xr:uid="{4AD80940-F9FE-4312-92C2-BB9034C34D3B}"/>
    <cellStyle name="Normal 25" xfId="30098" xr:uid="{07506169-A6FD-44A0-8C52-1A1EF451F172}"/>
    <cellStyle name="Normal 26" xfId="30103" xr:uid="{7027CCDA-B9FD-43DE-A40A-182DF76F28F4}"/>
    <cellStyle name="Normal 27" xfId="31723"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99">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90" formatCode=";;;"/>
    </dxf>
    <dxf>
      <numFmt numFmtId="190" formatCode=";;;"/>
    </dxf>
    <dxf>
      <numFmt numFmtId="190" formatCode=";;;"/>
    </dxf>
    <dxf>
      <numFmt numFmtId="190" formatCode=";;;"/>
    </dxf>
    <dxf>
      <numFmt numFmtId="190"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C4CD"/>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5050"/>
        </patternFill>
      </fill>
    </dxf>
    <dxf>
      <fill>
        <patternFill>
          <bgColor rgb="FFFFFFCC"/>
        </patternFill>
      </fill>
    </dxf>
    <dxf>
      <numFmt numFmtId="190" formatCode=";;;"/>
    </dxf>
    <dxf>
      <numFmt numFmtId="190" formatCode=";;;"/>
    </dxf>
    <dxf>
      <numFmt numFmtId="190" formatCode=";;;"/>
    </dxf>
    <dxf>
      <numFmt numFmtId="190" formatCode=";;;"/>
    </dxf>
    <dxf>
      <numFmt numFmtId="190" formatCode=";;;"/>
    </dxf>
    <dxf>
      <numFmt numFmtId="190" formatCode=";;;"/>
    </dxf>
    <dxf>
      <numFmt numFmtId="190" formatCode=";;;"/>
    </dxf>
    <dxf>
      <numFmt numFmtId="190" formatCode=";;;"/>
    </dxf>
    <dxf>
      <numFmt numFmtId="190" formatCode=";;;"/>
    </dxf>
    <dxf>
      <numFmt numFmtId="190" formatCode=";;;"/>
    </dxf>
    <dxf>
      <numFmt numFmtId="190" formatCode=";;;"/>
    </dxf>
    <dxf>
      <numFmt numFmtId="190" formatCode=";;;"/>
    </dxf>
    <dxf>
      <numFmt numFmtId="190" formatCode=";;;"/>
    </dxf>
    <dxf>
      <numFmt numFmtId="190" formatCode=";;;"/>
    </dxf>
    <dxf>
      <numFmt numFmtId="190"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98"/>
      <tableStyleElement type="headerRow" dxfId="97"/>
      <tableStyleElement type="firstRowStripe" dxfId="96"/>
    </tableStyle>
  </tableStyles>
  <colors>
    <mruColors>
      <color rgb="FFFFFFCC"/>
      <color rgb="FFFFC4CD"/>
      <color rgb="FFFFC7CE"/>
      <color rgb="FFCCFFCC"/>
      <color rgb="FFE14343"/>
      <color rgb="FFCCFF66"/>
      <color rgb="FFCCFFFF"/>
      <color rgb="FFDCFDD3"/>
      <color rgb="FFFCCCE1"/>
      <color rgb="FFF7EA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'Performance  Indicators Print'!$L$5</c:f>
              <c:strCache>
                <c:ptCount val="1"/>
                <c:pt idx="0">
                  <c:v>2021</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Print'!$L$7</c:f>
              <c:numCache>
                <c:formatCode>0.00</c:formatCode>
                <c:ptCount val="1"/>
                <c:pt idx="0">
                  <c:v>#N/A</c:v>
                </c:pt>
              </c:numCache>
            </c:numRef>
          </c:val>
          <c:extLst>
            <c:ext xmlns:c16="http://schemas.microsoft.com/office/drawing/2014/chart" uri="{C3380CC4-5D6E-409C-BE32-E72D297353CC}">
              <c16:uniqueId val="{00000000-1CDB-4C76-BFFC-D1B465011A83}"/>
            </c:ext>
          </c:extLst>
        </c:ser>
        <c:ser>
          <c:idx val="1"/>
          <c:order val="1"/>
          <c:tx>
            <c:strRef>
              <c:f>'Performance  Indicators Print'!$M$5</c:f>
              <c:strCache>
                <c:ptCount val="1"/>
                <c:pt idx="0">
                  <c:v>2022</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Print'!$M$7</c:f>
              <c:numCache>
                <c:formatCode>0.00</c:formatCode>
                <c:ptCount val="1"/>
                <c:pt idx="0">
                  <c:v>#N/A</c:v>
                </c:pt>
              </c:numCache>
            </c:numRef>
          </c:val>
          <c:extLst>
            <c:ext xmlns:c16="http://schemas.microsoft.com/office/drawing/2014/chart" uri="{C3380CC4-5D6E-409C-BE32-E72D297353CC}">
              <c16:uniqueId val="{00000001-1CDB-4C76-BFFC-D1B465011A83}"/>
            </c:ext>
          </c:extLst>
        </c:ser>
        <c:ser>
          <c:idx val="2"/>
          <c:order val="2"/>
          <c:tx>
            <c:strRef>
              <c:f>'Performance  Indicators Print'!$N$5</c:f>
              <c:strCache>
                <c:ptCount val="1"/>
                <c:pt idx="0">
                  <c:v>2023</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Print'!$N$7</c:f>
              <c:numCache>
                <c:formatCode>0.00</c:formatCode>
                <c:ptCount val="1"/>
                <c:pt idx="0">
                  <c:v>0</c:v>
                </c:pt>
              </c:numCache>
            </c:numRef>
          </c:val>
          <c:extLst>
            <c:ext xmlns:c16="http://schemas.microsoft.com/office/drawing/2014/chart" uri="{C3380CC4-5D6E-409C-BE32-E72D297353CC}">
              <c16:uniqueId val="{00000002-1CDB-4C76-BFFC-D1B465011A83}"/>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'Performance  Indicators Print'!$L$5</c:f>
              <c:strCache>
                <c:ptCount val="1"/>
                <c:pt idx="0">
                  <c:v>2021</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Print'!$L$13</c:f>
              <c:numCache>
                <c:formatCode>0.00</c:formatCode>
                <c:ptCount val="1"/>
                <c:pt idx="0">
                  <c:v>#N/A</c:v>
                </c:pt>
              </c:numCache>
            </c:numRef>
          </c:val>
          <c:extLst>
            <c:ext xmlns:c16="http://schemas.microsoft.com/office/drawing/2014/chart" uri="{C3380CC4-5D6E-409C-BE32-E72D297353CC}">
              <c16:uniqueId val="{00000000-3BE2-4478-82F0-97834E674CDE}"/>
            </c:ext>
          </c:extLst>
        </c:ser>
        <c:ser>
          <c:idx val="1"/>
          <c:order val="1"/>
          <c:tx>
            <c:strRef>
              <c:f>'Performance  Indicators Print'!$M$5</c:f>
              <c:strCache>
                <c:ptCount val="1"/>
                <c:pt idx="0">
                  <c:v>2022</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Print'!$M$13</c:f>
              <c:numCache>
                <c:formatCode>0.00</c:formatCode>
                <c:ptCount val="1"/>
                <c:pt idx="0">
                  <c:v>#N/A</c:v>
                </c:pt>
              </c:numCache>
            </c:numRef>
          </c:val>
          <c:extLst>
            <c:ext xmlns:c16="http://schemas.microsoft.com/office/drawing/2014/chart" uri="{C3380CC4-5D6E-409C-BE32-E72D297353CC}">
              <c16:uniqueId val="{00000001-3BE2-4478-82F0-97834E674CDE}"/>
            </c:ext>
          </c:extLst>
        </c:ser>
        <c:ser>
          <c:idx val="2"/>
          <c:order val="2"/>
          <c:tx>
            <c:strRef>
              <c:f>'Performance  Indicators Print'!$N$5</c:f>
              <c:strCache>
                <c:ptCount val="1"/>
                <c:pt idx="0">
                  <c:v>2023</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Print'!$N$13</c:f>
              <c:numCache>
                <c:formatCode>0.00</c:formatCode>
                <c:ptCount val="1"/>
                <c:pt idx="0">
                  <c:v>0</c:v>
                </c:pt>
              </c:numCache>
            </c:numRef>
          </c:val>
          <c:extLst>
            <c:ext xmlns:c16="http://schemas.microsoft.com/office/drawing/2014/chart" uri="{C3380CC4-5D6E-409C-BE32-E72D297353CC}">
              <c16:uniqueId val="{00000002-3BE2-4478-82F0-97834E674CDE}"/>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4591048</xdr:colOff>
      <xdr:row>21</xdr:row>
      <xdr:rowOff>38100</xdr:rowOff>
    </xdr:from>
    <xdr:to>
      <xdr:col>1</xdr:col>
      <xdr:colOff>6838949</xdr:colOff>
      <xdr:row>21</xdr:row>
      <xdr:rowOff>476250</xdr:rowOff>
    </xdr:to>
    <xdr:sp macro="" textlink="">
      <xdr:nvSpPr>
        <xdr:cNvPr id="2" name="Hexagon 1">
          <a:extLst>
            <a:ext uri="{FF2B5EF4-FFF2-40B4-BE49-F238E27FC236}">
              <a16:creationId xmlns:a16="http://schemas.microsoft.com/office/drawing/2014/main" id="{00000000-0008-0000-0200-000002000000}"/>
            </a:ext>
          </a:extLst>
        </xdr:cNvPr>
        <xdr:cNvSpPr/>
      </xdr:nvSpPr>
      <xdr:spPr>
        <a:xfrm>
          <a:off x="5219698" y="9829800"/>
          <a:ext cx="2247901" cy="43815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chemeClr val="tx1"/>
              </a:solidFill>
            </a:rPr>
            <a:t>Q 955 - Exclude Federal and State compliance</a:t>
          </a:r>
          <a:r>
            <a:rPr lang="en-US" sz="800" baseline="0">
              <a:solidFill>
                <a:schemeClr val="tx1"/>
              </a:solidFill>
            </a:rPr>
            <a:t> findings from this number</a:t>
          </a:r>
          <a:endParaRPr lang="en-US" sz="800">
            <a:solidFill>
              <a:schemeClr val="tx1"/>
            </a:solidFill>
          </a:endParaRPr>
        </a:p>
      </xdr:txBody>
    </xdr:sp>
    <xdr:clientData/>
  </xdr:twoCellAnchor>
  <xdr:twoCellAnchor>
    <xdr:from>
      <xdr:col>1</xdr:col>
      <xdr:colOff>4585333</xdr:colOff>
      <xdr:row>22</xdr:row>
      <xdr:rowOff>47625</xdr:rowOff>
    </xdr:from>
    <xdr:to>
      <xdr:col>1</xdr:col>
      <xdr:colOff>6833234</xdr:colOff>
      <xdr:row>22</xdr:row>
      <xdr:rowOff>481965</xdr:rowOff>
    </xdr:to>
    <xdr:sp macro="" textlink="">
      <xdr:nvSpPr>
        <xdr:cNvPr id="3" name="Hexagon 2">
          <a:extLst>
            <a:ext uri="{FF2B5EF4-FFF2-40B4-BE49-F238E27FC236}">
              <a16:creationId xmlns:a16="http://schemas.microsoft.com/office/drawing/2014/main" id="{00000000-0008-0000-0200-000003000000}"/>
            </a:ext>
          </a:extLst>
        </xdr:cNvPr>
        <xdr:cNvSpPr/>
      </xdr:nvSpPr>
      <xdr:spPr>
        <a:xfrm>
          <a:off x="5109208" y="7896225"/>
          <a:ext cx="2247901" cy="43434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chemeClr val="tx1"/>
              </a:solidFill>
            </a:rPr>
            <a:t>Q 957 - Exclude Federal and State compliance</a:t>
          </a:r>
          <a:r>
            <a:rPr lang="en-US" sz="800" baseline="0">
              <a:solidFill>
                <a:schemeClr val="tx1"/>
              </a:solidFill>
            </a:rPr>
            <a:t> findings from this number</a:t>
          </a:r>
          <a:endParaRPr lang="en-US" sz="8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340178</xdr:colOff>
      <xdr:row>6</xdr:row>
      <xdr:rowOff>68036</xdr:rowOff>
    </xdr:from>
    <xdr:to>
      <xdr:col>4</xdr:col>
      <xdr:colOff>914400</xdr:colOff>
      <xdr:row>6</xdr:row>
      <xdr:rowOff>2408464</xdr:rowOff>
    </xdr:to>
    <xdr:graphicFrame macro="">
      <xdr:nvGraphicFramePr>
        <xdr:cNvPr id="3" name="Chart 1">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272145</xdr:colOff>
      <xdr:row>12</xdr:row>
      <xdr:rowOff>81643</xdr:rowOff>
    </xdr:from>
    <xdr:to>
      <xdr:col>4</xdr:col>
      <xdr:colOff>923926</xdr:colOff>
      <xdr:row>12</xdr:row>
      <xdr:rowOff>2449286</xdr:rowOff>
    </xdr:to>
    <xdr:graphicFrame macro="">
      <xdr:nvGraphicFramePr>
        <xdr:cNvPr id="4" name="Chart 1">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4" Type="http://schemas.openxmlformats.org/officeDocument/2006/relationships/hyperlink" Target="https://www.nctreasurer.com/links/state-and-local-government-finance/lgc/local-fiscal-management/annual-audit/submitting-your-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F1B76-C50B-4745-9B2B-A506C70DE959}">
  <dimension ref="B1:N61"/>
  <sheetViews>
    <sheetView tabSelected="1" workbookViewId="0">
      <selection activeCell="B2" sqref="B2"/>
    </sheetView>
  </sheetViews>
  <sheetFormatPr defaultColWidth="9.109375" defaultRowHeight="14.4" x14ac:dyDescent="0.3"/>
  <cols>
    <col min="1" max="1" width="1.6640625" style="173" customWidth="1"/>
    <col min="2" max="2" width="187.109375" style="173" customWidth="1"/>
    <col min="3" max="4" width="9.109375" style="173" hidden="1" customWidth="1"/>
    <col min="5" max="5" width="2.33203125" style="173" customWidth="1"/>
    <col min="6" max="6" width="16.44140625" style="173" customWidth="1"/>
    <col min="7" max="16384" width="9.109375" style="173"/>
  </cols>
  <sheetData>
    <row r="1" spans="2:14" ht="9.6" customHeight="1" thickBot="1" x14ac:dyDescent="0.35">
      <c r="B1" s="156"/>
    </row>
    <row r="2" spans="2:14" ht="91.95" customHeight="1" thickBot="1" x14ac:dyDescent="0.35">
      <c r="B2" s="535" t="s">
        <v>1696</v>
      </c>
    </row>
    <row r="3" spans="2:14" ht="76.2" customHeight="1" thickBot="1" x14ac:dyDescent="0.35">
      <c r="B3" s="777" t="s">
        <v>1624</v>
      </c>
      <c r="C3" s="167"/>
      <c r="D3" s="167"/>
    </row>
    <row r="4" spans="2:14" ht="58.95" customHeight="1" thickBot="1" x14ac:dyDescent="0.35">
      <c r="B4" s="777" t="s">
        <v>1639</v>
      </c>
      <c r="C4" s="167"/>
      <c r="D4" s="167"/>
    </row>
    <row r="5" spans="2:14" ht="61.2" customHeight="1" x14ac:dyDescent="0.3">
      <c r="B5" s="167" t="s">
        <v>1635</v>
      </c>
    </row>
    <row r="6" spans="2:14" ht="83.4" customHeight="1" x14ac:dyDescent="0.4">
      <c r="B6" s="167" t="s">
        <v>807</v>
      </c>
      <c r="F6" s="536"/>
      <c r="G6" s="536"/>
      <c r="H6" s="536"/>
      <c r="I6" s="536"/>
      <c r="J6" s="536"/>
      <c r="K6" s="536"/>
      <c r="L6" s="536"/>
      <c r="M6" s="536"/>
      <c r="N6" s="536"/>
    </row>
    <row r="7" spans="2:14" ht="58.2" customHeight="1" x14ac:dyDescent="0.3">
      <c r="B7" s="167" t="s">
        <v>808</v>
      </c>
    </row>
    <row r="8" spans="2:14" ht="117.6" customHeight="1" x14ac:dyDescent="0.3">
      <c r="B8" s="157" t="s">
        <v>809</v>
      </c>
    </row>
    <row r="9" spans="2:14" ht="25.95" customHeight="1" x14ac:dyDescent="0.3">
      <c r="B9" s="169" t="s">
        <v>422</v>
      </c>
    </row>
    <row r="10" spans="2:14" ht="49.2" customHeight="1" x14ac:dyDescent="0.3">
      <c r="B10" s="537" t="s">
        <v>810</v>
      </c>
    </row>
    <row r="11" spans="2:14" ht="42.6" customHeight="1" x14ac:dyDescent="0.3">
      <c r="B11" s="537" t="s">
        <v>423</v>
      </c>
    </row>
    <row r="12" spans="2:14" s="539" customFormat="1" ht="34.200000000000003" customHeight="1" x14ac:dyDescent="0.3">
      <c r="B12" s="538" t="s">
        <v>1626</v>
      </c>
    </row>
    <row r="13" spans="2:14" s="539" customFormat="1" ht="55.95" customHeight="1" x14ac:dyDescent="0.3">
      <c r="B13" s="540" t="s">
        <v>811</v>
      </c>
    </row>
    <row r="14" spans="2:14" ht="36" customHeight="1" x14ac:dyDescent="0.3">
      <c r="B14" s="540" t="s">
        <v>812</v>
      </c>
    </row>
    <row r="15" spans="2:14" ht="39" customHeight="1" x14ac:dyDescent="0.3">
      <c r="B15" s="541" t="s">
        <v>813</v>
      </c>
    </row>
    <row r="16" spans="2:14" ht="25.95" customHeight="1" x14ac:dyDescent="0.3">
      <c r="B16" s="169" t="s">
        <v>424</v>
      </c>
    </row>
    <row r="17" spans="2:2" x14ac:dyDescent="0.3">
      <c r="B17" s="156"/>
    </row>
    <row r="18" spans="2:2" x14ac:dyDescent="0.3">
      <c r="B18" s="542" t="s">
        <v>36</v>
      </c>
    </row>
    <row r="19" spans="2:2" ht="15.6" customHeight="1" x14ac:dyDescent="0.3">
      <c r="B19" s="543" t="s">
        <v>814</v>
      </c>
    </row>
    <row r="20" spans="2:2" x14ac:dyDescent="0.3">
      <c r="B20" s="544"/>
    </row>
    <row r="21" spans="2:2" x14ac:dyDescent="0.3">
      <c r="B21" s="542" t="s">
        <v>37</v>
      </c>
    </row>
    <row r="22" spans="2:2" ht="15.6" customHeight="1" x14ac:dyDescent="0.3">
      <c r="B22" s="545" t="s">
        <v>312</v>
      </c>
    </row>
    <row r="23" spans="2:2" ht="13.2" customHeight="1" x14ac:dyDescent="0.3">
      <c r="B23" s="156"/>
    </row>
    <row r="24" spans="2:2" ht="25.95" customHeight="1" x14ac:dyDescent="0.3">
      <c r="B24" s="169" t="s">
        <v>425</v>
      </c>
    </row>
    <row r="25" spans="2:2" s="539" customFormat="1" ht="72.599999999999994" customHeight="1" x14ac:dyDescent="0.3">
      <c r="B25" s="537" t="s">
        <v>1636</v>
      </c>
    </row>
    <row r="26" spans="2:2" s="539" customFormat="1" ht="84.6" customHeight="1" x14ac:dyDescent="0.3">
      <c r="B26" s="537" t="s">
        <v>815</v>
      </c>
    </row>
    <row r="27" spans="2:2" s="539" customFormat="1" ht="78.599999999999994" customHeight="1" x14ac:dyDescent="0.3">
      <c r="B27" s="537" t="s">
        <v>426</v>
      </c>
    </row>
    <row r="28" spans="2:2" ht="15" x14ac:dyDescent="0.3">
      <c r="B28" s="159" t="s">
        <v>816</v>
      </c>
    </row>
    <row r="29" spans="2:2" ht="8.4" customHeight="1" x14ac:dyDescent="0.3">
      <c r="B29" s="158"/>
    </row>
    <row r="30" spans="2:2" ht="25.95" customHeight="1" x14ac:dyDescent="0.3">
      <c r="B30" s="169" t="s">
        <v>817</v>
      </c>
    </row>
    <row r="31" spans="2:2" ht="28.95" customHeight="1" x14ac:dyDescent="0.3">
      <c r="B31" s="170" t="s">
        <v>1627</v>
      </c>
    </row>
    <row r="32" spans="2:2" ht="31.95" customHeight="1" x14ac:dyDescent="0.3">
      <c r="B32" s="170" t="s">
        <v>1628</v>
      </c>
    </row>
    <row r="33" spans="2:7" ht="30.6" customHeight="1" x14ac:dyDescent="0.3">
      <c r="B33" s="546" t="s">
        <v>1629</v>
      </c>
    </row>
    <row r="34" spans="2:7" ht="25.2" customHeight="1" x14ac:dyDescent="0.3">
      <c r="B34" s="546" t="s">
        <v>1630</v>
      </c>
    </row>
    <row r="35" spans="2:7" ht="27.6" customHeight="1" x14ac:dyDescent="0.3">
      <c r="B35" s="546" t="s">
        <v>1631</v>
      </c>
    </row>
    <row r="36" spans="2:7" ht="31.95" customHeight="1" x14ac:dyDescent="0.3">
      <c r="B36" s="547" t="s">
        <v>818</v>
      </c>
    </row>
    <row r="37" spans="2:7" ht="60" customHeight="1" x14ac:dyDescent="0.3">
      <c r="B37" s="170" t="s">
        <v>1637</v>
      </c>
    </row>
    <row r="38" spans="2:7" ht="60" customHeight="1" x14ac:dyDescent="0.3">
      <c r="B38" s="678" t="s">
        <v>1632</v>
      </c>
    </row>
    <row r="39" spans="2:7" ht="25.95" customHeight="1" x14ac:dyDescent="0.3">
      <c r="B39" s="170" t="s">
        <v>819</v>
      </c>
    </row>
    <row r="40" spans="2:7" ht="12" customHeight="1" x14ac:dyDescent="0.3">
      <c r="B40" s="170"/>
    </row>
    <row r="41" spans="2:7" ht="25.95" customHeight="1" x14ac:dyDescent="0.3">
      <c r="B41" s="169" t="s">
        <v>1633</v>
      </c>
    </row>
    <row r="42" spans="2:7" x14ac:dyDescent="0.3">
      <c r="B42" s="168"/>
      <c r="G42" s="548"/>
    </row>
    <row r="43" spans="2:7" ht="43.2" customHeight="1" x14ac:dyDescent="0.3">
      <c r="B43" s="549" t="s">
        <v>820</v>
      </c>
    </row>
    <row r="44" spans="2:7" ht="19.95" customHeight="1" x14ac:dyDescent="0.3">
      <c r="B44" s="550" t="s">
        <v>813</v>
      </c>
    </row>
    <row r="45" spans="2:7" ht="11.4" customHeight="1" x14ac:dyDescent="0.3">
      <c r="B45" s="171"/>
    </row>
    <row r="46" spans="2:7" ht="15" x14ac:dyDescent="0.3">
      <c r="B46" s="172"/>
    </row>
    <row r="47" spans="2:7" ht="7.2" customHeight="1" x14ac:dyDescent="0.3">
      <c r="B47" s="170"/>
    </row>
    <row r="48" spans="2:7" ht="25.95" customHeight="1" x14ac:dyDescent="0.3">
      <c r="B48" s="169" t="s">
        <v>1634</v>
      </c>
    </row>
    <row r="49" spans="2:2" ht="35.4" customHeight="1" x14ac:dyDescent="0.3">
      <c r="B49" s="549" t="s">
        <v>1638</v>
      </c>
    </row>
    <row r="50" spans="2:2" ht="15" x14ac:dyDescent="0.3">
      <c r="B50" s="172"/>
    </row>
    <row r="61" spans="2:2" ht="44.25" customHeight="1" x14ac:dyDescent="0.3"/>
  </sheetData>
  <sheetProtection algorithmName="SHA-512" hashValue="cvRWaaxm+zKD9121lcs5BPyUfQh2vpwxjpfMEPfxXyTXd9tEavh20VM2P+PTmwMI490DH5sYX2nhaWxwA/Rp8g==" saltValue="XmrRbvSEFyLUKqI2P4Qfpg==" spinCount="100000" sheet="1" objects="1" scenarios="1"/>
  <hyperlinks>
    <hyperlink ref="B19" r:id="rId1" xr:uid="{EF35FD93-F7C4-4B5E-8A6F-BAE4702C586C}"/>
    <hyperlink ref="B22" r:id="rId2" xr:uid="{7A2B33BE-73CC-4C83-BABF-BDF09917A712}"/>
    <hyperlink ref="B44" r:id="rId3" xr:uid="{8F5D616E-120C-4B2E-9929-9A3EA022535C}"/>
    <hyperlink ref="B15" r:id="rId4" xr:uid="{B2777283-4956-4411-9D8A-BE0922B5659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O94"/>
  <sheetViews>
    <sheetView workbookViewId="0">
      <selection activeCell="D21" sqref="D21"/>
    </sheetView>
  </sheetViews>
  <sheetFormatPr defaultColWidth="9.109375" defaultRowHeight="14.4" x14ac:dyDescent="0.3"/>
  <cols>
    <col min="1" max="1" width="43.88671875" style="354" customWidth="1"/>
    <col min="2" max="2" width="14.77734375" style="354" customWidth="1"/>
    <col min="3" max="3" width="9.109375" style="354"/>
    <col min="4" max="4" width="46.109375" style="354" customWidth="1"/>
    <col min="5" max="5" width="9.109375" style="354"/>
    <col min="6" max="6" width="12.5546875" style="354" customWidth="1"/>
    <col min="7" max="7" width="9.109375" style="354"/>
    <col min="8" max="8" width="21.6640625" style="354" customWidth="1"/>
    <col min="9" max="9" width="16.88671875" style="354" customWidth="1"/>
    <col min="10" max="11" width="9.109375" style="354"/>
    <col min="12" max="12" width="18.109375" style="354" customWidth="1"/>
    <col min="13" max="13" width="11" style="354" customWidth="1"/>
    <col min="14" max="16384" width="9.109375" style="354"/>
  </cols>
  <sheetData>
    <row r="1" spans="1:15" ht="24" customHeight="1" x14ac:dyDescent="0.3">
      <c r="A1" s="354" t="s">
        <v>739</v>
      </c>
    </row>
    <row r="2" spans="1:15" ht="15" thickBot="1" x14ac:dyDescent="0.35">
      <c r="A2" s="352" t="s">
        <v>1051</v>
      </c>
      <c r="B2" s="150">
        <v>591706</v>
      </c>
      <c r="C2" s="350">
        <v>59</v>
      </c>
      <c r="D2" s="49"/>
    </row>
    <row r="3" spans="1:15" ht="15" customHeight="1" thickBot="1" x14ac:dyDescent="0.35">
      <c r="A3" s="353" t="s">
        <v>1052</v>
      </c>
      <c r="B3" s="150">
        <v>591600</v>
      </c>
      <c r="C3" s="350">
        <v>59</v>
      </c>
      <c r="D3" s="48"/>
      <c r="J3" s="356"/>
      <c r="K3" s="356"/>
      <c r="N3" s="356"/>
      <c r="O3" s="356"/>
    </row>
    <row r="4" spans="1:15" ht="15" customHeight="1" thickBot="1" x14ac:dyDescent="0.35">
      <c r="A4" s="353" t="s">
        <v>1053</v>
      </c>
      <c r="B4" s="150">
        <v>592152</v>
      </c>
      <c r="C4" s="350">
        <v>59</v>
      </c>
      <c r="D4" s="48"/>
      <c r="J4" s="356"/>
      <c r="K4" s="356"/>
      <c r="N4" s="356"/>
      <c r="O4" s="356"/>
    </row>
    <row r="5" spans="1:15" ht="15" thickBot="1" x14ac:dyDescent="0.35">
      <c r="A5" s="353" t="s">
        <v>1054</v>
      </c>
      <c r="B5" s="150">
        <v>591612</v>
      </c>
      <c r="C5" s="350">
        <v>59</v>
      </c>
      <c r="D5" s="48"/>
      <c r="J5" s="356"/>
      <c r="K5" s="356"/>
      <c r="N5" s="356"/>
      <c r="O5" s="356"/>
    </row>
    <row r="6" spans="1:15" ht="15" thickBot="1" x14ac:dyDescent="0.35">
      <c r="A6" s="353" t="s">
        <v>1055</v>
      </c>
      <c r="B6" s="150">
        <v>591752</v>
      </c>
      <c r="C6" s="350">
        <v>59</v>
      </c>
      <c r="D6" s="48"/>
      <c r="J6" s="356"/>
      <c r="K6" s="356"/>
      <c r="N6" s="356"/>
      <c r="O6" s="356"/>
    </row>
    <row r="7" spans="1:15" ht="15" thickBot="1" x14ac:dyDescent="0.35">
      <c r="A7" s="353" t="s">
        <v>1056</v>
      </c>
      <c r="B7" s="150">
        <v>591715</v>
      </c>
      <c r="C7" s="350">
        <v>59</v>
      </c>
      <c r="D7" s="48"/>
      <c r="J7" s="356"/>
      <c r="K7" s="356"/>
      <c r="N7" s="356"/>
      <c r="O7" s="356"/>
    </row>
    <row r="8" spans="1:15" ht="15" thickBot="1" x14ac:dyDescent="0.35">
      <c r="A8" s="353" t="s">
        <v>1057</v>
      </c>
      <c r="B8" s="150">
        <v>592388</v>
      </c>
      <c r="C8" s="350">
        <v>59</v>
      </c>
      <c r="D8" s="48"/>
      <c r="J8" s="356"/>
      <c r="K8" s="356"/>
      <c r="N8" s="356"/>
      <c r="O8" s="356"/>
    </row>
    <row r="9" spans="1:15" ht="15" thickBot="1" x14ac:dyDescent="0.35">
      <c r="A9" s="353" t="s">
        <v>1058</v>
      </c>
      <c r="B9" s="150">
        <v>591603</v>
      </c>
      <c r="C9" s="350">
        <v>59</v>
      </c>
      <c r="D9" s="48"/>
      <c r="J9" s="356"/>
      <c r="K9" s="356"/>
      <c r="N9" s="356"/>
      <c r="O9" s="356"/>
    </row>
    <row r="10" spans="1:15" ht="15" thickBot="1" x14ac:dyDescent="0.35">
      <c r="A10" s="353" t="s">
        <v>460</v>
      </c>
      <c r="B10" s="150">
        <v>591604</v>
      </c>
      <c r="C10" s="350">
        <v>59</v>
      </c>
      <c r="D10" s="48"/>
      <c r="J10" s="356"/>
      <c r="K10" s="356"/>
      <c r="N10" s="356"/>
      <c r="O10" s="356"/>
    </row>
    <row r="11" spans="1:15" ht="15" thickBot="1" x14ac:dyDescent="0.35">
      <c r="A11" s="353" t="s">
        <v>1059</v>
      </c>
      <c r="B11" s="150">
        <v>591721</v>
      </c>
      <c r="C11" s="350">
        <v>59</v>
      </c>
      <c r="D11" s="48"/>
      <c r="J11" s="356"/>
      <c r="K11" s="356"/>
      <c r="N11" s="356"/>
      <c r="O11" s="356"/>
    </row>
    <row r="12" spans="1:15" ht="15" thickBot="1" x14ac:dyDescent="0.35">
      <c r="A12" s="353" t="s">
        <v>1060</v>
      </c>
      <c r="B12" s="150">
        <v>591605</v>
      </c>
      <c r="C12" s="350">
        <v>59</v>
      </c>
      <c r="D12" s="48"/>
      <c r="J12" s="356"/>
      <c r="K12" s="356"/>
      <c r="N12" s="356"/>
      <c r="O12" s="356"/>
    </row>
    <row r="13" spans="1:15" ht="15" thickBot="1" x14ac:dyDescent="0.35">
      <c r="A13" s="353" t="s">
        <v>472</v>
      </c>
      <c r="B13" s="150">
        <v>591632</v>
      </c>
      <c r="C13" s="350">
        <v>59</v>
      </c>
      <c r="D13" s="48"/>
      <c r="J13" s="356"/>
      <c r="K13" s="356"/>
      <c r="N13" s="356"/>
      <c r="O13" s="356"/>
    </row>
    <row r="14" spans="1:15" ht="15" thickBot="1" x14ac:dyDescent="0.35">
      <c r="A14" s="353" t="s">
        <v>1061</v>
      </c>
      <c r="B14" s="150">
        <v>594150</v>
      </c>
      <c r="C14" s="350">
        <v>59</v>
      </c>
      <c r="D14" s="48"/>
      <c r="J14" s="356"/>
      <c r="K14" s="356"/>
      <c r="N14" s="356"/>
      <c r="O14" s="356"/>
    </row>
    <row r="15" spans="1:15" ht="15" thickBot="1" x14ac:dyDescent="0.35">
      <c r="A15" s="353" t="s">
        <v>1062</v>
      </c>
      <c r="B15" s="150">
        <v>591606</v>
      </c>
      <c r="C15" s="350">
        <v>59</v>
      </c>
      <c r="D15" s="48"/>
      <c r="J15" s="356"/>
      <c r="K15" s="356"/>
      <c r="N15" s="356"/>
      <c r="O15" s="356"/>
    </row>
    <row r="16" spans="1:15" ht="15" thickBot="1" x14ac:dyDescent="0.35">
      <c r="A16" s="353" t="s">
        <v>1063</v>
      </c>
      <c r="B16" s="150">
        <v>592181</v>
      </c>
      <c r="C16" s="350">
        <v>59</v>
      </c>
      <c r="D16" s="48"/>
      <c r="J16" s="356"/>
      <c r="K16" s="356"/>
      <c r="N16" s="356"/>
      <c r="O16" s="356"/>
    </row>
    <row r="17" spans="1:15" ht="15" thickBot="1" x14ac:dyDescent="0.35">
      <c r="A17" s="353" t="s">
        <v>477</v>
      </c>
      <c r="B17" s="150">
        <v>591607</v>
      </c>
      <c r="C17" s="350">
        <v>59</v>
      </c>
      <c r="D17" s="48"/>
      <c r="J17" s="356"/>
      <c r="K17" s="356"/>
      <c r="N17" s="356"/>
      <c r="O17" s="356"/>
    </row>
    <row r="18" spans="1:15" ht="15" thickBot="1" x14ac:dyDescent="0.35">
      <c r="A18" s="353" t="s">
        <v>1064</v>
      </c>
      <c r="B18" s="150">
        <v>591608</v>
      </c>
      <c r="C18" s="350">
        <v>59</v>
      </c>
      <c r="D18" s="48"/>
      <c r="J18" s="356"/>
      <c r="K18" s="356"/>
      <c r="N18" s="356"/>
      <c r="O18" s="356"/>
    </row>
    <row r="19" spans="1:15" ht="15" thickBot="1" x14ac:dyDescent="0.35">
      <c r="A19" s="353" t="s">
        <v>1065</v>
      </c>
      <c r="B19" s="150">
        <v>591737</v>
      </c>
      <c r="C19" s="350">
        <v>59</v>
      </c>
      <c r="D19" s="48"/>
      <c r="J19" s="356"/>
      <c r="K19" s="356"/>
      <c r="N19" s="356"/>
      <c r="O19" s="356"/>
    </row>
    <row r="20" spans="1:15" ht="15" thickBot="1" x14ac:dyDescent="0.35">
      <c r="A20" s="353" t="s">
        <v>1066</v>
      </c>
      <c r="B20" s="150">
        <v>591609</v>
      </c>
      <c r="C20" s="350">
        <v>59</v>
      </c>
      <c r="D20" s="48"/>
      <c r="J20" s="356"/>
      <c r="K20" s="356"/>
      <c r="N20" s="356"/>
      <c r="O20" s="356"/>
    </row>
    <row r="21" spans="1:15" ht="15" thickBot="1" x14ac:dyDescent="0.35">
      <c r="A21" s="353" t="s">
        <v>1067</v>
      </c>
      <c r="B21" s="150">
        <v>591610</v>
      </c>
      <c r="C21" s="350">
        <v>59</v>
      </c>
      <c r="D21" s="48"/>
      <c r="J21" s="356"/>
      <c r="K21" s="356"/>
      <c r="N21" s="356"/>
      <c r="O21" s="356"/>
    </row>
    <row r="22" spans="1:15" ht="15" thickBot="1" x14ac:dyDescent="0.35">
      <c r="A22" s="353" t="s">
        <v>1068</v>
      </c>
      <c r="B22" s="150">
        <v>591611</v>
      </c>
      <c r="C22" s="350">
        <v>59</v>
      </c>
      <c r="D22" s="48"/>
      <c r="J22" s="356"/>
      <c r="K22" s="356"/>
      <c r="N22" s="356"/>
      <c r="O22" s="356"/>
    </row>
    <row r="23" spans="1:15" ht="15" thickBot="1" x14ac:dyDescent="0.35">
      <c r="A23" s="353" t="s">
        <v>1069</v>
      </c>
      <c r="B23" s="150">
        <v>591749</v>
      </c>
      <c r="C23" s="350">
        <v>59</v>
      </c>
      <c r="D23" s="48"/>
      <c r="J23" s="356"/>
      <c r="K23" s="356"/>
      <c r="N23" s="356"/>
      <c r="O23" s="356"/>
    </row>
    <row r="24" spans="1:15" ht="21" customHeight="1" thickBot="1" x14ac:dyDescent="0.35">
      <c r="A24" s="353" t="s">
        <v>793</v>
      </c>
      <c r="B24" s="150">
        <v>591613</v>
      </c>
      <c r="C24" s="350">
        <v>59</v>
      </c>
      <c r="D24" s="48"/>
      <c r="J24" s="356"/>
      <c r="K24" s="356"/>
      <c r="N24" s="356"/>
      <c r="O24" s="356"/>
    </row>
    <row r="25" spans="1:15" ht="28.8" customHeight="1" thickBot="1" x14ac:dyDescent="0.35">
      <c r="A25" s="353" t="s">
        <v>1070</v>
      </c>
      <c r="B25" s="150">
        <v>592396</v>
      </c>
      <c r="C25" s="350">
        <v>59</v>
      </c>
      <c r="D25" s="48"/>
      <c r="J25" s="356"/>
      <c r="K25" s="356"/>
      <c r="N25" s="356"/>
      <c r="O25" s="356"/>
    </row>
    <row r="26" spans="1:15" ht="15" thickBot="1" x14ac:dyDescent="0.35">
      <c r="A26" s="353" t="s">
        <v>1071</v>
      </c>
      <c r="B26" s="150">
        <v>591614</v>
      </c>
      <c r="C26" s="350">
        <v>59</v>
      </c>
      <c r="D26" s="48"/>
      <c r="J26" s="356"/>
      <c r="K26" s="356"/>
      <c r="N26" s="356"/>
      <c r="O26" s="356"/>
    </row>
    <row r="27" spans="1:15" ht="15" thickBot="1" x14ac:dyDescent="0.35">
      <c r="A27" s="353" t="s">
        <v>1072</v>
      </c>
      <c r="B27" s="150">
        <v>592180</v>
      </c>
      <c r="C27" s="350">
        <v>59</v>
      </c>
      <c r="D27" s="48"/>
      <c r="J27" s="356"/>
      <c r="K27" s="356"/>
      <c r="N27" s="356"/>
      <c r="O27" s="356"/>
    </row>
    <row r="28" spans="1:15" ht="15" thickBot="1" x14ac:dyDescent="0.35">
      <c r="A28" s="353" t="s">
        <v>1073</v>
      </c>
      <c r="B28" s="150">
        <v>591615</v>
      </c>
      <c r="C28" s="350">
        <v>59</v>
      </c>
      <c r="D28" s="48"/>
      <c r="J28" s="356"/>
      <c r="K28" s="356"/>
      <c r="N28" s="356"/>
      <c r="O28" s="356"/>
    </row>
    <row r="29" spans="1:15" ht="15" thickBot="1" x14ac:dyDescent="0.35">
      <c r="A29" s="353" t="s">
        <v>794</v>
      </c>
      <c r="B29" s="150">
        <v>591616</v>
      </c>
      <c r="C29" s="350">
        <v>59</v>
      </c>
      <c r="D29" s="48"/>
      <c r="J29" s="356"/>
      <c r="K29" s="356"/>
      <c r="N29" s="356"/>
      <c r="O29" s="356"/>
    </row>
    <row r="30" spans="1:15" ht="15" thickBot="1" x14ac:dyDescent="0.35">
      <c r="A30" s="353" t="s">
        <v>1074</v>
      </c>
      <c r="B30" s="150">
        <v>592158</v>
      </c>
      <c r="C30" s="350">
        <v>59</v>
      </c>
      <c r="D30" s="48"/>
      <c r="J30" s="356"/>
      <c r="K30" s="356"/>
      <c r="N30" s="356"/>
      <c r="O30" s="356"/>
    </row>
    <row r="31" spans="1:15" ht="15" thickBot="1" x14ac:dyDescent="0.35">
      <c r="A31" s="353" t="s">
        <v>1075</v>
      </c>
      <c r="B31" s="150">
        <v>591759</v>
      </c>
      <c r="C31" s="350">
        <v>59</v>
      </c>
      <c r="D31" s="48"/>
      <c r="J31" s="356"/>
      <c r="K31" s="356"/>
      <c r="N31" s="356"/>
      <c r="O31" s="356"/>
    </row>
    <row r="32" spans="1:15" ht="15" thickBot="1" x14ac:dyDescent="0.35">
      <c r="A32" s="353" t="s">
        <v>1076</v>
      </c>
      <c r="B32" s="150">
        <v>591762</v>
      </c>
      <c r="C32" s="350">
        <v>59</v>
      </c>
      <c r="D32" s="48"/>
      <c r="J32" s="356"/>
      <c r="K32" s="356"/>
      <c r="N32" s="356"/>
      <c r="O32" s="356"/>
    </row>
    <row r="33" spans="1:15" ht="15" thickBot="1" x14ac:dyDescent="0.35">
      <c r="A33" s="353" t="s">
        <v>1077</v>
      </c>
      <c r="B33" s="150">
        <v>591619</v>
      </c>
      <c r="C33" s="350">
        <v>59</v>
      </c>
      <c r="D33" s="48"/>
      <c r="J33" s="356"/>
      <c r="K33" s="356"/>
      <c r="N33" s="356"/>
      <c r="O33" s="356"/>
    </row>
    <row r="34" spans="1:15" ht="15" thickBot="1" x14ac:dyDescent="0.35">
      <c r="A34" s="353" t="s">
        <v>1078</v>
      </c>
      <c r="B34" s="150">
        <v>591770</v>
      </c>
      <c r="C34" s="350">
        <v>59</v>
      </c>
      <c r="D34" s="48"/>
      <c r="E34" s="350"/>
      <c r="J34" s="356"/>
      <c r="K34" s="356"/>
      <c r="N34" s="356"/>
      <c r="O34" s="356"/>
    </row>
    <row r="35" spans="1:15" ht="15" thickBot="1" x14ac:dyDescent="0.35">
      <c r="A35" s="353" t="s">
        <v>1079</v>
      </c>
      <c r="B35" s="150">
        <v>591620</v>
      </c>
      <c r="C35" s="350">
        <v>59</v>
      </c>
      <c r="D35" s="48"/>
      <c r="J35" s="356"/>
      <c r="K35" s="356"/>
      <c r="N35" s="356"/>
      <c r="O35" s="356"/>
    </row>
    <row r="36" spans="1:15" ht="15" thickBot="1" x14ac:dyDescent="0.35">
      <c r="A36" s="353" t="s">
        <v>1080</v>
      </c>
      <c r="B36" s="150">
        <v>592357</v>
      </c>
      <c r="C36" s="350">
        <v>59</v>
      </c>
      <c r="D36" s="48"/>
      <c r="J36" s="356"/>
      <c r="K36" s="356"/>
      <c r="N36" s="356"/>
      <c r="O36" s="356"/>
    </row>
    <row r="37" spans="1:15" ht="15" thickBot="1" x14ac:dyDescent="0.35">
      <c r="A37" s="353" t="s">
        <v>1081</v>
      </c>
      <c r="B37" s="150">
        <v>59713</v>
      </c>
      <c r="C37" s="350">
        <v>59</v>
      </c>
      <c r="D37" s="48"/>
      <c r="J37" s="356"/>
      <c r="K37" s="356"/>
      <c r="N37" s="356"/>
      <c r="O37" s="356"/>
    </row>
    <row r="38" spans="1:15" ht="15" thickBot="1" x14ac:dyDescent="0.35">
      <c r="A38" s="353" t="s">
        <v>1082</v>
      </c>
      <c r="B38" s="150">
        <v>591622</v>
      </c>
      <c r="C38" s="350">
        <v>59</v>
      </c>
      <c r="D38" s="48"/>
      <c r="J38" s="356"/>
      <c r="K38" s="356"/>
      <c r="N38" s="356"/>
      <c r="O38" s="356"/>
    </row>
    <row r="39" spans="1:15" ht="15" thickBot="1" x14ac:dyDescent="0.35">
      <c r="A39" s="353" t="s">
        <v>1083</v>
      </c>
      <c r="B39" s="150">
        <v>591623</v>
      </c>
      <c r="C39" s="350">
        <v>59</v>
      </c>
      <c r="D39" s="48"/>
      <c r="J39" s="356"/>
      <c r="K39" s="356"/>
      <c r="N39" s="356"/>
      <c r="O39" s="356"/>
    </row>
    <row r="40" spans="1:15" ht="15" thickBot="1" x14ac:dyDescent="0.35">
      <c r="A40" s="353" t="s">
        <v>1084</v>
      </c>
      <c r="B40" s="150">
        <v>591624</v>
      </c>
      <c r="C40" s="350">
        <v>59</v>
      </c>
      <c r="D40" s="48"/>
      <c r="J40" s="356"/>
      <c r="K40" s="356"/>
      <c r="N40" s="356"/>
      <c r="O40" s="356"/>
    </row>
    <row r="41" spans="1:15" ht="15" thickBot="1" x14ac:dyDescent="0.35">
      <c r="A41" s="353" t="s">
        <v>1085</v>
      </c>
      <c r="B41" s="150">
        <v>592368</v>
      </c>
      <c r="C41" s="350">
        <v>59</v>
      </c>
      <c r="D41" s="48"/>
      <c r="J41" s="356"/>
      <c r="K41" s="356"/>
      <c r="N41" s="356"/>
      <c r="O41" s="356"/>
    </row>
    <row r="42" spans="1:15" ht="15" thickBot="1" x14ac:dyDescent="0.35">
      <c r="A42" s="353" t="s">
        <v>1086</v>
      </c>
      <c r="B42" s="150">
        <v>592155</v>
      </c>
      <c r="C42" s="350">
        <v>59</v>
      </c>
      <c r="D42" s="48"/>
      <c r="J42" s="356"/>
      <c r="K42" s="356"/>
      <c r="N42" s="356"/>
      <c r="O42" s="356"/>
    </row>
    <row r="43" spans="1:15" ht="15" thickBot="1" x14ac:dyDescent="0.35">
      <c r="A43" s="353" t="s">
        <v>795</v>
      </c>
      <c r="B43" s="150">
        <v>591633</v>
      </c>
      <c r="C43" s="350">
        <v>59</v>
      </c>
      <c r="D43" s="48"/>
      <c r="J43" s="356"/>
      <c r="K43" s="356"/>
      <c r="N43" s="356"/>
      <c r="O43" s="356"/>
    </row>
    <row r="44" spans="1:15" ht="15" thickBot="1" x14ac:dyDescent="0.35">
      <c r="A44" s="353" t="s">
        <v>1087</v>
      </c>
      <c r="B44" s="150">
        <v>591768</v>
      </c>
      <c r="C44" s="350">
        <v>59</v>
      </c>
      <c r="D44" s="48"/>
      <c r="J44" s="356"/>
      <c r="K44" s="356"/>
      <c r="N44" s="356"/>
      <c r="O44" s="356"/>
    </row>
    <row r="45" spans="1:15" ht="19.8" customHeight="1" thickBot="1" x14ac:dyDescent="0.35">
      <c r="A45" s="353" t="s">
        <v>1088</v>
      </c>
      <c r="B45" s="150">
        <v>591634</v>
      </c>
      <c r="C45" s="350">
        <v>59</v>
      </c>
      <c r="D45" s="48"/>
      <c r="J45" s="356"/>
      <c r="K45" s="356"/>
      <c r="N45" s="356"/>
      <c r="O45" s="356"/>
    </row>
    <row r="46" spans="1:15" ht="15" thickBot="1" x14ac:dyDescent="0.35">
      <c r="A46" s="353" t="s">
        <v>1089</v>
      </c>
      <c r="B46" s="150">
        <v>591627</v>
      </c>
      <c r="C46" s="350">
        <v>59</v>
      </c>
      <c r="D46" s="48"/>
      <c r="J46" s="356"/>
      <c r="K46" s="356"/>
      <c r="N46" s="356"/>
      <c r="O46" s="356"/>
    </row>
    <row r="47" spans="1:15" ht="15" thickBot="1" x14ac:dyDescent="0.35">
      <c r="A47" s="353" t="s">
        <v>1090</v>
      </c>
      <c r="B47" s="150">
        <v>591628</v>
      </c>
      <c r="C47" s="350">
        <v>59</v>
      </c>
      <c r="D47" s="48"/>
      <c r="J47" s="356"/>
      <c r="K47" s="356"/>
      <c r="N47" s="356"/>
      <c r="O47" s="356"/>
    </row>
    <row r="48" spans="1:15" ht="15" thickBot="1" x14ac:dyDescent="0.35">
      <c r="A48" s="353" t="s">
        <v>1091</v>
      </c>
      <c r="B48" s="150">
        <v>591629</v>
      </c>
      <c r="C48" s="350">
        <v>59</v>
      </c>
      <c r="D48" s="48"/>
      <c r="J48" s="356"/>
      <c r="K48" s="356"/>
      <c r="N48" s="356"/>
      <c r="O48" s="356"/>
    </row>
    <row r="49" spans="1:15" ht="15" thickBot="1" x14ac:dyDescent="0.35">
      <c r="A49" s="353" t="s">
        <v>1092</v>
      </c>
      <c r="B49" s="150">
        <v>591636</v>
      </c>
      <c r="C49" s="350">
        <v>59</v>
      </c>
      <c r="D49" s="48"/>
      <c r="J49" s="356"/>
      <c r="K49" s="356"/>
      <c r="N49" s="356"/>
      <c r="O49" s="356"/>
    </row>
    <row r="50" spans="1:15" ht="15" thickBot="1" x14ac:dyDescent="0.35">
      <c r="A50" s="353"/>
      <c r="B50" s="150"/>
      <c r="C50" s="350"/>
      <c r="D50" s="48"/>
      <c r="J50" s="356"/>
      <c r="K50" s="356"/>
      <c r="N50" s="356"/>
      <c r="O50" s="356"/>
    </row>
    <row r="51" spans="1:15" ht="15" thickBot="1" x14ac:dyDescent="0.35">
      <c r="A51" s="353"/>
      <c r="B51" s="150"/>
      <c r="C51" s="350"/>
      <c r="D51" s="48"/>
      <c r="J51" s="356"/>
      <c r="K51" s="356"/>
      <c r="N51" s="356"/>
      <c r="O51" s="356"/>
    </row>
    <row r="52" spans="1:15" ht="15" thickBot="1" x14ac:dyDescent="0.35">
      <c r="A52" s="353"/>
      <c r="B52" s="150"/>
      <c r="C52" s="350"/>
      <c r="D52" s="48"/>
      <c r="J52" s="356"/>
      <c r="K52" s="356"/>
      <c r="N52" s="356"/>
      <c r="O52" s="356"/>
    </row>
    <row r="53" spans="1:15" ht="15" thickBot="1" x14ac:dyDescent="0.35">
      <c r="A53" s="353"/>
      <c r="B53" s="150"/>
      <c r="C53" s="350"/>
      <c r="D53" s="48"/>
      <c r="J53" s="356"/>
      <c r="K53" s="356"/>
      <c r="N53" s="356"/>
      <c r="O53" s="356"/>
    </row>
    <row r="54" spans="1:15" ht="15" thickBot="1" x14ac:dyDescent="0.35">
      <c r="A54" s="353"/>
      <c r="B54" s="150"/>
      <c r="C54" s="350"/>
      <c r="D54" s="48"/>
      <c r="J54" s="356"/>
      <c r="K54" s="356"/>
      <c r="N54" s="356"/>
      <c r="O54" s="356"/>
    </row>
    <row r="55" spans="1:15" ht="15" thickBot="1" x14ac:dyDescent="0.35">
      <c r="A55" s="353"/>
      <c r="B55" s="150"/>
      <c r="C55" s="350"/>
      <c r="D55" s="48"/>
      <c r="J55" s="356"/>
      <c r="K55" s="356"/>
      <c r="N55" s="356"/>
      <c r="O55" s="356"/>
    </row>
    <row r="56" spans="1:15" ht="15" thickBot="1" x14ac:dyDescent="0.35">
      <c r="A56" s="353"/>
      <c r="B56" s="150"/>
      <c r="C56" s="350"/>
      <c r="D56" s="48"/>
      <c r="J56" s="356"/>
      <c r="K56" s="356"/>
      <c r="N56" s="356"/>
      <c r="O56" s="356"/>
    </row>
    <row r="57" spans="1:15" ht="15" thickBot="1" x14ac:dyDescent="0.35">
      <c r="A57" s="353"/>
      <c r="B57" s="150"/>
      <c r="C57" s="350"/>
      <c r="D57" s="48"/>
      <c r="J57" s="356"/>
      <c r="K57" s="356"/>
      <c r="N57" s="356"/>
      <c r="O57" s="356"/>
    </row>
    <row r="58" spans="1:15" ht="15" thickBot="1" x14ac:dyDescent="0.35">
      <c r="A58" s="353"/>
      <c r="B58" s="150"/>
      <c r="C58" s="350"/>
      <c r="D58" s="48"/>
      <c r="J58" s="356"/>
      <c r="K58" s="356"/>
      <c r="N58" s="356"/>
      <c r="O58" s="356"/>
    </row>
    <row r="59" spans="1:15" ht="15" thickBot="1" x14ac:dyDescent="0.35">
      <c r="A59" s="353"/>
      <c r="B59" s="150"/>
      <c r="C59" s="350"/>
      <c r="D59" s="48"/>
      <c r="J59" s="356"/>
      <c r="K59" s="356"/>
      <c r="N59" s="356"/>
      <c r="O59" s="356"/>
    </row>
    <row r="60" spans="1:15" ht="15" thickBot="1" x14ac:dyDescent="0.35">
      <c r="A60" s="353"/>
      <c r="B60" s="150"/>
      <c r="C60" s="350"/>
      <c r="D60" s="48"/>
      <c r="J60" s="356"/>
      <c r="K60" s="356"/>
      <c r="N60" s="356"/>
      <c r="O60" s="356"/>
    </row>
    <row r="61" spans="1:15" ht="15" thickBot="1" x14ac:dyDescent="0.35">
      <c r="A61" s="353"/>
      <c r="B61" s="150"/>
      <c r="C61" s="350"/>
      <c r="D61" s="48"/>
      <c r="J61" s="356"/>
      <c r="K61" s="356"/>
      <c r="N61" s="356"/>
      <c r="O61" s="356"/>
    </row>
    <row r="62" spans="1:15" ht="15" thickBot="1" x14ac:dyDescent="0.35">
      <c r="A62" s="353"/>
      <c r="B62" s="150"/>
      <c r="C62" s="350"/>
      <c r="D62" s="48"/>
      <c r="J62" s="356"/>
      <c r="K62" s="356"/>
      <c r="N62" s="356"/>
      <c r="O62" s="356"/>
    </row>
    <row r="63" spans="1:15" ht="15" thickBot="1" x14ac:dyDescent="0.35">
      <c r="A63" s="353"/>
      <c r="B63" s="150"/>
      <c r="C63" s="350"/>
      <c r="D63" s="48"/>
      <c r="J63" s="356"/>
      <c r="K63" s="356"/>
      <c r="N63" s="356"/>
      <c r="O63" s="356"/>
    </row>
    <row r="64" spans="1:15" ht="15" thickBot="1" x14ac:dyDescent="0.35">
      <c r="A64" s="353"/>
      <c r="B64" s="150"/>
      <c r="C64" s="350"/>
      <c r="D64" s="48"/>
      <c r="J64" s="356"/>
      <c r="K64" s="356"/>
      <c r="N64" s="356"/>
      <c r="O64" s="356"/>
    </row>
    <row r="65" spans="1:15" ht="15" thickBot="1" x14ac:dyDescent="0.35">
      <c r="A65" s="353"/>
      <c r="B65" s="150"/>
      <c r="C65" s="350"/>
      <c r="D65" s="48"/>
      <c r="J65" s="356"/>
      <c r="K65" s="356"/>
      <c r="N65" s="356"/>
      <c r="O65" s="356"/>
    </row>
    <row r="66" spans="1:15" ht="15" thickBot="1" x14ac:dyDescent="0.35">
      <c r="A66" s="353"/>
      <c r="B66" s="150"/>
      <c r="C66" s="350"/>
      <c r="D66" s="48"/>
      <c r="J66" s="356"/>
      <c r="K66" s="356"/>
      <c r="N66" s="356"/>
      <c r="O66" s="356"/>
    </row>
    <row r="67" spans="1:15" ht="15" thickBot="1" x14ac:dyDescent="0.35">
      <c r="A67" s="353"/>
      <c r="B67" s="150"/>
      <c r="C67" s="350"/>
      <c r="D67" s="48"/>
      <c r="J67" s="356"/>
      <c r="K67" s="356"/>
      <c r="N67" s="356"/>
      <c r="O67" s="356"/>
    </row>
    <row r="68" spans="1:15" x14ac:dyDescent="0.3">
      <c r="C68" s="350"/>
    </row>
    <row r="69" spans="1:15" x14ac:dyDescent="0.3">
      <c r="C69" s="350"/>
    </row>
    <row r="70" spans="1:15" x14ac:dyDescent="0.3">
      <c r="C70" s="350"/>
    </row>
    <row r="71" spans="1:15" x14ac:dyDescent="0.3">
      <c r="C71" s="350"/>
    </row>
    <row r="72" spans="1:15" x14ac:dyDescent="0.3">
      <c r="C72" s="350"/>
    </row>
    <row r="73" spans="1:15" x14ac:dyDescent="0.3">
      <c r="C73" s="350"/>
    </row>
    <row r="74" spans="1:15" x14ac:dyDescent="0.3">
      <c r="C74" s="350"/>
    </row>
    <row r="75" spans="1:15" x14ac:dyDescent="0.3">
      <c r="C75" s="350"/>
    </row>
    <row r="76" spans="1:15" x14ac:dyDescent="0.3">
      <c r="C76" s="350"/>
    </row>
    <row r="77" spans="1:15" x14ac:dyDescent="0.3">
      <c r="C77" s="350"/>
    </row>
    <row r="78" spans="1:15" x14ac:dyDescent="0.3">
      <c r="C78" s="350"/>
    </row>
    <row r="79" spans="1:15" x14ac:dyDescent="0.3">
      <c r="C79" s="350"/>
    </row>
    <row r="80" spans="1:15" x14ac:dyDescent="0.3">
      <c r="C80" s="350"/>
    </row>
    <row r="81" spans="3:3" x14ac:dyDescent="0.3">
      <c r="C81" s="350"/>
    </row>
    <row r="82" spans="3:3" x14ac:dyDescent="0.3">
      <c r="C82" s="350"/>
    </row>
    <row r="83" spans="3:3" x14ac:dyDescent="0.3">
      <c r="C83" s="350"/>
    </row>
    <row r="84" spans="3:3" x14ac:dyDescent="0.3">
      <c r="C84" s="350"/>
    </row>
    <row r="85" spans="3:3" x14ac:dyDescent="0.3">
      <c r="C85" s="350"/>
    </row>
    <row r="86" spans="3:3" x14ac:dyDescent="0.3">
      <c r="C86" s="350"/>
    </row>
    <row r="87" spans="3:3" x14ac:dyDescent="0.3">
      <c r="C87" s="350"/>
    </row>
    <row r="88" spans="3:3" x14ac:dyDescent="0.3">
      <c r="C88" s="350"/>
    </row>
    <row r="89" spans="3:3" x14ac:dyDescent="0.3">
      <c r="C89" s="350"/>
    </row>
    <row r="90" spans="3:3" x14ac:dyDescent="0.3">
      <c r="C90" s="350"/>
    </row>
    <row r="91" spans="3:3" x14ac:dyDescent="0.3">
      <c r="C91" s="350"/>
    </row>
    <row r="92" spans="3:3" x14ac:dyDescent="0.3">
      <c r="C92" s="350"/>
    </row>
    <row r="93" spans="3:3" x14ac:dyDescent="0.3">
      <c r="C93" s="350"/>
    </row>
    <row r="94" spans="3:3" x14ac:dyDescent="0.3">
      <c r="C94" s="35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398"/>
  <sheetViews>
    <sheetView zoomScale="94" zoomScaleNormal="94" workbookViewId="0">
      <pane ySplit="5" topLeftCell="A6" activePane="bottomLeft" state="frozen"/>
      <selection activeCell="K179" sqref="K179"/>
      <selection pane="bottomLeft" activeCell="H2" sqref="H2"/>
    </sheetView>
  </sheetViews>
  <sheetFormatPr defaultColWidth="9.109375" defaultRowHeight="14.4" x14ac:dyDescent="0.3"/>
  <cols>
    <col min="1" max="1" width="10.33203125" style="18" customWidth="1"/>
    <col min="2" max="2" width="23.21875" style="5" customWidth="1"/>
    <col min="3" max="3" width="17.44140625" style="5" customWidth="1"/>
    <col min="4" max="4" width="46.33203125" style="356" customWidth="1"/>
    <col min="5" max="5" width="23.109375" style="18" customWidth="1"/>
    <col min="6" max="6" width="21.5546875" style="356" customWidth="1"/>
    <col min="7" max="7" width="26.6640625" style="413" customWidth="1"/>
    <col min="8" max="8" width="25.109375" style="281" customWidth="1"/>
    <col min="9" max="9" width="29.33203125" style="356" customWidth="1"/>
    <col min="10" max="10" width="41.88671875" style="18" customWidth="1"/>
    <col min="11" max="11" width="11.77734375" style="18" customWidth="1"/>
    <col min="12" max="12" width="4" hidden="1" customWidth="1"/>
    <col min="13" max="13" width="11" style="18" hidden="1" customWidth="1"/>
    <col min="14" max="14" width="3.33203125" style="183" hidden="1" customWidth="1"/>
    <col min="15" max="15" width="2.109375" style="18" hidden="1" customWidth="1"/>
    <col min="16" max="16" width="13.44140625" style="18" hidden="1" customWidth="1"/>
    <col min="17" max="17" width="13.109375" style="18" hidden="1" customWidth="1"/>
    <col min="18" max="24" width="9.109375" style="18"/>
    <col min="25" max="25" width="8.88671875" customWidth="1"/>
    <col min="26" max="28" width="10.5546875" customWidth="1"/>
    <col min="29" max="95" width="20.6640625" customWidth="1"/>
    <col min="123" max="1880" width="9.109375" style="18"/>
    <col min="1881" max="16384" width="9.109375" style="356"/>
  </cols>
  <sheetData>
    <row r="1" spans="1:122" ht="15" thickBot="1" x14ac:dyDescent="0.35">
      <c r="B1" s="415" t="s">
        <v>365</v>
      </c>
      <c r="C1" s="415"/>
      <c r="E1" s="357" t="s">
        <v>35</v>
      </c>
      <c r="F1" s="358">
        <v>2023</v>
      </c>
      <c r="G1" s="113" t="s">
        <v>96</v>
      </c>
      <c r="H1" s="359"/>
      <c r="I1" s="360"/>
      <c r="J1" s="361"/>
      <c r="M1" s="18" t="s">
        <v>50</v>
      </c>
      <c r="O1" s="18">
        <v>1</v>
      </c>
      <c r="P1" s="18" t="s">
        <v>998</v>
      </c>
    </row>
    <row r="2" spans="1:122" ht="44.25" customHeight="1" thickBot="1" x14ac:dyDescent="0.35">
      <c r="B2" s="914" t="s">
        <v>260</v>
      </c>
      <c r="C2" s="915"/>
      <c r="D2" s="362" t="s">
        <v>739</v>
      </c>
      <c r="E2" s="912" t="s">
        <v>272</v>
      </c>
      <c r="F2" s="912"/>
      <c r="G2" s="913"/>
      <c r="H2" s="361" t="s">
        <v>1713</v>
      </c>
      <c r="M2" s="18" t="s">
        <v>51</v>
      </c>
      <c r="N2" s="183">
        <v>50</v>
      </c>
      <c r="O2" s="18">
        <v>2</v>
      </c>
      <c r="P2" s="18">
        <v>9004</v>
      </c>
    </row>
    <row r="3" spans="1:122" ht="15" thickBot="1" x14ac:dyDescent="0.35">
      <c r="B3" s="416" t="s">
        <v>0</v>
      </c>
      <c r="C3" s="417"/>
      <c r="D3" s="364" t="e">
        <f>VLOOKUP(D2,'Unit Names(H)'!A2:B138,2,FALSE)</f>
        <v>#N/A</v>
      </c>
      <c r="E3" s="491"/>
      <c r="F3" s="365"/>
      <c r="G3" s="366"/>
      <c r="H3" s="363"/>
      <c r="N3" s="183">
        <v>51</v>
      </c>
      <c r="O3" s="18">
        <v>3</v>
      </c>
    </row>
    <row r="4" spans="1:122" ht="15" thickBot="1" x14ac:dyDescent="0.35">
      <c r="B4" s="418" t="s">
        <v>608</v>
      </c>
      <c r="C4" s="419"/>
      <c r="D4" s="367"/>
      <c r="E4" s="367"/>
      <c r="F4" s="368"/>
      <c r="G4" s="369"/>
      <c r="H4" s="363"/>
      <c r="I4" s="2"/>
      <c r="M4" s="18" t="s">
        <v>302</v>
      </c>
      <c r="N4" s="183">
        <v>52</v>
      </c>
      <c r="O4" s="18">
        <v>4</v>
      </c>
    </row>
    <row r="5" spans="1:122" ht="37.5" customHeight="1" thickBot="1" x14ac:dyDescent="0.35">
      <c r="A5" s="345" t="s">
        <v>362</v>
      </c>
      <c r="B5" s="251" t="s">
        <v>82</v>
      </c>
      <c r="C5" s="251" t="s">
        <v>98</v>
      </c>
      <c r="D5" s="370" t="s">
        <v>1</v>
      </c>
      <c r="E5" s="370">
        <v>2022</v>
      </c>
      <c r="F5" s="371">
        <v>2023</v>
      </c>
      <c r="G5" s="372" t="s">
        <v>717</v>
      </c>
      <c r="H5" s="373" t="s">
        <v>276</v>
      </c>
      <c r="I5" s="358" t="s">
        <v>13</v>
      </c>
      <c r="M5" s="18" t="s">
        <v>397</v>
      </c>
    </row>
    <row r="6" spans="1:122" ht="66.599999999999994" customHeight="1" thickBot="1" x14ac:dyDescent="0.35">
      <c r="A6" s="345"/>
      <c r="B6" s="921" t="s">
        <v>1640</v>
      </c>
      <c r="C6" s="922"/>
      <c r="D6" s="922"/>
      <c r="E6" s="922"/>
      <c r="F6" s="922"/>
      <c r="G6" s="923"/>
      <c r="H6" s="855"/>
      <c r="I6" s="855"/>
      <c r="L6" s="173"/>
      <c r="M6" s="18" t="s">
        <v>1699</v>
      </c>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c r="BQ6" s="173"/>
      <c r="BR6" s="173"/>
      <c r="BS6" s="173"/>
      <c r="BT6" s="173"/>
      <c r="BU6" s="173"/>
      <c r="BV6" s="173"/>
      <c r="BW6" s="173"/>
      <c r="BX6" s="173"/>
      <c r="BY6" s="173"/>
      <c r="BZ6" s="173"/>
      <c r="CA6" s="173"/>
      <c r="CB6" s="173"/>
      <c r="CC6" s="173"/>
      <c r="CD6" s="173"/>
      <c r="CE6" s="173"/>
      <c r="CF6" s="173"/>
      <c r="CG6" s="173"/>
      <c r="CH6" s="173"/>
      <c r="CI6" s="173"/>
      <c r="CJ6" s="173"/>
      <c r="CK6" s="173"/>
      <c r="CL6" s="173"/>
      <c r="CM6" s="173"/>
      <c r="CN6" s="173"/>
      <c r="CO6" s="173"/>
      <c r="CP6" s="173"/>
      <c r="CQ6" s="173"/>
      <c r="CR6" s="173"/>
      <c r="CS6" s="173"/>
      <c r="CT6" s="173"/>
      <c r="CU6" s="173"/>
      <c r="CV6" s="173"/>
      <c r="CW6" s="173"/>
      <c r="CX6" s="173"/>
      <c r="CY6" s="173"/>
      <c r="CZ6" s="173"/>
      <c r="DA6" s="173"/>
      <c r="DB6" s="173"/>
      <c r="DC6" s="173"/>
      <c r="DD6" s="173"/>
      <c r="DE6" s="173"/>
      <c r="DF6" s="173"/>
      <c r="DG6" s="173"/>
      <c r="DH6" s="173"/>
      <c r="DI6" s="173"/>
      <c r="DJ6" s="173"/>
      <c r="DK6" s="173"/>
      <c r="DL6" s="173"/>
      <c r="DM6" s="173"/>
      <c r="DN6" s="173"/>
      <c r="DO6" s="173"/>
      <c r="DP6" s="173"/>
      <c r="DQ6" s="173"/>
      <c r="DR6" s="173"/>
    </row>
    <row r="7" spans="1:122" ht="58.8" customHeight="1" thickBot="1" x14ac:dyDescent="0.35">
      <c r="A7" s="345"/>
      <c r="B7" s="921" t="s">
        <v>1625</v>
      </c>
      <c r="C7" s="922"/>
      <c r="D7" s="922"/>
      <c r="E7" s="922"/>
      <c r="F7" s="922"/>
      <c r="G7" s="923"/>
      <c r="H7" s="855"/>
      <c r="I7" s="855"/>
      <c r="L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c r="CE7" s="173"/>
      <c r="CF7" s="173"/>
      <c r="CG7" s="173"/>
      <c r="CH7" s="173"/>
      <c r="CI7" s="173"/>
      <c r="CJ7" s="173"/>
      <c r="CK7" s="173"/>
      <c r="CL7" s="173"/>
      <c r="CM7" s="173"/>
      <c r="CN7" s="173"/>
      <c r="CO7" s="173"/>
      <c r="CP7" s="173"/>
      <c r="CQ7" s="173"/>
      <c r="CR7" s="173"/>
      <c r="CS7" s="173"/>
      <c r="CT7" s="173"/>
      <c r="CU7" s="173"/>
      <c r="CV7" s="173"/>
      <c r="CW7" s="173"/>
      <c r="CX7" s="173"/>
      <c r="CY7" s="173"/>
      <c r="CZ7" s="173"/>
      <c r="DA7" s="173"/>
      <c r="DB7" s="173"/>
      <c r="DC7" s="173"/>
      <c r="DD7" s="173"/>
      <c r="DE7" s="173"/>
      <c r="DF7" s="173"/>
      <c r="DG7" s="173"/>
      <c r="DH7" s="173"/>
      <c r="DI7" s="173"/>
      <c r="DJ7" s="173"/>
      <c r="DK7" s="173"/>
      <c r="DL7" s="173"/>
      <c r="DM7" s="173"/>
      <c r="DN7" s="173"/>
      <c r="DO7" s="173"/>
      <c r="DP7" s="173"/>
      <c r="DQ7" s="173"/>
      <c r="DR7" s="173"/>
    </row>
    <row r="8" spans="1:122" ht="22.5" customHeight="1" x14ac:dyDescent="0.3">
      <c r="A8" s="250"/>
      <c r="B8" s="445" t="s">
        <v>97</v>
      </c>
      <c r="C8" s="446"/>
      <c r="D8" s="447"/>
      <c r="E8" s="448"/>
      <c r="F8" s="449"/>
      <c r="G8" s="441"/>
      <c r="H8" s="17"/>
      <c r="I8" s="281"/>
      <c r="M8" s="18" t="s">
        <v>381</v>
      </c>
    </row>
    <row r="9" spans="1:122" s="18" customFormat="1" ht="63.75" customHeight="1" x14ac:dyDescent="0.3">
      <c r="A9" s="554">
        <v>333</v>
      </c>
      <c r="B9" s="345" t="s">
        <v>66</v>
      </c>
      <c r="C9" s="345" t="s">
        <v>99</v>
      </c>
      <c r="D9" s="355" t="s">
        <v>609</v>
      </c>
      <c r="E9" s="769" t="e">
        <f>INDEX('PY1 Data(H)'!$A$1:$CZ$260,MATCH('Unit Data from Audit Worksheet'!$A9,'PY1 Data(H)'!$A$1:$A$260,0),MATCH('Unit Data from Audit Worksheet'!$D$2,'PY1 Data(H)'!$A$1:$CZ$1,0))</f>
        <v>#N/A</v>
      </c>
      <c r="F9" s="182">
        <v>0</v>
      </c>
      <c r="G9" s="375">
        <f>IF(F9&lt;0,"Note: Number is normally positive.",)</f>
        <v>0</v>
      </c>
      <c r="H9" s="856"/>
      <c r="I9" s="858"/>
      <c r="J9" s="264"/>
      <c r="K9" s="551"/>
      <c r="L9"/>
      <c r="M9" s="18" t="s">
        <v>398</v>
      </c>
      <c r="N9" s="183"/>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row>
    <row r="10" spans="1:122" s="18" customFormat="1" ht="51" customHeight="1" x14ac:dyDescent="0.3">
      <c r="A10" s="98">
        <v>500</v>
      </c>
      <c r="B10" s="345" t="s">
        <v>54</v>
      </c>
      <c r="C10" s="345" t="s">
        <v>99</v>
      </c>
      <c r="D10" s="355" t="s">
        <v>610</v>
      </c>
      <c r="E10" s="769" t="e">
        <f>INDEX('PY1 Data(H)'!$A$1:$CZ$260,MATCH('Unit Data from Audit Worksheet'!$A10,'PY1 Data(H)'!$A$1:$A$260,0),MATCH('Unit Data from Audit Worksheet'!$D$2,'PY1 Data(H)'!$A$1:$CZ$1,0))</f>
        <v>#N/A</v>
      </c>
      <c r="F10" s="182">
        <v>0</v>
      </c>
      <c r="G10" s="375">
        <f>IF(F10&lt;0,"Note: Number is normally positive.",)</f>
        <v>0</v>
      </c>
      <c r="H10" s="857"/>
      <c r="I10" s="858"/>
      <c r="J10" s="264"/>
      <c r="K10" s="551"/>
      <c r="L10"/>
      <c r="M10" s="18" t="s">
        <v>399</v>
      </c>
      <c r="N10" s="183"/>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ht="51" customHeight="1" x14ac:dyDescent="0.3">
      <c r="A11" s="563">
        <v>385</v>
      </c>
      <c r="B11" s="4" t="s">
        <v>59</v>
      </c>
      <c r="C11" s="345" t="s">
        <v>99</v>
      </c>
      <c r="D11" s="97" t="s">
        <v>100</v>
      </c>
      <c r="E11" s="769" t="e">
        <f>INDEX('PY1 Data(H)'!$A$1:$CZ$260,MATCH('Unit Data from Audit Worksheet'!$A11,'PY1 Data(H)'!$A$1:$A$260,0),MATCH('Unit Data from Audit Worksheet'!$D$2,'PY1 Data(H)'!$A$1:$CZ$1,0))-INDEX('PY1 Data(H)'!$A$1:$CZ$260,MATCH('Unit Data from Audit Worksheet'!$A13,'PY1 Data(H)'!$A$1:$A$260,0),MATCH('Unit Data from Audit Worksheet'!$D$2,'PY1 Data(H)'!$A$1:$CZ$1,0))</f>
        <v>#N/A</v>
      </c>
      <c r="F11" s="182">
        <v>0</v>
      </c>
      <c r="G11" s="375">
        <f>IF((F9+F10)&gt;F11,"Error: Please review Account numbers (333+500)&gt;385",)</f>
        <v>0</v>
      </c>
      <c r="H11" s="859"/>
      <c r="I11" s="858"/>
      <c r="J11" s="173"/>
      <c r="K11" s="551"/>
    </row>
    <row r="12" spans="1:122" s="18" customFormat="1" ht="90" customHeight="1" x14ac:dyDescent="0.3">
      <c r="A12" s="98">
        <v>575</v>
      </c>
      <c r="B12" s="345" t="s">
        <v>69</v>
      </c>
      <c r="C12" s="345" t="s">
        <v>99</v>
      </c>
      <c r="D12" s="420" t="s">
        <v>611</v>
      </c>
      <c r="E12" s="769" t="e">
        <f>INDEX('PY1 Data(H)'!$A$1:$CZ$260,MATCH('Unit Data from Audit Worksheet'!$A12,'PY1 Data(H)'!$A$1:$A$260,0),MATCH('Unit Data from Audit Worksheet'!$D$2,'PY1 Data(H)'!$A$1:$CZ$1,0))</f>
        <v>#N/A</v>
      </c>
      <c r="F12" s="182">
        <v>0</v>
      </c>
      <c r="G12" s="375">
        <f>IF(F12&lt;0,"Note: Number is normally positive.",)</f>
        <v>0</v>
      </c>
      <c r="H12" s="860"/>
      <c r="I12" s="861"/>
      <c r="J12" s="173"/>
      <c r="K12" s="551"/>
      <c r="L12"/>
      <c r="N12" s="183"/>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row>
    <row r="13" spans="1:122" s="18" customFormat="1" ht="93.75" customHeight="1" x14ac:dyDescent="0.3">
      <c r="A13" s="98">
        <v>576</v>
      </c>
      <c r="B13" s="345" t="s">
        <v>69</v>
      </c>
      <c r="C13" s="345" t="s">
        <v>99</v>
      </c>
      <c r="D13" s="420" t="s">
        <v>612</v>
      </c>
      <c r="E13" s="769" t="e">
        <f>INDEX('PY1 Data(H)'!$A$1:$CZ$260,MATCH('Unit Data from Audit Worksheet'!$A13,'PY1 Data(H)'!$A$1:$A$260,0),MATCH('Unit Data from Audit Worksheet'!$D$2,'PY1 Data(H)'!$A$1:$CZ$1,0))</f>
        <v>#N/A</v>
      </c>
      <c r="F13" s="182">
        <v>0</v>
      </c>
      <c r="G13" s="375">
        <f>IF(F13&lt;0,"Error: Enter as positive.",)</f>
        <v>0</v>
      </c>
      <c r="H13" s="860"/>
      <c r="I13" s="861"/>
      <c r="J13" s="173"/>
      <c r="K13" s="551"/>
      <c r="L13"/>
      <c r="N13" s="18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row>
    <row r="14" spans="1:122" ht="103.8" customHeight="1" x14ac:dyDescent="0.3">
      <c r="A14" s="564">
        <v>626</v>
      </c>
      <c r="B14" s="423" t="s">
        <v>412</v>
      </c>
      <c r="C14" s="423" t="s">
        <v>99</v>
      </c>
      <c r="D14" s="211" t="s">
        <v>613</v>
      </c>
      <c r="E14" s="769" t="e">
        <f>INDEX('PY1 Data(H)'!$A$1:$CZ$260,MATCH('Unit Data from Audit Worksheet'!$A14,'PY1 Data(H)'!$A$1:$A$260,0),MATCH('Unit Data from Audit Worksheet'!$D$2,'PY1 Data(H)'!$A$1:$CZ$1,0))-INDEX('PY1 Data(H)'!$A$1:$CZ$260,MATCH('Unit Data from Audit Worksheet'!$A13,'PY1 Data(H)'!$A$1:$A$260,0),MATCH('Unit Data from Audit Worksheet'!$D$2,'PY1 Data(H)'!$A$1:$CZ$1,0))</f>
        <v>#N/A</v>
      </c>
      <c r="F14" s="182">
        <v>0</v>
      </c>
      <c r="G14" s="375">
        <f>IF(F14&lt;0,"Error: Enter as positive.",)</f>
        <v>0</v>
      </c>
      <c r="H14" s="862"/>
      <c r="I14" s="862"/>
      <c r="J14" s="173"/>
      <c r="K14" s="551"/>
    </row>
    <row r="15" spans="1:122" ht="89.25" customHeight="1" x14ac:dyDescent="0.3">
      <c r="A15" s="187">
        <v>627</v>
      </c>
      <c r="B15" s="680" t="s">
        <v>335</v>
      </c>
      <c r="C15" s="423" t="s">
        <v>99</v>
      </c>
      <c r="D15" s="211" t="s">
        <v>614</v>
      </c>
      <c r="E15" s="769" t="e">
        <f>INDEX('PY1 Data(H)'!$A$1:$CZ$260,MATCH('Unit Data from Audit Worksheet'!$A15,'PY1 Data(H)'!$A$1:$A$260,0),MATCH('Unit Data from Audit Worksheet'!$D$2,'PY1 Data(H)'!$A$1:$CZ$1,0))</f>
        <v>#N/A</v>
      </c>
      <c r="F15" s="182">
        <v>0</v>
      </c>
      <c r="G15" s="375">
        <f>IF(F15&gt;F14,"Please review account numbers 627 &gt;626",)</f>
        <v>0</v>
      </c>
      <c r="H15" s="862"/>
      <c r="I15" s="862"/>
      <c r="J15" s="173"/>
      <c r="K15" s="551"/>
    </row>
    <row r="16" spans="1:122" ht="105" customHeight="1" x14ac:dyDescent="0.3">
      <c r="A16" s="187">
        <v>628</v>
      </c>
      <c r="B16" s="680" t="s">
        <v>335</v>
      </c>
      <c r="C16" s="423" t="s">
        <v>99</v>
      </c>
      <c r="D16" s="211" t="s">
        <v>615</v>
      </c>
      <c r="E16" s="769" t="e">
        <f>INDEX('PY1 Data(H)'!$A$1:$CZ$260,MATCH('Unit Data from Audit Worksheet'!$A16,'PY1 Data(H)'!$A$1:$A$260,0),MATCH('Unit Data from Audit Worksheet'!$D$2,'PY1 Data(H)'!$A$1:$CZ$1,0))</f>
        <v>#N/A</v>
      </c>
      <c r="F16" s="182">
        <v>0</v>
      </c>
      <c r="G16" s="375">
        <f>IF(F16&gt;F14,"Please review account numbers 628 &gt; 626",)</f>
        <v>0</v>
      </c>
      <c r="H16" s="862"/>
      <c r="I16" s="862"/>
      <c r="J16" s="173"/>
      <c r="K16" s="551"/>
    </row>
    <row r="17" spans="1:11" ht="95.25" customHeight="1" x14ac:dyDescent="0.3">
      <c r="A17" s="187">
        <v>629</v>
      </c>
      <c r="B17" s="680" t="s">
        <v>335</v>
      </c>
      <c r="C17" s="423" t="s">
        <v>99</v>
      </c>
      <c r="D17" s="211" t="s">
        <v>616</v>
      </c>
      <c r="E17" s="769" t="e">
        <f>INDEX('PY1 Data(H)'!$A$1:$CZ$260,MATCH('Unit Data from Audit Worksheet'!$A17,'PY1 Data(H)'!$A$1:$A$260,0),MATCH('Unit Data from Audit Worksheet'!$D$2,'PY1 Data(H)'!$A$1:$CZ$1,0))</f>
        <v>#N/A</v>
      </c>
      <c r="F17" s="182">
        <v>0</v>
      </c>
      <c r="G17" s="375">
        <f>IF(F17&gt;F14,"Please review account numbers 629 &gt; 626",)</f>
        <v>0</v>
      </c>
      <c r="H17" s="862"/>
      <c r="I17" s="862"/>
      <c r="J17" s="173"/>
      <c r="K17" s="551"/>
    </row>
    <row r="18" spans="1:11" ht="69" customHeight="1" x14ac:dyDescent="0.3">
      <c r="A18" s="187">
        <v>630</v>
      </c>
      <c r="B18" s="680" t="s">
        <v>335</v>
      </c>
      <c r="C18" s="423" t="s">
        <v>99</v>
      </c>
      <c r="D18" s="211" t="s">
        <v>393</v>
      </c>
      <c r="E18" s="769" t="e">
        <f>INDEX('PY1 Data(H)'!$A$1:$CZ$260,MATCH('Unit Data from Audit Worksheet'!$A18,'PY1 Data(H)'!$A$1:$A$260,0),MATCH('Unit Data from Audit Worksheet'!$D$2,'PY1 Data(H)'!$A$1:$CZ$1,0))</f>
        <v>#N/A</v>
      </c>
      <c r="F18" s="182">
        <v>0</v>
      </c>
      <c r="G18" s="375">
        <f>IF(F18&gt;F14,"Please review account numbers 630 &gt; 626",)</f>
        <v>0</v>
      </c>
      <c r="H18" s="862"/>
      <c r="I18" s="862"/>
      <c r="J18" s="173"/>
      <c r="K18" s="551"/>
    </row>
    <row r="19" spans="1:11" ht="95.25" customHeight="1" x14ac:dyDescent="0.3">
      <c r="A19" s="187">
        <v>631</v>
      </c>
      <c r="B19" s="680" t="s">
        <v>335</v>
      </c>
      <c r="C19" s="423" t="s">
        <v>99</v>
      </c>
      <c r="D19" s="211" t="s">
        <v>617</v>
      </c>
      <c r="E19" s="769" t="e">
        <f>INDEX('PY1 Data(H)'!$A$1:$CZ$260,MATCH('Unit Data from Audit Worksheet'!$A19,'PY1 Data(H)'!$A$1:$A$260,0),MATCH('Unit Data from Audit Worksheet'!$D$2,'PY1 Data(H)'!$A$1:$CZ$1,0))</f>
        <v>#N/A</v>
      </c>
      <c r="F19" s="182">
        <v>0</v>
      </c>
      <c r="G19" s="375">
        <f>IF(F19&gt;F14,"Please review account numbers 631 &gt; 626",)</f>
        <v>0</v>
      </c>
      <c r="H19" s="862"/>
      <c r="I19" s="862"/>
      <c r="J19" s="173"/>
      <c r="K19" s="551"/>
    </row>
    <row r="20" spans="1:11" ht="111.75" customHeight="1" x14ac:dyDescent="0.3">
      <c r="A20" s="187">
        <v>632</v>
      </c>
      <c r="B20" s="680" t="s">
        <v>335</v>
      </c>
      <c r="C20" s="423" t="s">
        <v>99</v>
      </c>
      <c r="D20" s="211" t="s">
        <v>618</v>
      </c>
      <c r="E20" s="769" t="e">
        <f>INDEX('PY1 Data(H)'!$A$1:$CZ$260,MATCH('Unit Data from Audit Worksheet'!$A20,'PY1 Data(H)'!$A$1:$A$260,0),MATCH('Unit Data from Audit Worksheet'!$D$2,'PY1 Data(H)'!$A$1:$CZ$1,0))</f>
        <v>#N/A</v>
      </c>
      <c r="F20" s="182">
        <v>0</v>
      </c>
      <c r="G20" s="375">
        <f>IF(F20&gt;F14,"Please review account numbers 632 &gt; 626",)</f>
        <v>0</v>
      </c>
      <c r="H20" s="862"/>
      <c r="I20" s="862"/>
      <c r="J20" s="173"/>
      <c r="K20" s="551"/>
    </row>
    <row r="21" spans="1:11" ht="55.5" customHeight="1" x14ac:dyDescent="0.3">
      <c r="A21" s="563">
        <v>338</v>
      </c>
      <c r="B21" s="4" t="s">
        <v>55</v>
      </c>
      <c r="C21" s="345" t="s">
        <v>99</v>
      </c>
      <c r="D21" s="97" t="s">
        <v>101</v>
      </c>
      <c r="E21" s="769" t="e">
        <f>INDEX('PY1 Data(H)'!$A$1:$CZ$260,MATCH('Unit Data from Audit Worksheet'!$A21,'PY1 Data(H)'!$A$1:$A$260,0),MATCH('Unit Data from Audit Worksheet'!$D$2,'PY1 Data(H)'!$A$1:$CZ$1,0))-INDEX('PY1 Data(H)'!$A$1:$CZ$260,MATCH('Unit Data from Audit Worksheet'!$A13,'PY1 Data(H)'!$A$1:$A$260,0),MATCH('Unit Data from Audit Worksheet'!$D$2,'PY1 Data(H)'!$A$1:$CZ$1,0))</f>
        <v>#N/A</v>
      </c>
      <c r="F21" s="182">
        <v>0</v>
      </c>
      <c r="G21" s="375" t="str">
        <f>IF(F14&gt;F21,"Error: Please review accts 626 &gt; 338","")</f>
        <v/>
      </c>
      <c r="H21" s="859"/>
      <c r="I21" s="858"/>
      <c r="J21" s="173"/>
      <c r="K21" s="551"/>
    </row>
    <row r="22" spans="1:11" ht="89.25" customHeight="1" x14ac:dyDescent="0.3">
      <c r="A22" s="98">
        <v>335</v>
      </c>
      <c r="B22" s="4" t="s">
        <v>55</v>
      </c>
      <c r="C22" s="345" t="s">
        <v>99</v>
      </c>
      <c r="D22" s="355" t="s">
        <v>619</v>
      </c>
      <c r="E22" s="769" t="e">
        <f>INDEX('PY1 Data(H)'!$A$1:$CZ$260,MATCH('Unit Data from Audit Worksheet'!$A22,'PY1 Data(H)'!$A$1:$A$260,0),MATCH('Unit Data from Audit Worksheet'!$D$2,'PY1 Data(H)'!$A$1:$CZ$1,0))</f>
        <v>#N/A</v>
      </c>
      <c r="F22" s="182">
        <v>0</v>
      </c>
      <c r="G22" s="375">
        <f>IF(F22&lt;0,"Error: Enter as positive.",)</f>
        <v>0</v>
      </c>
      <c r="H22" s="859"/>
      <c r="I22" s="863"/>
      <c r="J22" s="173"/>
      <c r="K22" s="551"/>
    </row>
    <row r="23" spans="1:11" ht="58.2" customHeight="1" x14ac:dyDescent="0.3">
      <c r="A23" s="98">
        <v>252</v>
      </c>
      <c r="B23" s="4" t="s">
        <v>55</v>
      </c>
      <c r="C23" s="345" t="s">
        <v>99</v>
      </c>
      <c r="D23" s="97" t="s">
        <v>102</v>
      </c>
      <c r="E23" s="769" t="e">
        <f>INDEX('PY1 Data(H)'!$A$1:$CZ$260,MATCH('Unit Data from Audit Worksheet'!$A23,'PY1 Data(H)'!$A$1:$A$260,0),MATCH('Unit Data from Audit Worksheet'!$D$2,'PY1 Data(H)'!$A$1:$CZ$1,0))</f>
        <v>#N/A</v>
      </c>
      <c r="F23" s="182">
        <v>0</v>
      </c>
      <c r="G23" s="377"/>
      <c r="H23" s="859"/>
      <c r="I23" s="859"/>
      <c r="J23" s="173"/>
      <c r="K23" s="551"/>
    </row>
    <row r="24" spans="1:11" ht="57.6" customHeight="1" x14ac:dyDescent="0.3">
      <c r="A24" s="98">
        <v>253</v>
      </c>
      <c r="B24" s="4" t="s">
        <v>55</v>
      </c>
      <c r="C24" s="345" t="s">
        <v>99</v>
      </c>
      <c r="D24" s="97" t="s">
        <v>103</v>
      </c>
      <c r="E24" s="769" t="e">
        <f>INDEX('PY1 Data(H)'!$A$1:$CZ$260,MATCH('Unit Data from Audit Worksheet'!$A24,'PY1 Data(H)'!$A$1:$A$260,0),MATCH('Unit Data from Audit Worksheet'!$D$2,'PY1 Data(H)'!$A$1:$CZ$1,0))</f>
        <v>#N/A</v>
      </c>
      <c r="F24" s="182">
        <v>0</v>
      </c>
      <c r="G24" s="375"/>
      <c r="H24" s="859"/>
      <c r="I24" s="859"/>
      <c r="J24" s="173"/>
      <c r="K24" s="551"/>
    </row>
    <row r="25" spans="1:11" ht="138" customHeight="1" x14ac:dyDescent="0.3">
      <c r="A25" s="98">
        <v>254</v>
      </c>
      <c r="B25" s="4" t="s">
        <v>55</v>
      </c>
      <c r="C25" s="345" t="s">
        <v>99</v>
      </c>
      <c r="D25" s="97" t="s">
        <v>620</v>
      </c>
      <c r="E25" s="769" t="e">
        <f>INDEX('PY1 Data(H)'!$A$1:$CZ$260,MATCH('Unit Data from Audit Worksheet'!$A25,'PY1 Data(H)'!$A$1:$A$260,0),MATCH('Unit Data from Audit Worksheet'!$D$2,'PY1 Data(H)'!$A$1:$CZ$1,0))</f>
        <v>#N/A</v>
      </c>
      <c r="F25" s="182">
        <v>0</v>
      </c>
      <c r="G25" s="375">
        <f>IF(H25=0,,"Error: Total assets and deferred outflows less total liabilities and deferred inflows do not equal total net position. Account numbers  385-338-252-253-254 = 0.  The amount the formula is off is located in the cell to the right")</f>
        <v>0</v>
      </c>
      <c r="H25" s="860">
        <f>F11-F21-F23-F24-F25</f>
        <v>0</v>
      </c>
      <c r="I25" s="859"/>
      <c r="J25" s="173"/>
      <c r="K25" s="551"/>
    </row>
    <row r="26" spans="1:11" ht="21.75" customHeight="1" x14ac:dyDescent="0.3">
      <c r="A26" s="98"/>
      <c r="B26" s="456" t="s">
        <v>104</v>
      </c>
      <c r="C26" s="457"/>
      <c r="D26" s="438"/>
      <c r="E26" s="439"/>
      <c r="F26" s="450"/>
      <c r="G26" s="451"/>
      <c r="H26" s="859"/>
      <c r="I26" s="859"/>
      <c r="J26" s="173"/>
      <c r="K26" s="551"/>
    </row>
    <row r="27" spans="1:11" ht="59.25" customHeight="1" x14ac:dyDescent="0.3">
      <c r="A27" s="98">
        <v>502</v>
      </c>
      <c r="B27" s="4" t="s">
        <v>54</v>
      </c>
      <c r="C27" s="345" t="s">
        <v>106</v>
      </c>
      <c r="D27" s="355" t="s">
        <v>621</v>
      </c>
      <c r="E27" s="769" t="e">
        <f>INDEX('PY1 Data(H)'!$A$1:$CZ$260,MATCH('Unit Data from Audit Worksheet'!$A27,'PY1 Data(H)'!$A$1:$A$260,0),MATCH('Unit Data from Audit Worksheet'!$D$2,'PY1 Data(H)'!$A$1:$CZ$1,0))</f>
        <v>#N/A</v>
      </c>
      <c r="F27" s="182">
        <v>0</v>
      </c>
      <c r="G27" s="375">
        <f>IF(F27&lt;0,"Note: Number is normally positive.",)</f>
        <v>0</v>
      </c>
      <c r="H27" s="859"/>
      <c r="I27" s="859"/>
      <c r="J27" s="173"/>
      <c r="K27" s="551"/>
    </row>
    <row r="28" spans="1:11" ht="59.25" customHeight="1" x14ac:dyDescent="0.3">
      <c r="A28" s="98">
        <v>503</v>
      </c>
      <c r="B28" s="4" t="s">
        <v>54</v>
      </c>
      <c r="C28" s="345" t="s">
        <v>106</v>
      </c>
      <c r="D28" s="97" t="s">
        <v>105</v>
      </c>
      <c r="E28" s="769" t="e">
        <f>INDEX('PY1 Data(H)'!$A$1:$CZ$260,MATCH('Unit Data from Audit Worksheet'!$A28,'PY1 Data(H)'!$A$1:$A$260,0),MATCH('Unit Data from Audit Worksheet'!$D$2,'PY1 Data(H)'!$A$1:$CZ$1,0))</f>
        <v>#N/A</v>
      </c>
      <c r="F28" s="670">
        <v>0</v>
      </c>
      <c r="G28" s="375">
        <f>IF(F28&lt;0,"Note: Number is normally positive.",)</f>
        <v>0</v>
      </c>
      <c r="H28" s="859"/>
      <c r="I28" s="859"/>
      <c r="J28" s="173"/>
      <c r="K28" s="551"/>
    </row>
    <row r="29" spans="1:11" ht="27" customHeight="1" x14ac:dyDescent="0.3">
      <c r="A29" s="98"/>
      <c r="B29" s="433" t="s">
        <v>107</v>
      </c>
      <c r="C29" s="434"/>
      <c r="D29" s="438"/>
      <c r="E29" s="439"/>
      <c r="F29" s="440"/>
      <c r="G29" s="441"/>
      <c r="H29" s="859"/>
      <c r="I29" s="859"/>
      <c r="J29" s="173"/>
      <c r="K29" s="551"/>
    </row>
    <row r="30" spans="1:11" ht="49.5" customHeight="1" x14ac:dyDescent="0.3">
      <c r="A30" s="98">
        <v>344</v>
      </c>
      <c r="B30" s="4" t="s">
        <v>55</v>
      </c>
      <c r="C30" s="4" t="s">
        <v>114</v>
      </c>
      <c r="D30" s="97" t="s">
        <v>108</v>
      </c>
      <c r="E30" s="769" t="e">
        <f>INDEX('PY1 Data(H)'!$A$1:$CZ$260,MATCH('Unit Data from Audit Worksheet'!$A30,'PY1 Data(H)'!$A$1:$A$260,0),MATCH('Unit Data from Audit Worksheet'!$D$2,'PY1 Data(H)'!$A$1:$CZ$1,0))</f>
        <v>#N/A</v>
      </c>
      <c r="F30" s="182">
        <v>0</v>
      </c>
      <c r="G30" s="375">
        <f t="shared" ref="G30:G37" si="0">IF(F30&lt;0,"Error: Enter as positive.",)</f>
        <v>0</v>
      </c>
      <c r="H30" s="859"/>
      <c r="I30" s="859"/>
      <c r="J30" s="173"/>
      <c r="K30" s="551"/>
    </row>
    <row r="31" spans="1:11" ht="49.5" customHeight="1" x14ac:dyDescent="0.3">
      <c r="A31" s="98">
        <v>388</v>
      </c>
      <c r="B31" s="345" t="s">
        <v>59</v>
      </c>
      <c r="C31" s="345" t="s">
        <v>114</v>
      </c>
      <c r="D31" s="97" t="s">
        <v>109</v>
      </c>
      <c r="E31" s="769" t="e">
        <f>INDEX('PY1 Data(H)'!$A$1:$CZ$260,MATCH('Unit Data from Audit Worksheet'!$A31,'PY1 Data(H)'!$A$1:$A$260,0),MATCH('Unit Data from Audit Worksheet'!$D$2,'PY1 Data(H)'!$A$1:$CZ$1,0))</f>
        <v>#N/A</v>
      </c>
      <c r="F31" s="182">
        <v>0</v>
      </c>
      <c r="G31" s="375">
        <f t="shared" si="0"/>
        <v>0</v>
      </c>
      <c r="H31" s="858"/>
      <c r="I31" s="858"/>
      <c r="J31" s="173"/>
      <c r="K31" s="551"/>
    </row>
    <row r="32" spans="1:11" ht="51.75" customHeight="1" x14ac:dyDescent="0.3">
      <c r="A32" s="98">
        <v>339</v>
      </c>
      <c r="B32" s="4" t="s">
        <v>55</v>
      </c>
      <c r="C32" s="4" t="s">
        <v>114</v>
      </c>
      <c r="D32" s="97" t="s">
        <v>110</v>
      </c>
      <c r="E32" s="769" t="e">
        <f>INDEX('PY1 Data(H)'!$A$1:$CZ$260,MATCH('Unit Data from Audit Worksheet'!$A32,'PY1 Data(H)'!$A$1:$A$260,0),MATCH('Unit Data from Audit Worksheet'!$D$2,'PY1 Data(H)'!$A$1:$CZ$1,0))</f>
        <v>#N/A</v>
      </c>
      <c r="F32" s="182">
        <v>0</v>
      </c>
      <c r="G32" s="375">
        <f t="shared" si="0"/>
        <v>0</v>
      </c>
      <c r="H32" s="859"/>
      <c r="I32" s="859"/>
      <c r="J32" s="173"/>
      <c r="K32" s="551"/>
    </row>
    <row r="33" spans="1:122" ht="61.2" customHeight="1" x14ac:dyDescent="0.3">
      <c r="A33" s="98">
        <v>504</v>
      </c>
      <c r="B33" s="4" t="s">
        <v>55</v>
      </c>
      <c r="C33" s="4" t="s">
        <v>114</v>
      </c>
      <c r="D33" s="97" t="s">
        <v>111</v>
      </c>
      <c r="E33" s="769" t="e">
        <f>INDEX('PY1 Data(H)'!$A$1:$CZ$260,MATCH('Unit Data from Audit Worksheet'!$A33,'PY1 Data(H)'!$A$1:$A$260,0),MATCH('Unit Data from Audit Worksheet'!$D$2,'PY1 Data(H)'!$A$1:$CZ$1,0))</f>
        <v>#N/A</v>
      </c>
      <c r="F33" s="182">
        <v>0</v>
      </c>
      <c r="G33" s="375">
        <f t="shared" si="0"/>
        <v>0</v>
      </c>
      <c r="H33" s="859"/>
      <c r="I33" s="859"/>
      <c r="J33" s="173"/>
      <c r="K33" s="551"/>
    </row>
    <row r="34" spans="1:122" ht="60" customHeight="1" x14ac:dyDescent="0.3">
      <c r="A34" s="98">
        <v>505</v>
      </c>
      <c r="B34" s="4" t="s">
        <v>55</v>
      </c>
      <c r="C34" s="4" t="s">
        <v>114</v>
      </c>
      <c r="D34" s="349" t="s">
        <v>112</v>
      </c>
      <c r="E34" s="769" t="e">
        <f>INDEX('PY1 Data(H)'!$A$1:$CZ$260,MATCH('Unit Data from Audit Worksheet'!$A34,'PY1 Data(H)'!$A$1:$A$260,0),MATCH('Unit Data from Audit Worksheet'!$D$2,'PY1 Data(H)'!$A$1:$CZ$1,0))</f>
        <v>#N/A</v>
      </c>
      <c r="F34" s="182">
        <v>0</v>
      </c>
      <c r="G34" s="375">
        <f t="shared" si="0"/>
        <v>0</v>
      </c>
      <c r="H34" s="859"/>
      <c r="I34" s="859"/>
      <c r="J34" s="173"/>
      <c r="K34" s="551"/>
    </row>
    <row r="35" spans="1:122" ht="88.2" customHeight="1" x14ac:dyDescent="0.3">
      <c r="A35" s="98">
        <v>341</v>
      </c>
      <c r="B35" s="4" t="s">
        <v>55</v>
      </c>
      <c r="C35" s="4" t="s">
        <v>114</v>
      </c>
      <c r="D35" s="355" t="s">
        <v>622</v>
      </c>
      <c r="E35" s="769" t="e">
        <f>INDEX('PY1 Data(H)'!$A$1:$CZ$260,MATCH('Unit Data from Audit Worksheet'!$A35,'PY1 Data(H)'!$A$1:$A$260,0),MATCH('Unit Data from Audit Worksheet'!$D$2,'PY1 Data(H)'!$A$1:$CZ$1,0))</f>
        <v>#N/A</v>
      </c>
      <c r="F35" s="182">
        <v>0</v>
      </c>
      <c r="G35" s="375">
        <f t="shared" si="0"/>
        <v>0</v>
      </c>
      <c r="H35" s="859"/>
      <c r="I35" s="859"/>
      <c r="J35" s="173"/>
      <c r="K35" s="551"/>
    </row>
    <row r="36" spans="1:122" ht="73.2" customHeight="1" x14ac:dyDescent="0.3">
      <c r="A36" s="98">
        <v>386</v>
      </c>
      <c r="B36" s="4" t="s">
        <v>55</v>
      </c>
      <c r="C36" s="4" t="s">
        <v>114</v>
      </c>
      <c r="D36" s="97" t="s">
        <v>623</v>
      </c>
      <c r="E36" s="769" t="e">
        <f>INDEX('PY1 Data(H)'!$A$1:$CZ$260,MATCH('Unit Data from Audit Worksheet'!$A36,'PY1 Data(H)'!$A$1:$A$260,0),MATCH('Unit Data from Audit Worksheet'!$D$2,'PY1 Data(H)'!$A$1:$CZ$1,0))</f>
        <v>#N/A</v>
      </c>
      <c r="F36" s="182">
        <v>0</v>
      </c>
      <c r="G36" s="375">
        <f t="shared" si="0"/>
        <v>0</v>
      </c>
      <c r="H36" s="859"/>
      <c r="I36" s="859"/>
      <c r="J36" s="173"/>
      <c r="K36" s="551"/>
    </row>
    <row r="37" spans="1:122" ht="63.6" customHeight="1" x14ac:dyDescent="0.3">
      <c r="A37" s="98">
        <v>387</v>
      </c>
      <c r="B37" s="4" t="s">
        <v>59</v>
      </c>
      <c r="C37" s="4" t="s">
        <v>114</v>
      </c>
      <c r="D37" s="97" t="s">
        <v>624</v>
      </c>
      <c r="E37" s="769" t="e">
        <f>INDEX('PY1 Data(H)'!$A$1:$CZ$260,MATCH('Unit Data from Audit Worksheet'!$A37,'PY1 Data(H)'!$A$1:$A$260,0),MATCH('Unit Data from Audit Worksheet'!$D$2,'PY1 Data(H)'!$A$1:$CZ$1,0))</f>
        <v>#N/A</v>
      </c>
      <c r="F37" s="182">
        <v>0</v>
      </c>
      <c r="G37" s="375">
        <f t="shared" si="0"/>
        <v>0</v>
      </c>
      <c r="H37" s="859"/>
      <c r="I37" s="859"/>
      <c r="J37" s="173"/>
      <c r="K37" s="551"/>
    </row>
    <row r="38" spans="1:122" ht="92.25" customHeight="1" x14ac:dyDescent="0.3">
      <c r="A38" s="98">
        <v>389</v>
      </c>
      <c r="B38" s="4" t="s">
        <v>59</v>
      </c>
      <c r="C38" s="4" t="s">
        <v>114</v>
      </c>
      <c r="D38" s="355" t="s">
        <v>625</v>
      </c>
      <c r="E38" s="769" t="e">
        <f>INDEX('PY1 Data(H)'!$A$1:$CZ$260,MATCH('Unit Data from Audit Worksheet'!$A38,'PY1 Data(H)'!$A$1:$A$260,0),MATCH('Unit Data from Audit Worksheet'!$D$2,'PY1 Data(H)'!$A$1:$CZ$1,0))</f>
        <v>#N/A</v>
      </c>
      <c r="F38" s="182">
        <v>0</v>
      </c>
      <c r="G38" s="375"/>
      <c r="H38" s="859"/>
      <c r="I38" s="859"/>
      <c r="J38" s="173"/>
      <c r="K38" s="551"/>
    </row>
    <row r="39" spans="1:122" ht="95.4" customHeight="1" x14ac:dyDescent="0.3">
      <c r="A39" s="98">
        <v>255</v>
      </c>
      <c r="B39" s="4" t="s">
        <v>55</v>
      </c>
      <c r="C39" s="4" t="s">
        <v>114</v>
      </c>
      <c r="D39" s="355" t="s">
        <v>626</v>
      </c>
      <c r="E39" s="769" t="e">
        <f>INDEX('PY1 Data(H)'!$A$1:$CZ$260,MATCH('Unit Data from Audit Worksheet'!$A39,'PY1 Data(H)'!$A$1:$A$260,0),MATCH('Unit Data from Audit Worksheet'!$D$2,'PY1 Data(H)'!$A$1:$CZ$1,0))</f>
        <v>#N/A</v>
      </c>
      <c r="F39" s="182">
        <v>0</v>
      </c>
      <c r="G39" s="375">
        <f>IF(H39=0,,"Error: Total revenues less total expenses do not equal total change in net position. Account numbers 339+504+505+341+386-387+389-388-255 = 0  The amount the formula is off is located in the cell to the right")</f>
        <v>0</v>
      </c>
      <c r="H39" s="860">
        <f>F32+F33+F34+F35+F36-F37+F38-F31-F39</f>
        <v>0</v>
      </c>
      <c r="I39" s="859"/>
      <c r="J39" s="173"/>
      <c r="K39" s="551"/>
    </row>
    <row r="40" spans="1:122" ht="114" customHeight="1" x14ac:dyDescent="0.3">
      <c r="A40" s="98">
        <v>376</v>
      </c>
      <c r="B40" s="4" t="s">
        <v>55</v>
      </c>
      <c r="C40" s="4" t="s">
        <v>114</v>
      </c>
      <c r="D40" s="355" t="s">
        <v>627</v>
      </c>
      <c r="E40" s="769" t="e">
        <f>INDEX('PY1 Data(H)'!$A$1:$CZ$260,MATCH('Unit Data from Audit Worksheet'!$A40,'PY1 Data(H)'!$A$1:$A$260,0),MATCH('Unit Data from Audit Worksheet'!$D$2,'PY1 Data(H)'!$A$1:$CZ$1,0))</f>
        <v>#N/A</v>
      </c>
      <c r="F40" s="182">
        <v>0</v>
      </c>
      <c r="G40" s="666" t="e">
        <f>IF(H40=0,,"Error: Beginning Balance does not agree with our records.  Account numbers  252+253+254-255-376-(Prior Year 252+253+254)=0  The amount the formula is off is located in the cell to the right")</f>
        <v>#N/A</v>
      </c>
      <c r="H40" s="740" t="e">
        <f>F23+F24+F25-F39-F40-(E23+E24+E25)</f>
        <v>#N/A</v>
      </c>
      <c r="I40" s="827" t="e">
        <f>IF(H40=0," ","If the out of balance is because prior years data is not populated in cells E23,E24,E25, disregard the error message.  Do not include prior year's ending balances in cell F40")</f>
        <v>#N/A</v>
      </c>
      <c r="J40" s="173"/>
      <c r="K40" s="551"/>
    </row>
    <row r="41" spans="1:122" s="18" customFormat="1" ht="123" customHeight="1" x14ac:dyDescent="0.3">
      <c r="A41" s="98">
        <v>597</v>
      </c>
      <c r="B41" s="345" t="s">
        <v>304</v>
      </c>
      <c r="C41" s="345" t="s">
        <v>311</v>
      </c>
      <c r="D41" s="421" t="s">
        <v>628</v>
      </c>
      <c r="E41" s="769" t="e">
        <f>INDEX('PY1 Data(H)'!$A$1:$CZ$260,MATCH('Unit Data from Audit Worksheet'!$A41,'PY1 Data(H)'!$A$1:$A$260,0),MATCH('Unit Data from Audit Worksheet'!$D$2,'PY1 Data(H)'!$A$1:$CZ$1,0))</f>
        <v>#N/A</v>
      </c>
      <c r="F41" s="182">
        <v>0</v>
      </c>
      <c r="G41" s="375">
        <f>IF(F41&lt;0,"Note: Number is normally positive.",)</f>
        <v>0</v>
      </c>
      <c r="H41" s="858"/>
      <c r="I41" s="858"/>
      <c r="J41" s="743"/>
      <c r="K41" s="551"/>
      <c r="L41"/>
      <c r="N41" s="183"/>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22" ht="25.5" customHeight="1" x14ac:dyDescent="0.3">
      <c r="A42" s="98"/>
      <c r="B42" s="456" t="s">
        <v>303</v>
      </c>
      <c r="C42" s="457"/>
      <c r="D42" s="438"/>
      <c r="E42" s="439"/>
      <c r="F42" s="440"/>
      <c r="G42" s="441"/>
      <c r="H42" s="859"/>
      <c r="I42" s="859"/>
      <c r="J42" s="173"/>
      <c r="K42" s="551"/>
    </row>
    <row r="43" spans="1:122" s="18" customFormat="1" ht="86.25" customHeight="1" x14ac:dyDescent="0.3">
      <c r="A43" s="98">
        <v>592</v>
      </c>
      <c r="B43" s="345" t="s">
        <v>58</v>
      </c>
      <c r="C43" s="345" t="s">
        <v>305</v>
      </c>
      <c r="D43" s="355" t="s">
        <v>629</v>
      </c>
      <c r="E43" s="343" t="e">
        <f>INDEX('PY1 Data(H)'!$A$1:$CZ$260,MATCH('Unit Data from Audit Worksheet'!$A43,'PY1 Data(H)'!$A$1:$A$260,0),MATCH('Unit Data from Audit Worksheet'!$D$2,'PY1 Data(H)'!$A$1:$CZ$1,0))</f>
        <v>#N/A</v>
      </c>
      <c r="F43" s="182">
        <v>0</v>
      </c>
      <c r="G43" s="375"/>
      <c r="H43" s="858"/>
      <c r="I43" s="208"/>
      <c r="J43" s="743"/>
      <c r="K43" s="551"/>
      <c r="L43"/>
      <c r="N43" s="18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row>
    <row r="44" spans="1:122" s="18" customFormat="1" ht="74.400000000000006" customHeight="1" thickBot="1" x14ac:dyDescent="0.35">
      <c r="A44" s="98">
        <v>591</v>
      </c>
      <c r="B44" s="345" t="s">
        <v>58</v>
      </c>
      <c r="C44" s="345" t="s">
        <v>305</v>
      </c>
      <c r="D44" s="97" t="s">
        <v>306</v>
      </c>
      <c r="E44" s="343" t="e">
        <f>INDEX('PY1 Data(H)'!$A$1:$CZ$260,MATCH('Unit Data from Audit Worksheet'!$A44,'PY1 Data(H)'!$A$1:$A$260,0),MATCH('Unit Data from Audit Worksheet'!$D$2,'PY1 Data(H)'!$A$1:$CZ$1,0))</f>
        <v>#N/A</v>
      </c>
      <c r="F44" s="182">
        <v>0</v>
      </c>
      <c r="G44" s="375">
        <f>IF(F44&lt;0,"Error: Enter as positive.",)</f>
        <v>0</v>
      </c>
      <c r="H44" s="858"/>
      <c r="I44" s="208"/>
      <c r="J44" s="743"/>
      <c r="K44" s="551"/>
      <c r="L44"/>
      <c r="N44" s="183"/>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row>
    <row r="45" spans="1:122" s="18" customFormat="1" ht="25.5" customHeight="1" thickBot="1" x14ac:dyDescent="0.35">
      <c r="A45" s="754"/>
      <c r="B45" s="758" t="s">
        <v>1412</v>
      </c>
      <c r="C45" s="759"/>
      <c r="D45" s="759"/>
      <c r="E45" s="759"/>
      <c r="F45" s="759"/>
      <c r="G45" s="760"/>
      <c r="H45" s="858"/>
      <c r="I45" s="208"/>
      <c r="J45" s="743"/>
      <c r="K45" s="551"/>
      <c r="L45" s="173"/>
      <c r="N45" s="183"/>
      <c r="Y45" s="173"/>
      <c r="Z45" s="173"/>
      <c r="AA45" s="173"/>
      <c r="AB45" s="173"/>
      <c r="AC45" s="173"/>
      <c r="AD45" s="173"/>
      <c r="AE45" s="173"/>
      <c r="AF45" s="173"/>
      <c r="AG45" s="173"/>
      <c r="AH45" s="173"/>
      <c r="AI45" s="173"/>
      <c r="AJ45" s="173"/>
      <c r="AK45" s="173"/>
      <c r="AL45" s="173"/>
      <c r="AM45" s="173"/>
      <c r="AN45" s="173"/>
      <c r="AO45" s="173"/>
      <c r="AP45" s="173"/>
      <c r="AQ45" s="173"/>
      <c r="AR45" s="173"/>
      <c r="AS45" s="173"/>
      <c r="AT45" s="173"/>
      <c r="AU45" s="173"/>
      <c r="AV45" s="173"/>
      <c r="AW45" s="173"/>
      <c r="AX45" s="173"/>
      <c r="AY45" s="173"/>
      <c r="AZ45" s="173"/>
      <c r="BA45" s="173"/>
      <c r="BB45" s="173"/>
      <c r="BC45" s="173"/>
      <c r="BD45" s="173"/>
      <c r="BE45" s="173"/>
      <c r="BF45" s="173"/>
      <c r="BG45" s="173"/>
      <c r="BH45" s="173"/>
      <c r="BI45" s="173"/>
      <c r="BJ45" s="173"/>
      <c r="BK45" s="173"/>
      <c r="BL45" s="173"/>
      <c r="BM45" s="173"/>
      <c r="BN45" s="173"/>
      <c r="BO45" s="173"/>
      <c r="BP45" s="173"/>
      <c r="BQ45" s="173"/>
      <c r="BR45" s="173"/>
      <c r="BS45" s="173"/>
      <c r="BT45" s="173"/>
      <c r="BU45" s="173"/>
      <c r="BV45" s="173"/>
      <c r="BW45" s="173"/>
      <c r="BX45" s="173"/>
      <c r="BY45" s="173"/>
      <c r="BZ45" s="173"/>
      <c r="CA45" s="173"/>
      <c r="CB45" s="173"/>
      <c r="CC45" s="173"/>
      <c r="CD45" s="173"/>
      <c r="CE45" s="173"/>
      <c r="CF45" s="173"/>
      <c r="CG45" s="173"/>
      <c r="CH45" s="173"/>
      <c r="CI45" s="173"/>
      <c r="CJ45" s="173"/>
      <c r="CK45" s="173"/>
      <c r="CL45" s="173"/>
      <c r="CM45" s="173"/>
      <c r="CN45" s="173"/>
      <c r="CO45" s="173"/>
      <c r="CP45" s="173"/>
      <c r="CQ45" s="173"/>
      <c r="CR45" s="173"/>
      <c r="CS45" s="173"/>
      <c r="CT45" s="173"/>
      <c r="CU45" s="173"/>
      <c r="CV45" s="173"/>
      <c r="CW45" s="173"/>
      <c r="CX45" s="173"/>
      <c r="CY45" s="173"/>
      <c r="CZ45" s="173"/>
      <c r="DA45" s="173"/>
      <c r="DB45" s="173"/>
      <c r="DC45" s="173"/>
      <c r="DD45" s="173"/>
      <c r="DE45" s="173"/>
      <c r="DF45" s="173"/>
      <c r="DG45" s="173"/>
      <c r="DH45" s="173"/>
      <c r="DI45" s="173"/>
      <c r="DJ45" s="173"/>
      <c r="DK45" s="173"/>
      <c r="DL45" s="173"/>
      <c r="DM45" s="173"/>
      <c r="DN45" s="173"/>
      <c r="DO45" s="173"/>
      <c r="DP45" s="173"/>
      <c r="DQ45" s="173"/>
      <c r="DR45" s="173"/>
    </row>
    <row r="46" spans="1:122" s="18" customFormat="1" ht="15" customHeight="1" x14ac:dyDescent="0.3">
      <c r="A46" s="754"/>
      <c r="B46" s="762" t="s">
        <v>1419</v>
      </c>
      <c r="C46" s="763"/>
      <c r="D46" s="763"/>
      <c r="E46" s="763"/>
      <c r="F46" s="763"/>
      <c r="G46" s="764"/>
      <c r="H46" s="858"/>
      <c r="I46" s="208"/>
      <c r="J46" s="743"/>
      <c r="K46" s="551"/>
      <c r="L46" s="173"/>
      <c r="N46" s="18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c r="AV46" s="173"/>
      <c r="AW46" s="173"/>
      <c r="AX46" s="173"/>
      <c r="AY46" s="173"/>
      <c r="AZ46" s="173"/>
      <c r="BA46" s="173"/>
      <c r="BB46" s="173"/>
      <c r="BC46" s="173"/>
      <c r="BD46" s="173"/>
      <c r="BE46" s="173"/>
      <c r="BF46" s="173"/>
      <c r="BG46" s="173"/>
      <c r="BH46" s="173"/>
      <c r="BI46" s="173"/>
      <c r="BJ46" s="173"/>
      <c r="BK46" s="173"/>
      <c r="BL46" s="173"/>
      <c r="BM46" s="173"/>
      <c r="BN46" s="173"/>
      <c r="BO46" s="173"/>
      <c r="BP46" s="173"/>
      <c r="BQ46" s="173"/>
      <c r="BR46" s="173"/>
      <c r="BS46" s="173"/>
      <c r="BT46" s="173"/>
      <c r="BU46" s="173"/>
      <c r="BV46" s="173"/>
      <c r="BW46" s="173"/>
      <c r="BX46" s="173"/>
      <c r="BY46" s="173"/>
      <c r="BZ46" s="173"/>
      <c r="CA46" s="173"/>
      <c r="CB46" s="173"/>
      <c r="CC46" s="173"/>
      <c r="CD46" s="173"/>
      <c r="CE46" s="173"/>
      <c r="CF46" s="173"/>
      <c r="CG46" s="173"/>
      <c r="CH46" s="173"/>
      <c r="CI46" s="173"/>
      <c r="CJ46" s="173"/>
      <c r="CK46" s="173"/>
      <c r="CL46" s="173"/>
      <c r="CM46" s="173"/>
      <c r="CN46" s="173"/>
      <c r="CO46" s="173"/>
      <c r="CP46" s="173"/>
      <c r="CQ46" s="173"/>
      <c r="CR46" s="173"/>
      <c r="CS46" s="173"/>
      <c r="CT46" s="173"/>
      <c r="CU46" s="173"/>
      <c r="CV46" s="173"/>
      <c r="CW46" s="173"/>
      <c r="CX46" s="173"/>
      <c r="CY46" s="173"/>
      <c r="CZ46" s="173"/>
      <c r="DA46" s="173"/>
      <c r="DB46" s="173"/>
      <c r="DC46" s="173"/>
      <c r="DD46" s="173"/>
      <c r="DE46" s="173"/>
      <c r="DF46" s="173"/>
      <c r="DG46" s="173"/>
      <c r="DH46" s="173"/>
      <c r="DI46" s="173"/>
      <c r="DJ46" s="173"/>
      <c r="DK46" s="173"/>
      <c r="DL46" s="173"/>
      <c r="DM46" s="173"/>
      <c r="DN46" s="173"/>
      <c r="DO46" s="173"/>
      <c r="DP46" s="173"/>
      <c r="DQ46" s="173"/>
      <c r="DR46" s="173"/>
    </row>
    <row r="47" spans="1:122" s="18" customFormat="1" ht="15" customHeight="1" x14ac:dyDescent="0.3">
      <c r="A47" s="754"/>
      <c r="B47" s="765" t="s">
        <v>1420</v>
      </c>
      <c r="C47" s="761"/>
      <c r="D47" s="761"/>
      <c r="E47" s="761"/>
      <c r="F47" s="761"/>
      <c r="G47" s="766"/>
      <c r="H47" s="858"/>
      <c r="I47" s="208"/>
      <c r="J47" s="743"/>
      <c r="K47" s="551"/>
      <c r="L47" s="173"/>
      <c r="N47" s="18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3"/>
      <c r="BA47" s="173"/>
      <c r="BB47" s="173"/>
      <c r="BC47" s="173"/>
      <c r="BD47" s="173"/>
      <c r="BE47" s="173"/>
      <c r="BF47" s="173"/>
      <c r="BG47" s="173"/>
      <c r="BH47" s="173"/>
      <c r="BI47" s="173"/>
      <c r="BJ47" s="173"/>
      <c r="BK47" s="173"/>
      <c r="BL47" s="173"/>
      <c r="BM47" s="173"/>
      <c r="BN47" s="173"/>
      <c r="BO47" s="173"/>
      <c r="BP47" s="173"/>
      <c r="BQ47" s="173"/>
      <c r="BR47" s="173"/>
      <c r="BS47" s="173"/>
      <c r="BT47" s="173"/>
      <c r="BU47" s="173"/>
      <c r="BV47" s="173"/>
      <c r="BW47" s="173"/>
      <c r="BX47" s="173"/>
      <c r="BY47" s="173"/>
      <c r="BZ47" s="173"/>
      <c r="CA47" s="173"/>
      <c r="CB47" s="173"/>
      <c r="CC47" s="173"/>
      <c r="CD47" s="173"/>
      <c r="CE47" s="173"/>
      <c r="CF47" s="173"/>
      <c r="CG47" s="173"/>
      <c r="CH47" s="173"/>
      <c r="CI47" s="173"/>
      <c r="CJ47" s="173"/>
      <c r="CK47" s="173"/>
      <c r="CL47" s="173"/>
      <c r="CM47" s="173"/>
      <c r="CN47" s="173"/>
      <c r="CO47" s="173"/>
      <c r="CP47" s="173"/>
      <c r="CQ47" s="173"/>
      <c r="CR47" s="173"/>
      <c r="CS47" s="173"/>
      <c r="CT47" s="173"/>
      <c r="CU47" s="173"/>
      <c r="CV47" s="173"/>
      <c r="CW47" s="173"/>
      <c r="CX47" s="173"/>
      <c r="CY47" s="173"/>
      <c r="CZ47" s="173"/>
      <c r="DA47" s="173"/>
      <c r="DB47" s="173"/>
      <c r="DC47" s="173"/>
      <c r="DD47" s="173"/>
      <c r="DE47" s="173"/>
      <c r="DF47" s="173"/>
      <c r="DG47" s="173"/>
      <c r="DH47" s="173"/>
      <c r="DI47" s="173"/>
      <c r="DJ47" s="173"/>
      <c r="DK47" s="173"/>
      <c r="DL47" s="173"/>
      <c r="DM47" s="173"/>
      <c r="DN47" s="173"/>
      <c r="DO47" s="173"/>
      <c r="DP47" s="173"/>
      <c r="DQ47" s="173"/>
      <c r="DR47" s="173"/>
    </row>
    <row r="48" spans="1:122" customFormat="1" ht="15" customHeight="1" x14ac:dyDescent="0.3">
      <c r="A48" s="754"/>
      <c r="B48" s="767" t="s">
        <v>1421</v>
      </c>
      <c r="C48" s="761"/>
      <c r="D48" s="761"/>
      <c r="E48" s="761"/>
      <c r="F48" s="761"/>
      <c r="G48" s="766"/>
      <c r="H48" s="864"/>
      <c r="I48" s="879"/>
    </row>
    <row r="49" spans="1:122" customFormat="1" ht="15" customHeight="1" thickBot="1" x14ac:dyDescent="0.35">
      <c r="A49" s="754"/>
      <c r="B49" s="755" t="s">
        <v>1697</v>
      </c>
      <c r="C49" s="756"/>
      <c r="D49" s="756"/>
      <c r="E49" s="756"/>
      <c r="F49" s="756"/>
      <c r="G49" s="757"/>
      <c r="H49" s="864"/>
      <c r="I49" s="879"/>
    </row>
    <row r="50" spans="1:122" s="18" customFormat="1" ht="71.25" customHeight="1" x14ac:dyDescent="0.3">
      <c r="A50" s="98">
        <v>1072</v>
      </c>
      <c r="B50" s="345"/>
      <c r="C50" s="426" t="s">
        <v>1403</v>
      </c>
      <c r="D50" s="748" t="s">
        <v>1418</v>
      </c>
      <c r="E50" s="636" t="s">
        <v>1029</v>
      </c>
      <c r="F50" s="182">
        <v>0</v>
      </c>
      <c r="G50" s="375"/>
      <c r="H50" s="864"/>
      <c r="I50" s="879"/>
      <c r="J50" s="743"/>
      <c r="K50" s="551"/>
      <c r="L50" s="173"/>
      <c r="N50" s="183"/>
      <c r="Y50" s="173"/>
      <c r="Z50" s="173"/>
      <c r="AA50" s="173"/>
      <c r="AB50" s="173"/>
      <c r="AC50" s="173"/>
      <c r="AD50" s="173"/>
      <c r="AE50" s="173"/>
      <c r="AF50" s="173"/>
      <c r="AG50" s="173"/>
      <c r="AH50" s="173"/>
      <c r="AI50" s="173"/>
      <c r="AJ50" s="173"/>
      <c r="AK50" s="173"/>
      <c r="AL50" s="173"/>
      <c r="AM50" s="173"/>
      <c r="AN50" s="173"/>
      <c r="AO50" s="173"/>
      <c r="AP50" s="173"/>
      <c r="AQ50" s="173"/>
      <c r="AR50" s="173"/>
      <c r="AS50" s="173"/>
      <c r="AT50" s="173"/>
      <c r="AU50" s="173"/>
      <c r="AV50" s="173"/>
      <c r="AW50" s="173"/>
      <c r="AX50" s="173"/>
      <c r="AY50" s="173"/>
      <c r="AZ50" s="173"/>
      <c r="BA50" s="173"/>
      <c r="BB50" s="173"/>
      <c r="BC50" s="173"/>
      <c r="BD50" s="173"/>
      <c r="BE50" s="173"/>
      <c r="BF50" s="173"/>
      <c r="BG50" s="173"/>
      <c r="BH50" s="173"/>
      <c r="BI50" s="173"/>
      <c r="BJ50" s="173"/>
      <c r="BK50" s="173"/>
      <c r="BL50" s="173"/>
      <c r="BM50" s="173"/>
      <c r="BN50" s="173"/>
      <c r="BO50" s="173"/>
      <c r="BP50" s="173"/>
      <c r="BQ50" s="173"/>
      <c r="BR50" s="173"/>
      <c r="BS50" s="173"/>
      <c r="BT50" s="173"/>
      <c r="BU50" s="173"/>
      <c r="BV50" s="173"/>
      <c r="BW50" s="173"/>
      <c r="BX50" s="173"/>
      <c r="BY50" s="173"/>
      <c r="BZ50" s="173"/>
      <c r="CA50" s="173"/>
      <c r="CB50" s="173"/>
      <c r="CC50" s="173"/>
      <c r="CD50" s="173"/>
      <c r="CE50" s="173"/>
      <c r="CF50" s="173"/>
      <c r="CG50" s="173"/>
      <c r="CH50" s="173"/>
      <c r="CI50" s="173"/>
      <c r="CJ50" s="173"/>
      <c r="CK50" s="173"/>
      <c r="CL50" s="173"/>
      <c r="CM50" s="173"/>
      <c r="CN50" s="173"/>
      <c r="CO50" s="173"/>
      <c r="CP50" s="173"/>
      <c r="CQ50" s="173"/>
      <c r="CR50" s="173"/>
      <c r="CS50" s="173"/>
      <c r="CT50" s="173"/>
      <c r="CU50" s="173"/>
      <c r="CV50" s="173"/>
      <c r="CW50" s="173"/>
      <c r="CX50" s="173"/>
      <c r="CY50" s="173"/>
      <c r="CZ50" s="173"/>
      <c r="DA50" s="173"/>
      <c r="DB50" s="173"/>
      <c r="DC50" s="173"/>
      <c r="DD50" s="173"/>
      <c r="DE50" s="173"/>
      <c r="DF50" s="173"/>
      <c r="DG50" s="173"/>
      <c r="DH50" s="173"/>
      <c r="DI50" s="173"/>
      <c r="DJ50" s="173"/>
      <c r="DK50" s="173"/>
      <c r="DL50" s="173"/>
      <c r="DM50" s="173"/>
      <c r="DN50" s="173"/>
      <c r="DO50" s="173"/>
      <c r="DP50" s="173"/>
      <c r="DQ50" s="173"/>
      <c r="DR50" s="173"/>
    </row>
    <row r="51" spans="1:122" s="18" customFormat="1" ht="71.25" customHeight="1" x14ac:dyDescent="0.3">
      <c r="A51" s="98">
        <v>1073</v>
      </c>
      <c r="B51" s="345"/>
      <c r="C51" s="747" t="s">
        <v>1403</v>
      </c>
      <c r="D51" s="748" t="s">
        <v>1415</v>
      </c>
      <c r="E51" s="636" t="s">
        <v>1029</v>
      </c>
      <c r="F51" s="182">
        <v>0</v>
      </c>
      <c r="G51" s="375"/>
      <c r="H51" s="858"/>
      <c r="I51" s="879"/>
      <c r="J51" s="743"/>
      <c r="K51" s="551"/>
      <c r="L51" s="173"/>
      <c r="N51" s="183"/>
      <c r="Y51" s="173"/>
      <c r="Z51" s="173"/>
      <c r="AA51" s="173"/>
      <c r="AB51" s="173"/>
      <c r="AC51" s="173"/>
      <c r="AD51" s="173"/>
      <c r="AE51" s="173"/>
      <c r="AF51" s="173"/>
      <c r="AG51" s="173"/>
      <c r="AH51" s="173"/>
      <c r="AI51" s="173"/>
      <c r="AJ51" s="173"/>
      <c r="AK51" s="173"/>
      <c r="AL51" s="173"/>
      <c r="AM51" s="173"/>
      <c r="AN51" s="173"/>
      <c r="AO51" s="173"/>
      <c r="AP51" s="173"/>
      <c r="AQ51" s="173"/>
      <c r="AR51" s="173"/>
      <c r="AS51" s="173"/>
      <c r="AT51" s="173"/>
      <c r="AU51" s="173"/>
      <c r="AV51" s="173"/>
      <c r="AW51" s="173"/>
      <c r="AX51" s="173"/>
      <c r="AY51" s="173"/>
      <c r="AZ51" s="173"/>
      <c r="BA51" s="173"/>
      <c r="BB51" s="173"/>
      <c r="BC51" s="173"/>
      <c r="BD51" s="173"/>
      <c r="BE51" s="173"/>
      <c r="BF51" s="173"/>
      <c r="BG51" s="173"/>
      <c r="BH51" s="173"/>
      <c r="BI51" s="173"/>
      <c r="BJ51" s="173"/>
      <c r="BK51" s="173"/>
      <c r="BL51" s="173"/>
      <c r="BM51" s="173"/>
      <c r="BN51" s="173"/>
      <c r="BO51" s="173"/>
      <c r="BP51" s="173"/>
      <c r="BQ51" s="173"/>
      <c r="BR51" s="173"/>
      <c r="BS51" s="173"/>
      <c r="BT51" s="173"/>
      <c r="BU51" s="173"/>
      <c r="BV51" s="173"/>
      <c r="BW51" s="173"/>
      <c r="BX51" s="173"/>
      <c r="BY51" s="173"/>
      <c r="BZ51" s="173"/>
      <c r="CA51" s="173"/>
      <c r="CB51" s="173"/>
      <c r="CC51" s="173"/>
      <c r="CD51" s="173"/>
      <c r="CE51" s="173"/>
      <c r="CF51" s="173"/>
      <c r="CG51" s="173"/>
      <c r="CH51" s="173"/>
      <c r="CI51" s="173"/>
      <c r="CJ51" s="173"/>
      <c r="CK51" s="173"/>
      <c r="CL51" s="173"/>
      <c r="CM51" s="173"/>
      <c r="CN51" s="173"/>
      <c r="CO51" s="173"/>
      <c r="CP51" s="173"/>
      <c r="CQ51" s="173"/>
      <c r="CR51" s="173"/>
      <c r="CS51" s="173"/>
      <c r="CT51" s="173"/>
      <c r="CU51" s="173"/>
      <c r="CV51" s="173"/>
      <c r="CW51" s="173"/>
      <c r="CX51" s="173"/>
      <c r="CY51" s="173"/>
      <c r="CZ51" s="173"/>
      <c r="DA51" s="173"/>
      <c r="DB51" s="173"/>
      <c r="DC51" s="173"/>
      <c r="DD51" s="173"/>
      <c r="DE51" s="173"/>
      <c r="DF51" s="173"/>
      <c r="DG51" s="173"/>
      <c r="DH51" s="173"/>
      <c r="DI51" s="173"/>
      <c r="DJ51" s="173"/>
      <c r="DK51" s="173"/>
      <c r="DL51" s="173"/>
      <c r="DM51" s="173"/>
      <c r="DN51" s="173"/>
      <c r="DO51" s="173"/>
      <c r="DP51" s="173"/>
      <c r="DQ51" s="173"/>
      <c r="DR51" s="173"/>
    </row>
    <row r="52" spans="1:122" s="18" customFormat="1" ht="71.25" customHeight="1" x14ac:dyDescent="0.3">
      <c r="A52" s="98">
        <v>1074</v>
      </c>
      <c r="B52" s="345"/>
      <c r="C52" s="426" t="s">
        <v>1404</v>
      </c>
      <c r="D52" s="748" t="s">
        <v>1416</v>
      </c>
      <c r="E52" s="636" t="s">
        <v>1029</v>
      </c>
      <c r="F52" s="182">
        <v>0</v>
      </c>
      <c r="G52" s="375"/>
      <c r="H52" s="858"/>
      <c r="I52" s="879"/>
      <c r="J52" s="743"/>
      <c r="K52" s="551"/>
      <c r="L52" s="173"/>
      <c r="N52" s="183"/>
      <c r="Y52" s="173"/>
      <c r="Z52" s="173"/>
      <c r="AA52" s="173"/>
      <c r="AB52" s="173"/>
      <c r="AC52" s="173"/>
      <c r="AD52" s="173"/>
      <c r="AE52" s="173"/>
      <c r="AF52" s="173"/>
      <c r="AG52" s="173"/>
      <c r="AH52" s="173"/>
      <c r="AI52" s="173"/>
      <c r="AJ52" s="173"/>
      <c r="AK52" s="173"/>
      <c r="AL52" s="173"/>
      <c r="AM52" s="173"/>
      <c r="AN52" s="173"/>
      <c r="AO52" s="173"/>
      <c r="AP52" s="173"/>
      <c r="AQ52" s="173"/>
      <c r="AR52" s="173"/>
      <c r="AS52" s="173"/>
      <c r="AT52" s="173"/>
      <c r="AU52" s="173"/>
      <c r="AV52" s="173"/>
      <c r="AW52" s="173"/>
      <c r="AX52" s="173"/>
      <c r="AY52" s="173"/>
      <c r="AZ52" s="173"/>
      <c r="BA52" s="173"/>
      <c r="BB52" s="173"/>
      <c r="BC52" s="173"/>
      <c r="BD52" s="173"/>
      <c r="BE52" s="173"/>
      <c r="BF52" s="173"/>
      <c r="BG52" s="173"/>
      <c r="BH52" s="173"/>
      <c r="BI52" s="173"/>
      <c r="BJ52" s="173"/>
      <c r="BK52" s="173"/>
      <c r="BL52" s="173"/>
      <c r="BM52" s="173"/>
      <c r="BN52" s="173"/>
      <c r="BO52" s="173"/>
      <c r="BP52" s="173"/>
      <c r="BQ52" s="173"/>
      <c r="BR52" s="173"/>
      <c r="BS52" s="173"/>
      <c r="BT52" s="173"/>
      <c r="BU52" s="173"/>
      <c r="BV52" s="173"/>
      <c r="BW52" s="173"/>
      <c r="BX52" s="173"/>
      <c r="BY52" s="173"/>
      <c r="BZ52" s="173"/>
      <c r="CA52" s="173"/>
      <c r="CB52" s="173"/>
      <c r="CC52" s="173"/>
      <c r="CD52" s="173"/>
      <c r="CE52" s="173"/>
      <c r="CF52" s="173"/>
      <c r="CG52" s="173"/>
      <c r="CH52" s="173"/>
      <c r="CI52" s="173"/>
      <c r="CJ52" s="173"/>
      <c r="CK52" s="173"/>
      <c r="CL52" s="173"/>
      <c r="CM52" s="173"/>
      <c r="CN52" s="173"/>
      <c r="CO52" s="173"/>
      <c r="CP52" s="173"/>
      <c r="CQ52" s="173"/>
      <c r="CR52" s="173"/>
      <c r="CS52" s="173"/>
      <c r="CT52" s="173"/>
      <c r="CU52" s="173"/>
      <c r="CV52" s="173"/>
      <c r="CW52" s="173"/>
      <c r="CX52" s="173"/>
      <c r="CY52" s="173"/>
      <c r="CZ52" s="173"/>
      <c r="DA52" s="173"/>
      <c r="DB52" s="173"/>
      <c r="DC52" s="173"/>
      <c r="DD52" s="173"/>
      <c r="DE52" s="173"/>
      <c r="DF52" s="173"/>
      <c r="DG52" s="173"/>
      <c r="DH52" s="173"/>
      <c r="DI52" s="173"/>
      <c r="DJ52" s="173"/>
      <c r="DK52" s="173"/>
      <c r="DL52" s="173"/>
      <c r="DM52" s="173"/>
      <c r="DN52" s="173"/>
      <c r="DO52" s="173"/>
      <c r="DP52" s="173"/>
      <c r="DQ52" s="173"/>
      <c r="DR52" s="173"/>
    </row>
    <row r="53" spans="1:122" ht="27" customHeight="1" x14ac:dyDescent="0.3">
      <c r="A53" s="98"/>
      <c r="B53" s="456" t="s">
        <v>115</v>
      </c>
      <c r="C53" s="457"/>
      <c r="D53" s="442"/>
      <c r="E53" s="439"/>
      <c r="F53" s="443"/>
      <c r="G53" s="444"/>
      <c r="H53" s="859"/>
      <c r="I53" s="859"/>
      <c r="J53" s="173"/>
      <c r="K53" s="551"/>
    </row>
    <row r="54" spans="1:122" s="18" customFormat="1" ht="55.5" customHeight="1" x14ac:dyDescent="0.3">
      <c r="A54" s="98">
        <v>506</v>
      </c>
      <c r="B54" s="681" t="s">
        <v>54</v>
      </c>
      <c r="C54" s="681" t="s">
        <v>118</v>
      </c>
      <c r="D54" s="97" t="s">
        <v>630</v>
      </c>
      <c r="E54" s="343" t="e">
        <f>INDEX('PY1 Data(H)'!$A$1:$CZ$260,MATCH('Unit Data from Audit Worksheet'!$A54,'PY1 Data(H)'!$A$1:$A$260,0),MATCH('Unit Data from Audit Worksheet'!$D$2,'PY1 Data(H)'!$A$1:$CZ$1,0))</f>
        <v>#N/A</v>
      </c>
      <c r="F54" s="182">
        <v>0</v>
      </c>
      <c r="G54" s="375">
        <f>IF(F54&lt;0,"Note: Number is normally positive.",)</f>
        <v>0</v>
      </c>
      <c r="H54" s="858"/>
      <c r="I54" s="859"/>
      <c r="J54" s="173"/>
      <c r="K54" s="551"/>
      <c r="L54"/>
      <c r="N54" s="183"/>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row>
    <row r="55" spans="1:122" s="18" customFormat="1" ht="51" customHeight="1" x14ac:dyDescent="0.3">
      <c r="A55" s="98">
        <v>536</v>
      </c>
      <c r="B55" s="681" t="s">
        <v>54</v>
      </c>
      <c r="C55" s="681" t="s">
        <v>118</v>
      </c>
      <c r="D55" s="97" t="s">
        <v>116</v>
      </c>
      <c r="E55" s="343" t="e">
        <f>INDEX('PY1 Data(H)'!$A$1:$CZ$260,MATCH('Unit Data from Audit Worksheet'!$A55,'PY1 Data(H)'!$A$1:$A$260,0),MATCH('Unit Data from Audit Worksheet'!$D$2,'PY1 Data(H)'!$A$1:$CZ$1,0))</f>
        <v>#N/A</v>
      </c>
      <c r="F55" s="182">
        <v>0</v>
      </c>
      <c r="G55" s="375">
        <f>IF(F55&lt;0,"Note: Number is normally positive.",)</f>
        <v>0</v>
      </c>
      <c r="H55" s="858"/>
      <c r="I55" s="858"/>
      <c r="J55" s="173"/>
      <c r="K55" s="551"/>
      <c r="L55"/>
      <c r="N55" s="183"/>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row>
    <row r="56" spans="1:122" s="18" customFormat="1" ht="69" customHeight="1" x14ac:dyDescent="0.3">
      <c r="A56" s="98">
        <v>586</v>
      </c>
      <c r="B56" s="681" t="s">
        <v>58</v>
      </c>
      <c r="C56" s="681" t="s">
        <v>118</v>
      </c>
      <c r="D56" s="348" t="s">
        <v>291</v>
      </c>
      <c r="E56" s="343" t="e">
        <f>INDEX('PY1 Data(H)'!$A$1:$CZ$260,MATCH('Unit Data from Audit Worksheet'!$A56,'PY1 Data(H)'!$A$1:$A$260,0),MATCH('Unit Data from Audit Worksheet'!$D$2,'PY1 Data(H)'!$A$1:$CZ$1,0))</f>
        <v>#N/A</v>
      </c>
      <c r="F56" s="182">
        <v>0</v>
      </c>
      <c r="G56" s="375">
        <f>IF(F56&lt;0,"Note: Number is normally positive.",)</f>
        <v>0</v>
      </c>
      <c r="H56" s="858"/>
      <c r="I56" s="858"/>
      <c r="J56" s="173"/>
      <c r="K56" s="551"/>
      <c r="L56"/>
      <c r="N56" s="183"/>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row>
    <row r="57" spans="1:122" ht="51" customHeight="1" x14ac:dyDescent="0.3">
      <c r="A57" s="98">
        <v>379</v>
      </c>
      <c r="B57" s="681" t="s">
        <v>59</v>
      </c>
      <c r="C57" s="681" t="s">
        <v>118</v>
      </c>
      <c r="D57" s="97" t="s">
        <v>100</v>
      </c>
      <c r="E57" s="343" t="e">
        <f>INDEX('PY1 Data(H)'!$A$1:$CZ$260,MATCH('Unit Data from Audit Worksheet'!$A57,'PY1 Data(H)'!$A$1:$A$260,0),MATCH('Unit Data from Audit Worksheet'!$D$2,'PY1 Data(H)'!$A$1:$CZ$1,0))</f>
        <v>#N/A</v>
      </c>
      <c r="F57" s="182">
        <v>0</v>
      </c>
      <c r="G57" s="375">
        <f>IF((F54+F55)&gt;F57,"Error: Please review account numbers (506+536)&gt;379",)</f>
        <v>0</v>
      </c>
      <c r="H57" s="859"/>
      <c r="I57" s="859"/>
      <c r="J57" s="173"/>
      <c r="K57" s="551"/>
    </row>
    <row r="58" spans="1:122" ht="93" customHeight="1" x14ac:dyDescent="0.3">
      <c r="A58" s="98">
        <v>368</v>
      </c>
      <c r="B58" s="681" t="s">
        <v>68</v>
      </c>
      <c r="C58" s="681" t="s">
        <v>118</v>
      </c>
      <c r="D58" s="355" t="s">
        <v>631</v>
      </c>
      <c r="E58" s="343" t="e">
        <f>INDEX('PY1 Data(H)'!$A$1:$CZ$260,MATCH('Unit Data from Audit Worksheet'!$A58,'PY1 Data(H)'!$A$1:$A$260,0),MATCH('Unit Data from Audit Worksheet'!$D$2,'PY1 Data(H)'!$A$1:$CZ$1,0))</f>
        <v>#N/A</v>
      </c>
      <c r="F58" s="182">
        <v>0</v>
      </c>
      <c r="G58" s="375">
        <f t="shared" ref="G58:G63" si="1">IF(F58&lt;0,"Error: Enter as positive.",)</f>
        <v>0</v>
      </c>
      <c r="H58" s="859"/>
      <c r="I58" s="858"/>
      <c r="J58" s="173"/>
      <c r="K58" s="551"/>
    </row>
    <row r="59" spans="1:122" ht="99.75" customHeight="1" x14ac:dyDescent="0.3">
      <c r="A59" s="98">
        <v>4</v>
      </c>
      <c r="B59" s="681" t="s">
        <v>54</v>
      </c>
      <c r="C59" s="681" t="s">
        <v>118</v>
      </c>
      <c r="D59" s="186" t="s">
        <v>632</v>
      </c>
      <c r="E59" s="343" t="e">
        <f>INDEX('PY1 Data(H)'!$A$1:$CZ$260,MATCH('Unit Data from Audit Worksheet'!$A59,'PY1 Data(H)'!$A$1:$A$260,0),MATCH('Unit Data from Audit Worksheet'!$D$2,'PY1 Data(H)'!$A$1:$CZ$1,0))</f>
        <v>#N/A</v>
      </c>
      <c r="F59" s="182">
        <v>0</v>
      </c>
      <c r="G59" s="375">
        <f t="shared" si="1"/>
        <v>0</v>
      </c>
      <c r="H59" s="859"/>
      <c r="I59" s="859"/>
      <c r="J59" s="173"/>
      <c r="K59" s="551"/>
    </row>
    <row r="60" spans="1:122" ht="132" customHeight="1" x14ac:dyDescent="0.3">
      <c r="A60" s="98">
        <v>5</v>
      </c>
      <c r="B60" s="681" t="s">
        <v>54</v>
      </c>
      <c r="C60" s="681" t="s">
        <v>118</v>
      </c>
      <c r="D60" s="208" t="s">
        <v>633</v>
      </c>
      <c r="E60" s="343" t="e">
        <f>INDEX('PY1 Data(H)'!$A$1:$CZ$260,MATCH('Unit Data from Audit Worksheet'!$A60,'PY1 Data(H)'!$A$1:$A$260,0),MATCH('Unit Data from Audit Worksheet'!$D$2,'PY1 Data(H)'!$A$1:$CZ$1,0))</f>
        <v>#N/A</v>
      </c>
      <c r="F60" s="182">
        <v>0</v>
      </c>
      <c r="G60" s="375">
        <f t="shared" si="1"/>
        <v>0</v>
      </c>
      <c r="H60" s="859"/>
      <c r="I60" s="859"/>
      <c r="J60" s="173"/>
      <c r="K60" s="551"/>
    </row>
    <row r="61" spans="1:122" ht="93.75" customHeight="1" x14ac:dyDescent="0.3">
      <c r="A61" s="98">
        <v>380</v>
      </c>
      <c r="B61" s="681" t="s">
        <v>59</v>
      </c>
      <c r="C61" s="681" t="s">
        <v>118</v>
      </c>
      <c r="D61" s="208" t="s">
        <v>634</v>
      </c>
      <c r="E61" s="343" t="e">
        <f>INDEX('PY1 Data(H)'!$A$1:$CZ$260,MATCH('Unit Data from Audit Worksheet'!$A61,'PY1 Data(H)'!$A$1:$A$260,0),MATCH('Unit Data from Audit Worksheet'!$D$2,'PY1 Data(H)'!$A$1:$CZ$1,0))</f>
        <v>#N/A</v>
      </c>
      <c r="F61" s="182">
        <v>0</v>
      </c>
      <c r="G61" s="375">
        <f t="shared" si="1"/>
        <v>0</v>
      </c>
      <c r="H61" s="859"/>
      <c r="I61" s="859"/>
      <c r="J61" s="173"/>
      <c r="K61" s="551"/>
    </row>
    <row r="62" spans="1:122" ht="48.75" customHeight="1" x14ac:dyDescent="0.3">
      <c r="A62" s="98">
        <v>391</v>
      </c>
      <c r="B62" s="681" t="s">
        <v>68</v>
      </c>
      <c r="C62" s="681" t="s">
        <v>118</v>
      </c>
      <c r="D62" s="97" t="s">
        <v>117</v>
      </c>
      <c r="E62" s="343" t="e">
        <f>INDEX('PY1 Data(H)'!$A$1:$CZ$260,MATCH('Unit Data from Audit Worksheet'!$A62,'PY1 Data(H)'!$A$1:$A$260,0),MATCH('Unit Data from Audit Worksheet'!$D$2,'PY1 Data(H)'!$A$1:$CZ$1,0))</f>
        <v>#N/A</v>
      </c>
      <c r="F62" s="182">
        <v>0</v>
      </c>
      <c r="G62" s="375">
        <f t="shared" si="1"/>
        <v>0</v>
      </c>
      <c r="H62" s="859"/>
      <c r="I62" s="859"/>
      <c r="J62" s="173"/>
      <c r="K62" s="551"/>
    </row>
    <row r="63" spans="1:122" ht="51.75" customHeight="1" x14ac:dyDescent="0.3">
      <c r="A63" s="98">
        <v>7</v>
      </c>
      <c r="B63" s="681" t="s">
        <v>68</v>
      </c>
      <c r="C63" s="681" t="s">
        <v>118</v>
      </c>
      <c r="D63" s="97" t="s">
        <v>1405</v>
      </c>
      <c r="E63" s="343" t="e">
        <f>INDEX('PY1 Data(H)'!$A$1:$CZ$260,MATCH('Unit Data from Audit Worksheet'!$A63,'PY1 Data(H)'!$A$1:$A$260,0),MATCH('Unit Data from Audit Worksheet'!$D$2,'PY1 Data(H)'!$A$1:$CZ$1,0))</f>
        <v>#N/A</v>
      </c>
      <c r="F63" s="182">
        <v>0</v>
      </c>
      <c r="G63" s="375">
        <f t="shared" si="1"/>
        <v>0</v>
      </c>
      <c r="H63" s="859"/>
      <c r="I63" s="859"/>
      <c r="J63" s="173"/>
      <c r="K63" s="551"/>
    </row>
    <row r="64" spans="1:122" ht="78.75" customHeight="1" x14ac:dyDescent="0.3">
      <c r="A64" s="187">
        <v>645</v>
      </c>
      <c r="B64" s="680" t="s">
        <v>335</v>
      </c>
      <c r="C64" s="680" t="s">
        <v>118</v>
      </c>
      <c r="D64" s="642" t="s">
        <v>363</v>
      </c>
      <c r="E64" s="343" t="e">
        <f>INDEX('PY1 Data(H)'!$A$1:$CZ$260,MATCH('Unit Data from Audit Worksheet'!$A64,'PY1 Data(H)'!$A$1:$A$260,0),MATCH('Unit Data from Audit Worksheet'!$D$2,'PY1 Data(H)'!$A$1:$CZ$1,0))</f>
        <v>#N/A</v>
      </c>
      <c r="F64" s="182">
        <v>0</v>
      </c>
      <c r="G64" s="375">
        <f>IF(F64&lt;0,"Note: Number is normally positive.",)</f>
        <v>0</v>
      </c>
      <c r="H64" s="858"/>
      <c r="I64" s="858"/>
      <c r="J64" s="173"/>
      <c r="K64" s="551"/>
    </row>
    <row r="65" spans="1:122" ht="78.75" customHeight="1" x14ac:dyDescent="0.3">
      <c r="A65" s="187">
        <v>646</v>
      </c>
      <c r="B65" s="680" t="s">
        <v>335</v>
      </c>
      <c r="C65" s="680" t="s">
        <v>118</v>
      </c>
      <c r="D65" s="186" t="s">
        <v>336</v>
      </c>
      <c r="E65" s="343" t="e">
        <f>INDEX('PY1 Data(H)'!$A$1:$CZ$260,MATCH('Unit Data from Audit Worksheet'!$A65,'PY1 Data(H)'!$A$1:$A$260,0),MATCH('Unit Data from Audit Worksheet'!$D$2,'PY1 Data(H)'!$A$1:$CZ$1,0))</f>
        <v>#N/A</v>
      </c>
      <c r="F65" s="182">
        <v>0</v>
      </c>
      <c r="G65" s="375">
        <f>IF(F65&lt;0,"Note: Number is normally positive.",)</f>
        <v>0</v>
      </c>
      <c r="H65" s="858"/>
      <c r="I65" s="858"/>
      <c r="J65" s="173"/>
      <c r="K65" s="551"/>
    </row>
    <row r="66" spans="1:122" ht="138" customHeight="1" x14ac:dyDescent="0.3">
      <c r="A66" s="98">
        <v>9</v>
      </c>
      <c r="B66" s="681" t="s">
        <v>59</v>
      </c>
      <c r="C66" s="681" t="s">
        <v>118</v>
      </c>
      <c r="D66" s="355" t="s">
        <v>635</v>
      </c>
      <c r="E66" s="343" t="e">
        <f>INDEX('PY1 Data(H)'!$A$1:$CZ$260,MATCH('Unit Data from Audit Worksheet'!$A66,'PY1 Data(H)'!$A$1:$A$260,0),MATCH('Unit Data from Audit Worksheet'!$D$2,'PY1 Data(H)'!$A$1:$CZ$1,0))</f>
        <v>#N/A</v>
      </c>
      <c r="F66" s="182">
        <v>0</v>
      </c>
      <c r="G66" s="375">
        <f>IF(F57-F59-F60-F61-F66=0,,"Error: Total assets less total liabilities do not equal total fund balance. Account numbers 379-4-5-380-9= 0  The amount of the formula is in the cell to the right")</f>
        <v>0</v>
      </c>
      <c r="H66" s="860">
        <f>F57-F59-F60-F61-F66</f>
        <v>0</v>
      </c>
      <c r="I66" s="859"/>
      <c r="J66" s="173"/>
      <c r="K66" s="551"/>
    </row>
    <row r="67" spans="1:122" s="18" customFormat="1" ht="76.2" customHeight="1" x14ac:dyDescent="0.3">
      <c r="A67" s="98">
        <v>540</v>
      </c>
      <c r="B67" s="345" t="s">
        <v>58</v>
      </c>
      <c r="C67" s="345" t="s">
        <v>636</v>
      </c>
      <c r="D67" s="97" t="s">
        <v>364</v>
      </c>
      <c r="E67" s="343" t="e">
        <f>INDEX('PY1 Data(H)'!$A$1:$CZ$260,MATCH('Unit Data from Audit Worksheet'!$A67,'PY1 Data(H)'!$A$1:$A$260,0),MATCH('Unit Data from Audit Worksheet'!$D$2,'PY1 Data(H)'!$A$1:$CZ$1,0))</f>
        <v>#N/A</v>
      </c>
      <c r="F67" s="182">
        <v>0</v>
      </c>
      <c r="G67" s="375"/>
      <c r="H67" s="858"/>
      <c r="I67" s="858"/>
      <c r="J67" s="173"/>
      <c r="K67" s="551"/>
      <c r="L67"/>
      <c r="N67" s="183"/>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row>
    <row r="68" spans="1:122" s="18" customFormat="1" ht="63.75" customHeight="1" x14ac:dyDescent="0.3">
      <c r="A68" s="98">
        <v>1052</v>
      </c>
      <c r="B68" s="771" t="s">
        <v>540</v>
      </c>
      <c r="C68" s="771" t="s">
        <v>121</v>
      </c>
      <c r="D68" s="778" t="s">
        <v>1337</v>
      </c>
      <c r="E68" s="343" t="e">
        <f>INDEX('PY1 Data(H)'!$A$1:$CZ$260,MATCH('Unit Data from Audit Worksheet'!$A68,'PY1 Data(H)'!$A$1:$A$260,0),MATCH('Unit Data from Audit Worksheet'!$D$2,'PY1 Data(H)'!$A$1:$CZ$1,0))</f>
        <v>#N/A</v>
      </c>
      <c r="F68" s="182">
        <v>0</v>
      </c>
      <c r="G68" s="375"/>
      <c r="H68" s="858"/>
      <c r="I68" s="858"/>
      <c r="J68" s="173"/>
      <c r="K68" s="551"/>
      <c r="L68" s="173"/>
      <c r="N68" s="18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3"/>
      <c r="BI68" s="173"/>
      <c r="BJ68" s="173"/>
      <c r="BK68" s="173"/>
      <c r="BL68" s="173"/>
      <c r="BM68" s="173"/>
      <c r="BN68" s="173"/>
      <c r="BO68" s="173"/>
      <c r="BP68" s="173"/>
      <c r="BQ68" s="173"/>
      <c r="BR68" s="173"/>
      <c r="BS68" s="173"/>
      <c r="BT68" s="173"/>
      <c r="BU68" s="173"/>
      <c r="BV68" s="173"/>
      <c r="BW68" s="173"/>
      <c r="BX68" s="173"/>
      <c r="BY68" s="173"/>
      <c r="BZ68" s="173"/>
      <c r="CA68" s="173"/>
      <c r="CB68" s="173"/>
      <c r="CC68" s="173"/>
      <c r="CD68" s="173"/>
      <c r="CE68" s="173"/>
      <c r="CF68" s="173"/>
      <c r="CG68" s="173"/>
      <c r="CH68" s="173"/>
      <c r="CI68" s="173"/>
      <c r="CJ68" s="173"/>
      <c r="CK68" s="173"/>
      <c r="CL68" s="173"/>
      <c r="CM68" s="173"/>
      <c r="CN68" s="173"/>
      <c r="CO68" s="173"/>
      <c r="CP68" s="173"/>
      <c r="CQ68" s="173"/>
      <c r="CR68" s="173"/>
      <c r="CS68" s="173"/>
      <c r="CT68" s="173"/>
      <c r="CU68" s="173"/>
      <c r="CV68" s="173"/>
      <c r="CW68" s="173"/>
      <c r="CX68" s="173"/>
      <c r="CY68" s="173"/>
      <c r="CZ68" s="173"/>
      <c r="DA68" s="173"/>
      <c r="DB68" s="173"/>
      <c r="DC68" s="173"/>
      <c r="DD68" s="173"/>
      <c r="DE68" s="173"/>
      <c r="DF68" s="173"/>
      <c r="DG68" s="173"/>
      <c r="DH68" s="173"/>
      <c r="DI68" s="173"/>
      <c r="DJ68" s="173"/>
      <c r="DK68" s="173"/>
      <c r="DL68" s="173"/>
      <c r="DM68" s="173"/>
      <c r="DN68" s="173"/>
      <c r="DO68" s="173"/>
      <c r="DP68" s="173"/>
      <c r="DQ68" s="173"/>
      <c r="DR68" s="173"/>
    </row>
    <row r="69" spans="1:122" ht="30" customHeight="1" x14ac:dyDescent="0.3">
      <c r="A69" s="98"/>
      <c r="B69" s="456" t="s">
        <v>120</v>
      </c>
      <c r="C69" s="457"/>
      <c r="D69" s="438"/>
      <c r="E69" s="439"/>
      <c r="F69" s="440"/>
      <c r="G69" s="441"/>
      <c r="H69" s="859"/>
      <c r="I69" s="859"/>
      <c r="J69" s="173"/>
      <c r="K69" s="551"/>
    </row>
    <row r="70" spans="1:122" ht="69.599999999999994" customHeight="1" x14ac:dyDescent="0.3">
      <c r="A70" s="98">
        <v>369</v>
      </c>
      <c r="B70" s="4" t="s">
        <v>55</v>
      </c>
      <c r="C70" s="4" t="s">
        <v>121</v>
      </c>
      <c r="D70" s="355" t="s">
        <v>637</v>
      </c>
      <c r="E70" s="343" t="e">
        <f>INDEX('PY1 Data(H)'!$A$1:$CZ$260,MATCH('Unit Data from Audit Worksheet'!$A70,'PY1 Data(H)'!$A$1:$A$260,0),MATCH('Unit Data from Audit Worksheet'!$D$2,'PY1 Data(H)'!$A$1:$CZ$1,0))</f>
        <v>#N/A</v>
      </c>
      <c r="F70" s="182">
        <v>0</v>
      </c>
      <c r="G70" s="375"/>
      <c r="H70" s="859"/>
      <c r="I70" s="859"/>
      <c r="J70" s="173"/>
      <c r="K70" s="551"/>
    </row>
    <row r="71" spans="1:122" ht="68.400000000000006" customHeight="1" x14ac:dyDescent="0.3">
      <c r="A71" s="98">
        <v>16</v>
      </c>
      <c r="B71" s="4" t="s">
        <v>65</v>
      </c>
      <c r="C71" s="4" t="s">
        <v>121</v>
      </c>
      <c r="D71" s="97" t="s">
        <v>119</v>
      </c>
      <c r="E71" s="343" t="e">
        <f>INDEX('PY1 Data(H)'!$A$1:$CZ$260,MATCH('Unit Data from Audit Worksheet'!$A71,'PY1 Data(H)'!$A$1:$A$260,0),MATCH('Unit Data from Audit Worksheet'!$D$2,'PY1 Data(H)'!$A$1:$CZ$1,0))</f>
        <v>#N/A</v>
      </c>
      <c r="F71" s="182">
        <v>0</v>
      </c>
      <c r="G71" s="375"/>
      <c r="H71" s="859"/>
      <c r="I71" s="859"/>
      <c r="J71" s="173"/>
      <c r="K71" s="551"/>
    </row>
    <row r="72" spans="1:122" ht="82.2" customHeight="1" x14ac:dyDescent="0.3">
      <c r="A72" s="98">
        <v>370</v>
      </c>
      <c r="B72" s="4" t="s">
        <v>55</v>
      </c>
      <c r="C72" s="4" t="s">
        <v>121</v>
      </c>
      <c r="D72" s="355" t="s">
        <v>638</v>
      </c>
      <c r="E72" s="343" t="e">
        <f>INDEX('PY1 Data(H)'!$A$1:$CZ$260,MATCH('Unit Data from Audit Worksheet'!$A72,'PY1 Data(H)'!$A$1:$A$260,0),MATCH('Unit Data from Audit Worksheet'!$D$2,'PY1 Data(H)'!$A$1:$CZ$1,0))</f>
        <v>#N/A</v>
      </c>
      <c r="F72" s="182">
        <v>0</v>
      </c>
      <c r="G72" s="375">
        <f>IF(F72&lt;0,"Error: Enter as positive.",)</f>
        <v>0</v>
      </c>
      <c r="H72" s="859"/>
      <c r="I72" s="859"/>
      <c r="J72" s="173"/>
      <c r="K72" s="551"/>
    </row>
    <row r="73" spans="1:122" ht="81" customHeight="1" x14ac:dyDescent="0.3">
      <c r="A73" s="98">
        <v>532</v>
      </c>
      <c r="B73" s="4" t="s">
        <v>54</v>
      </c>
      <c r="C73" s="4" t="s">
        <v>121</v>
      </c>
      <c r="D73" s="351" t="s">
        <v>639</v>
      </c>
      <c r="E73" s="343" t="e">
        <f>INDEX('PY1 Data(H)'!$A$1:$CZ$260,MATCH('Unit Data from Audit Worksheet'!$A73,'PY1 Data(H)'!$A$1:$A$260,0),MATCH('Unit Data from Audit Worksheet'!$D$2,'PY1 Data(H)'!$A$1:$CZ$1,0))</f>
        <v>#N/A</v>
      </c>
      <c r="F73" s="182">
        <v>0</v>
      </c>
      <c r="G73" s="375">
        <f>IF(F73&lt;0,"Error: Enter as positive.",)</f>
        <v>0</v>
      </c>
      <c r="H73" s="859"/>
      <c r="I73" s="859"/>
      <c r="J73" s="173"/>
      <c r="K73" s="551"/>
    </row>
    <row r="74" spans="1:122" ht="66" customHeight="1" x14ac:dyDescent="0.3">
      <c r="A74" s="98">
        <v>17</v>
      </c>
      <c r="B74" s="4" t="s">
        <v>59</v>
      </c>
      <c r="C74" s="4" t="s">
        <v>121</v>
      </c>
      <c r="D74" s="97" t="s">
        <v>640</v>
      </c>
      <c r="E74" s="343" t="e">
        <f>INDEX('PY1 Data(H)'!$A$1:$CZ$260,MATCH('Unit Data from Audit Worksheet'!$A74,'PY1 Data(H)'!$A$1:$A$260,0),MATCH('Unit Data from Audit Worksheet'!$D$2,'PY1 Data(H)'!$A$1:$CZ$1,0))</f>
        <v>#N/A</v>
      </c>
      <c r="F74" s="182">
        <v>0</v>
      </c>
      <c r="G74" s="375"/>
      <c r="H74" s="859"/>
      <c r="I74" s="859"/>
      <c r="J74" s="173"/>
      <c r="K74" s="551"/>
    </row>
    <row r="75" spans="1:122" ht="58.5" customHeight="1" x14ac:dyDescent="0.3">
      <c r="A75" s="98">
        <v>20</v>
      </c>
      <c r="B75" s="4" t="s">
        <v>54</v>
      </c>
      <c r="C75" s="4" t="s">
        <v>121</v>
      </c>
      <c r="D75" s="97" t="s">
        <v>641</v>
      </c>
      <c r="E75" s="343" t="e">
        <f>INDEX('PY1 Data(H)'!$A$1:$CZ$260,MATCH('Unit Data from Audit Worksheet'!$A75,'PY1 Data(H)'!$A$1:$A$260,0),MATCH('Unit Data from Audit Worksheet'!$D$2,'PY1 Data(H)'!$A$1:$CZ$1,0))</f>
        <v>#N/A</v>
      </c>
      <c r="F75" s="182">
        <v>0</v>
      </c>
      <c r="G75" s="375">
        <f>IF(F75&lt;0,"Error: Enter as positive.",)</f>
        <v>0</v>
      </c>
      <c r="H75" s="859"/>
      <c r="I75" s="859"/>
      <c r="J75" s="173"/>
      <c r="K75" s="551"/>
    </row>
    <row r="76" spans="1:122" ht="71.400000000000006" customHeight="1" x14ac:dyDescent="0.3">
      <c r="A76" s="98">
        <v>533</v>
      </c>
      <c r="B76" s="4" t="s">
        <v>54</v>
      </c>
      <c r="C76" s="4" t="s">
        <v>121</v>
      </c>
      <c r="D76" s="351" t="s">
        <v>642</v>
      </c>
      <c r="E76" s="343" t="e">
        <f>INDEX('PY1 Data(H)'!$A$1:$CZ$260,MATCH('Unit Data from Audit Worksheet'!$A76,'PY1 Data(H)'!$A$1:$A$260,0),MATCH('Unit Data from Audit Worksheet'!$D$2,'PY1 Data(H)'!$A$1:$CZ$1,0))</f>
        <v>#N/A</v>
      </c>
      <c r="F76" s="182">
        <v>0</v>
      </c>
      <c r="G76" s="379"/>
      <c r="H76" s="859"/>
      <c r="I76" s="859"/>
      <c r="J76" s="173"/>
      <c r="K76" s="551"/>
    </row>
    <row r="77" spans="1:122" s="18" customFormat="1" ht="74.400000000000006" customHeight="1" x14ac:dyDescent="0.3">
      <c r="A77" s="98">
        <v>508</v>
      </c>
      <c r="B77" s="4" t="s">
        <v>54</v>
      </c>
      <c r="C77" s="4" t="s">
        <v>121</v>
      </c>
      <c r="D77" s="97" t="s">
        <v>268</v>
      </c>
      <c r="E77" s="343" t="e">
        <f>INDEX('PY1 Data(H)'!$A$1:$CZ$260,MATCH('Unit Data from Audit Worksheet'!$A77,'PY1 Data(H)'!$A$1:$A$260,0),MATCH('Unit Data from Audit Worksheet'!$D$2,'PY1 Data(H)'!$A$1:$CZ$1,0))</f>
        <v>#N/A</v>
      </c>
      <c r="F77" s="182">
        <v>0</v>
      </c>
      <c r="G77" s="375"/>
      <c r="H77" s="858"/>
      <c r="I77" s="858"/>
      <c r="J77" s="173"/>
      <c r="K77" s="551"/>
      <c r="L77"/>
      <c r="N77" s="183"/>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row>
    <row r="78" spans="1:122" s="18" customFormat="1" ht="81.75" customHeight="1" x14ac:dyDescent="0.3">
      <c r="A78" s="98">
        <v>509</v>
      </c>
      <c r="B78" s="4" t="s">
        <v>54</v>
      </c>
      <c r="C78" s="4" t="s">
        <v>121</v>
      </c>
      <c r="D78" s="97" t="s">
        <v>266</v>
      </c>
      <c r="E78" s="343" t="e">
        <f>INDEX('PY1 Data(H)'!$A$1:$CZ$260,MATCH('Unit Data from Audit Worksheet'!$A78,'PY1 Data(H)'!$A$1:$A$260,0),MATCH('Unit Data from Audit Worksheet'!$D$2,'PY1 Data(H)'!$A$1:$CZ$1,0))</f>
        <v>#N/A</v>
      </c>
      <c r="F78" s="182">
        <v>0</v>
      </c>
      <c r="G78" s="375">
        <f>IF(F78&lt;0,"Error: Enter as positive.",)</f>
        <v>0</v>
      </c>
      <c r="H78" s="858"/>
      <c r="I78" s="858"/>
      <c r="J78" s="173"/>
      <c r="K78" s="551"/>
      <c r="L78"/>
      <c r="N78" s="183"/>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row>
    <row r="79" spans="1:122" ht="69" customHeight="1" x14ac:dyDescent="0.3">
      <c r="A79" s="98">
        <v>22</v>
      </c>
      <c r="B79" s="4" t="s">
        <v>59</v>
      </c>
      <c r="C79" s="4" t="s">
        <v>121</v>
      </c>
      <c r="D79" s="97" t="s">
        <v>267</v>
      </c>
      <c r="E79" s="343" t="e">
        <f>INDEX('PY1 Data(H)'!$A$1:$CZ$260,MATCH('Unit Data from Audit Worksheet'!$A79,'PY1 Data(H)'!$A$1:$A$260,0),MATCH('Unit Data from Audit Worksheet'!$D$2,'PY1 Data(H)'!$A$1:$CZ$1,0))</f>
        <v>#N/A</v>
      </c>
      <c r="F79" s="182">
        <v>0</v>
      </c>
      <c r="G79" s="379"/>
      <c r="H79" s="859"/>
      <c r="I79" s="859"/>
      <c r="J79" s="173"/>
      <c r="K79" s="551"/>
    </row>
    <row r="80" spans="1:122" ht="72" customHeight="1" x14ac:dyDescent="0.3">
      <c r="A80" s="98">
        <v>23</v>
      </c>
      <c r="B80" s="4" t="s">
        <v>59</v>
      </c>
      <c r="C80" s="4" t="s">
        <v>121</v>
      </c>
      <c r="D80" s="355" t="s">
        <v>643</v>
      </c>
      <c r="E80" s="343" t="e">
        <f>INDEX('PY1 Data(H)'!$A$1:$CZ$260,MATCH('Unit Data from Audit Worksheet'!$A80,'PY1 Data(H)'!$A$1:$A$260,0),MATCH('Unit Data from Audit Worksheet'!$D$2,'PY1 Data(H)'!$A$1:$CZ$1,0))</f>
        <v>#N/A</v>
      </c>
      <c r="F80" s="182">
        <v>0</v>
      </c>
      <c r="G80" s="375">
        <f>IF(H80=0,,"Error: Total revenues less total expenditures do not equal total change in fund balance.  Account numbers 16-532+17-20+533+22+508-509-23=0  The amount of the formula is located in the cell to the right")</f>
        <v>0</v>
      </c>
      <c r="H80" s="860">
        <f>+F71-F73+F74-F75+F76+F79+F77-F78-F80</f>
        <v>0</v>
      </c>
      <c r="I80" s="859"/>
      <c r="J80" s="173"/>
      <c r="K80" s="551"/>
    </row>
    <row r="81" spans="1:11" ht="194.25" customHeight="1" x14ac:dyDescent="0.3">
      <c r="A81" s="98">
        <v>590</v>
      </c>
      <c r="B81" s="4" t="s">
        <v>301</v>
      </c>
      <c r="C81" s="4"/>
      <c r="D81" s="355" t="s">
        <v>1698</v>
      </c>
      <c r="E81" s="490"/>
      <c r="F81" s="656"/>
      <c r="G81" s="660"/>
      <c r="H81" s="376"/>
      <c r="I81" s="51" t="str">
        <f>IF(F81&lt;&gt;""," ","Please do not leave cell F81 blank if unit reports a general fund.")</f>
        <v>Please do not leave cell F81 blank if unit reports a general fund.</v>
      </c>
      <c r="J81" s="173"/>
      <c r="K81" s="551"/>
    </row>
    <row r="82" spans="1:11" ht="115.5" customHeight="1" x14ac:dyDescent="0.3">
      <c r="A82" s="98">
        <v>507</v>
      </c>
      <c r="B82" s="345" t="s">
        <v>59</v>
      </c>
      <c r="C82" s="345" t="s">
        <v>121</v>
      </c>
      <c r="D82" s="355" t="s">
        <v>644</v>
      </c>
      <c r="E82" s="343" t="e">
        <f>INDEX('PY1 Data(H)'!$A$1:$CZ$260,MATCH('Unit Data from Audit Worksheet'!$A82,'PY1 Data(H)'!$A$1:$A$260,0),MATCH('Unit Data from Audit Worksheet'!$D$2,'PY1 Data(H)'!$A$1:$CZ$1,0))</f>
        <v>#N/A</v>
      </c>
      <c r="F82" s="182">
        <v>0</v>
      </c>
      <c r="G82" s="666" t="e">
        <f>IF(F66-F80-F82=E66,,"Error: Beginning Balance does not agree with our records.  (Acct# 9-23-507)= Prior Years Acct # 9 The amount of the formula is in the cell to the right")</f>
        <v>#N/A</v>
      </c>
      <c r="H82" s="741" t="e">
        <f>+F66-F80-F82-E66</f>
        <v>#N/A</v>
      </c>
      <c r="I82" s="786" t="e">
        <f>IF(H82=0," ","If the out of balance is because prior years data is not populated in cell E66, disregard the error message. Do not include prior year's ending balance in cell F82.")</f>
        <v>#N/A</v>
      </c>
      <c r="J82" s="173"/>
      <c r="K82" s="551"/>
    </row>
    <row r="83" spans="1:11" ht="82.5" customHeight="1" x14ac:dyDescent="0.3">
      <c r="A83" s="187">
        <v>647</v>
      </c>
      <c r="B83" s="680" t="s">
        <v>335</v>
      </c>
      <c r="C83" s="423" t="s">
        <v>337</v>
      </c>
      <c r="D83" s="186" t="s">
        <v>338</v>
      </c>
      <c r="E83" s="343" t="e">
        <f>INDEX('PY1 Data(H)'!$A$1:$CZ$260,MATCH('Unit Data from Audit Worksheet'!$A83,'PY1 Data(H)'!$A$1:$A$260,0),MATCH('Unit Data from Audit Worksheet'!$D$2,'PY1 Data(H)'!$A$1:$CZ$1,0))</f>
        <v>#N/A</v>
      </c>
      <c r="F83" s="182">
        <v>0</v>
      </c>
      <c r="G83" s="375">
        <f>IF(F83&lt;0,"Error: Enter as positive.",)</f>
        <v>0</v>
      </c>
      <c r="H83" s="865"/>
      <c r="I83" s="859"/>
      <c r="J83" s="173"/>
      <c r="K83" s="551"/>
    </row>
    <row r="84" spans="1:11" ht="25.5" customHeight="1" x14ac:dyDescent="0.3">
      <c r="A84" s="98"/>
      <c r="B84" s="456" t="s">
        <v>11</v>
      </c>
      <c r="C84" s="457"/>
      <c r="D84" s="435"/>
      <c r="E84" s="431"/>
      <c r="F84" s="436"/>
      <c r="G84" s="437"/>
      <c r="H84" s="859"/>
      <c r="I84" s="859"/>
      <c r="J84" s="173"/>
      <c r="K84" s="551"/>
    </row>
    <row r="85" spans="1:11" ht="78" customHeight="1" x14ac:dyDescent="0.3">
      <c r="A85" s="98">
        <v>171</v>
      </c>
      <c r="B85" s="4" t="s">
        <v>271</v>
      </c>
      <c r="C85" s="4" t="s">
        <v>270</v>
      </c>
      <c r="D85" s="19" t="s">
        <v>645</v>
      </c>
      <c r="E85" s="343" t="e">
        <f>INDEX('PY1 Data(H)'!$A$1:$CZ$260,MATCH('Unit Data from Audit Worksheet'!$A85,'PY1 Data(H)'!$A$1:$A$260,0),MATCH('Unit Data from Audit Worksheet'!$D$2,'PY1 Data(H)'!$A$1:$CZ$1,0))</f>
        <v>#N/A</v>
      </c>
      <c r="F85" s="890">
        <v>0</v>
      </c>
      <c r="G85" s="375">
        <f>IF(F85&lt;0,"Error: Enter as positive.",)</f>
        <v>0</v>
      </c>
      <c r="H85" s="859"/>
      <c r="I85" s="859"/>
      <c r="J85" s="173"/>
      <c r="K85" s="551"/>
    </row>
    <row r="86" spans="1:11" x14ac:dyDescent="0.3">
      <c r="A86" s="98"/>
      <c r="B86" s="457" t="s">
        <v>646</v>
      </c>
      <c r="C86" s="457"/>
      <c r="D86" s="432"/>
      <c r="E86" s="432"/>
      <c r="F86" s="452"/>
      <c r="G86" s="453"/>
      <c r="H86" s="859"/>
      <c r="I86" s="859"/>
      <c r="J86" s="173"/>
      <c r="K86" s="551"/>
    </row>
    <row r="87" spans="1:11" ht="21" customHeight="1" x14ac:dyDescent="0.3">
      <c r="A87" s="98"/>
      <c r="B87" s="457" t="s">
        <v>24</v>
      </c>
      <c r="C87" s="457"/>
      <c r="D87" s="448"/>
      <c r="E87" s="430"/>
      <c r="F87" s="454"/>
      <c r="G87" s="455"/>
      <c r="H87" s="859"/>
      <c r="I87" s="859"/>
      <c r="J87" s="173"/>
      <c r="K87" s="551"/>
    </row>
    <row r="88" spans="1:11" x14ac:dyDescent="0.3">
      <c r="A88" s="98"/>
      <c r="B88" s="457" t="s">
        <v>22</v>
      </c>
      <c r="C88" s="457"/>
      <c r="D88" s="448"/>
      <c r="E88" s="430"/>
      <c r="F88" s="454"/>
      <c r="G88" s="455"/>
      <c r="H88" s="866"/>
      <c r="I88" s="859"/>
      <c r="J88" s="173"/>
      <c r="K88" s="551"/>
    </row>
    <row r="89" spans="1:11" ht="102" customHeight="1" x14ac:dyDescent="0.3">
      <c r="A89" s="98">
        <v>596</v>
      </c>
      <c r="B89" s="345" t="s">
        <v>56</v>
      </c>
      <c r="C89" s="250"/>
      <c r="D89" s="342" t="s">
        <v>1354</v>
      </c>
      <c r="E89" s="343" t="e">
        <f>INDEX('PY1 Data(H)'!$A$1:$CZ$260,MATCH('Unit Data from Audit Worksheet'!$A89,'PY1 Data(H)'!$A$1:$A$260,0),MATCH('Unit Data from Audit Worksheet'!$D$2,'PY1 Data(H)'!$A$1:$CZ$1,0))</f>
        <v>#N/A</v>
      </c>
      <c r="F89" s="181"/>
      <c r="G89" s="671"/>
      <c r="H89" s="866"/>
      <c r="I89" s="859"/>
      <c r="J89" s="173"/>
      <c r="K89" s="551"/>
    </row>
    <row r="90" spans="1:11" ht="114.75" customHeight="1" x14ac:dyDescent="0.3">
      <c r="A90" s="98">
        <v>80</v>
      </c>
      <c r="B90" s="840" t="s">
        <v>1702</v>
      </c>
      <c r="C90" s="4" t="s">
        <v>647</v>
      </c>
      <c r="D90" s="19" t="s">
        <v>648</v>
      </c>
      <c r="E90" s="343" t="e">
        <f>INDEX('PY1 Data(H)'!$A$1:$CZ$260,MATCH('Unit Data from Audit Worksheet'!$A90,'PY1 Data(H)'!$A$1:$A$260,0),MATCH('Unit Data from Audit Worksheet'!$D$2,'PY1 Data(H)'!$A$1:$CZ$1,0))</f>
        <v>#N/A</v>
      </c>
      <c r="F90" s="891">
        <v>0</v>
      </c>
      <c r="G90" s="343" t="e">
        <f>INDEX('PY1 Data(H)'!$A$1:$DA$285,MATCH('PY1 Data(H)'!$A246,'PY1 Data(H)'!$A$1:$A$262,0),MATCH('Unit Data from Audit Worksheet'!$D$2,'PY1 Data(H)'!$A$1:$DA$1,0))</f>
        <v>#N/A</v>
      </c>
      <c r="H90" s="867"/>
      <c r="I90" s="859"/>
      <c r="J90" s="743"/>
      <c r="K90" s="551"/>
    </row>
    <row r="91" spans="1:11" ht="63.75" customHeight="1" x14ac:dyDescent="0.3">
      <c r="A91" s="98">
        <v>81</v>
      </c>
      <c r="B91" s="4" t="s">
        <v>61</v>
      </c>
      <c r="C91" s="4" t="s">
        <v>647</v>
      </c>
      <c r="D91" s="19" t="s">
        <v>649</v>
      </c>
      <c r="E91" s="343" t="e">
        <f>INDEX('PY1 Data(H)'!$A$1:$CZ$260,MATCH('Unit Data from Audit Worksheet'!$A91,'PY1 Data(H)'!$A$1:$A$260,0),MATCH('Unit Data from Audit Worksheet'!$D$2,'PY1 Data(H)'!$A$1:$CZ$1,0))</f>
        <v>#N/A</v>
      </c>
      <c r="F91" s="181">
        <v>0</v>
      </c>
      <c r="G91" s="379"/>
      <c r="H91" s="859"/>
      <c r="I91" s="859"/>
      <c r="J91" s="743"/>
      <c r="K91" s="551"/>
    </row>
    <row r="92" spans="1:11" ht="84" customHeight="1" x14ac:dyDescent="0.3">
      <c r="A92" s="98">
        <v>579</v>
      </c>
      <c r="B92" s="681" t="s">
        <v>290</v>
      </c>
      <c r="C92" s="345" t="s">
        <v>647</v>
      </c>
      <c r="D92" s="422" t="s">
        <v>650</v>
      </c>
      <c r="E92" s="343" t="e">
        <f>INDEX('PY1 Data(H)'!$A$1:$CZ$260,MATCH('Unit Data from Audit Worksheet'!$A92,'PY1 Data(H)'!$A$1:$A$260,0),MATCH('Unit Data from Audit Worksheet'!$D$2,'PY1 Data(H)'!$A$1:$CZ$1,0))</f>
        <v>#N/A</v>
      </c>
      <c r="F92" s="181">
        <v>0</v>
      </c>
      <c r="G92" s="375"/>
      <c r="H92" s="859"/>
      <c r="I92" s="858"/>
      <c r="J92" s="173"/>
      <c r="K92" s="551"/>
    </row>
    <row r="93" spans="1:11" ht="60.6" customHeight="1" x14ac:dyDescent="0.3">
      <c r="A93" s="98">
        <v>510</v>
      </c>
      <c r="B93" s="840" t="s">
        <v>1702</v>
      </c>
      <c r="C93" s="4" t="s">
        <v>647</v>
      </c>
      <c r="D93" s="24" t="s">
        <v>265</v>
      </c>
      <c r="E93" s="343" t="e">
        <f>INDEX('PY1 Data(H)'!$A$1:$CZ$260,MATCH('Unit Data from Audit Worksheet'!$A93,'PY1 Data(H)'!$A$1:$A$260,0),MATCH('Unit Data from Audit Worksheet'!$D$2,'PY1 Data(H)'!$A$1:$CZ$1,0))</f>
        <v>#N/A</v>
      </c>
      <c r="F93" s="181">
        <v>0</v>
      </c>
      <c r="G93" s="379"/>
      <c r="H93" s="859"/>
      <c r="I93" s="859"/>
      <c r="J93" s="743"/>
      <c r="K93" s="551"/>
    </row>
    <row r="94" spans="1:11" ht="68.25" customHeight="1" x14ac:dyDescent="0.3">
      <c r="A94" s="187">
        <v>654</v>
      </c>
      <c r="B94" s="840" t="s">
        <v>1702</v>
      </c>
      <c r="C94" s="423" t="s">
        <v>647</v>
      </c>
      <c r="D94" s="211" t="s">
        <v>651</v>
      </c>
      <c r="E94" s="343" t="e">
        <f>INDEX('PY1 Data(H)'!$A$1:$CZ$260,MATCH('Unit Data from Audit Worksheet'!$A94,'PY1 Data(H)'!$A$1:$A$260,0),MATCH('Unit Data from Audit Worksheet'!$D$2,'PY1 Data(H)'!$A$1:$CZ$1,0))</f>
        <v>#N/A</v>
      </c>
      <c r="F94" s="181">
        <v>0</v>
      </c>
      <c r="G94" s="375">
        <f>IF((F90+F91+F93)&gt;F94,"Error: Please review components of current assets above.  Account numbers (80+81+510)&gt;654",)</f>
        <v>0</v>
      </c>
      <c r="H94" s="859"/>
      <c r="I94" s="859"/>
      <c r="J94" s="743"/>
      <c r="K94" s="551"/>
    </row>
    <row r="95" spans="1:11" ht="75.75" customHeight="1" x14ac:dyDescent="0.3">
      <c r="A95" s="187">
        <v>655</v>
      </c>
      <c r="B95" s="839" t="s">
        <v>1700</v>
      </c>
      <c r="C95" s="423" t="s">
        <v>647</v>
      </c>
      <c r="D95" s="189" t="s">
        <v>413</v>
      </c>
      <c r="E95" s="343" t="e">
        <f>INDEX('PY1 Data(H)'!$A$1:$CZ$260,MATCH('Unit Data from Audit Worksheet'!$A95,'PY1 Data(H)'!$A$1:$A$260,0),MATCH('Unit Data from Audit Worksheet'!$D$2,'PY1 Data(H)'!$A$1:$CZ$1,0))</f>
        <v>#N/A</v>
      </c>
      <c r="F95" s="181">
        <v>0</v>
      </c>
      <c r="G95" s="375"/>
      <c r="H95" s="859"/>
      <c r="I95" s="859"/>
      <c r="J95" s="743"/>
      <c r="K95" s="551"/>
    </row>
    <row r="96" spans="1:11" ht="60.6" customHeight="1" x14ac:dyDescent="0.3">
      <c r="A96" s="98">
        <v>381</v>
      </c>
      <c r="B96" s="4" t="s">
        <v>36</v>
      </c>
      <c r="C96" s="4" t="s">
        <v>647</v>
      </c>
      <c r="D96" s="96" t="s">
        <v>100</v>
      </c>
      <c r="E96" s="343" t="e">
        <f>INDEX('PY1 Data(H)'!$A$1:$CZ$260,MATCH('Unit Data from Audit Worksheet'!$A96,'PY1 Data(H)'!$A$1:$A$260,0),MATCH('Unit Data from Audit Worksheet'!$D$2,'PY1 Data(H)'!$A$1:$CZ$1,0))</f>
        <v>#N/A</v>
      </c>
      <c r="F96" s="181">
        <v>0</v>
      </c>
      <c r="G96" s="375">
        <f>IF(F94&gt;F96,"Error: Please review components of current assets above. Account numbers 654&gt;381",)</f>
        <v>0</v>
      </c>
      <c r="H96" s="859"/>
      <c r="I96" s="859"/>
      <c r="J96" s="743"/>
      <c r="K96" s="551"/>
    </row>
    <row r="97" spans="1:11" ht="63" customHeight="1" x14ac:dyDescent="0.3">
      <c r="A97" s="98">
        <v>578</v>
      </c>
      <c r="B97" s="840" t="s">
        <v>1701</v>
      </c>
      <c r="C97" s="345" t="s">
        <v>647</v>
      </c>
      <c r="D97" s="422" t="s">
        <v>652</v>
      </c>
      <c r="E97" s="343" t="e">
        <f>INDEX('PY1 Data(H)'!$A$1:$CZ$260,MATCH('Unit Data from Audit Worksheet'!$A97,'PY1 Data(H)'!$A$1:$A$260,0),MATCH('Unit Data from Audit Worksheet'!$D$2,'PY1 Data(H)'!$A$1:$CZ$1,0))</f>
        <v>#N/A</v>
      </c>
      <c r="F97" s="181">
        <v>0</v>
      </c>
      <c r="G97" s="375"/>
      <c r="H97" s="858"/>
      <c r="I97" s="858"/>
      <c r="J97" s="173"/>
      <c r="K97" s="551"/>
    </row>
    <row r="98" spans="1:11" ht="126" customHeight="1" x14ac:dyDescent="0.3">
      <c r="A98" s="188">
        <v>633</v>
      </c>
      <c r="B98" s="839" t="s">
        <v>1703</v>
      </c>
      <c r="C98" s="423" t="s">
        <v>339</v>
      </c>
      <c r="D98" s="211" t="s">
        <v>718</v>
      </c>
      <c r="E98" s="343" t="e">
        <f>INDEX('PY1 Data(H)'!$A$1:$CZ$260,MATCH('Unit Data from Audit Worksheet'!$A98,'PY1 Data(H)'!$A$1:$A$260,0),MATCH('Unit Data from Audit Worksheet'!$D$2,'PY1 Data(H)'!$A$1:$CZ$1,0))</f>
        <v>#N/A</v>
      </c>
      <c r="F98" s="181">
        <v>0</v>
      </c>
      <c r="G98" s="380" t="str">
        <f>IF(F98&gt;=(F99+F100+F101+F102+F103+F104),"","Account 633 is less than the total sum of accounts 634 through 638 + 383")</f>
        <v/>
      </c>
      <c r="H98" s="868">
        <f>F98-(F99+F100+F101+F102+F103+F104)</f>
        <v>0</v>
      </c>
      <c r="I98" s="862"/>
      <c r="J98" s="743"/>
      <c r="K98" s="551"/>
    </row>
    <row r="99" spans="1:11" ht="109.5" customHeight="1" x14ac:dyDescent="0.3">
      <c r="A99" s="187">
        <v>634</v>
      </c>
      <c r="B99" s="841" t="s">
        <v>1704</v>
      </c>
      <c r="C99" s="423" t="s">
        <v>339</v>
      </c>
      <c r="D99" s="211" t="s">
        <v>720</v>
      </c>
      <c r="E99" s="343" t="e">
        <f>INDEX('PY1 Data(H)'!$A$1:$CZ$260,MATCH('Unit Data from Audit Worksheet'!$A99,'PY1 Data(H)'!$A$1:$A$260,0),MATCH('Unit Data from Audit Worksheet'!$D$2,'PY1 Data(H)'!$A$1:$CZ$1,0))</f>
        <v>#N/A</v>
      </c>
      <c r="F99" s="181">
        <v>0</v>
      </c>
      <c r="G99" s="381">
        <f>IF(F99&gt;F98,"Please review account numbers 634&gt;633",)</f>
        <v>0</v>
      </c>
      <c r="H99" s="862"/>
      <c r="I99" s="862"/>
      <c r="J99" s="173"/>
      <c r="K99" s="551"/>
    </row>
    <row r="100" spans="1:11" ht="130.5" customHeight="1" x14ac:dyDescent="0.3">
      <c r="A100" s="187">
        <v>635</v>
      </c>
      <c r="B100" s="841" t="s">
        <v>1704</v>
      </c>
      <c r="C100" s="423" t="s">
        <v>339</v>
      </c>
      <c r="D100" s="211" t="s">
        <v>719</v>
      </c>
      <c r="E100" s="343" t="e">
        <f>INDEX('PY1 Data(H)'!$A$1:$CZ$260,MATCH('Unit Data from Audit Worksheet'!$A100,'PY1 Data(H)'!$A$1:$A$260,0),MATCH('Unit Data from Audit Worksheet'!$D$2,'PY1 Data(H)'!$A$1:$CZ$1,0))</f>
        <v>#N/A</v>
      </c>
      <c r="F100" s="181">
        <v>0</v>
      </c>
      <c r="G100" s="381">
        <f>IF(F100&gt;F98,"Please review account numbers 635&gt;633",)</f>
        <v>0</v>
      </c>
      <c r="H100" s="862"/>
      <c r="I100" s="862"/>
      <c r="J100" s="173"/>
      <c r="K100" s="551"/>
    </row>
    <row r="101" spans="1:11" ht="106.5" customHeight="1" x14ac:dyDescent="0.3">
      <c r="A101" s="187">
        <v>636</v>
      </c>
      <c r="B101" s="841" t="s">
        <v>1704</v>
      </c>
      <c r="C101" s="423" t="s">
        <v>339</v>
      </c>
      <c r="D101" s="211" t="s">
        <v>724</v>
      </c>
      <c r="E101" s="343" t="e">
        <f>INDEX('PY1 Data(H)'!$A$1:$CZ$260,MATCH('Unit Data from Audit Worksheet'!$A101,'PY1 Data(H)'!$A$1:$A$260,0),MATCH('Unit Data from Audit Worksheet'!$D$2,'PY1 Data(H)'!$A$1:$CZ$1,0))</f>
        <v>#N/A</v>
      </c>
      <c r="F101" s="181">
        <v>0</v>
      </c>
      <c r="G101" s="381">
        <f>IF(F101&gt;F98,"Please review account numbers 636&gt;633",)</f>
        <v>0</v>
      </c>
      <c r="H101" s="862"/>
      <c r="I101" s="862"/>
      <c r="J101" s="173"/>
      <c r="K101" s="551"/>
    </row>
    <row r="102" spans="1:11" ht="80.25" customHeight="1" x14ac:dyDescent="0.3">
      <c r="A102" s="187">
        <v>637</v>
      </c>
      <c r="B102" s="841" t="s">
        <v>1704</v>
      </c>
      <c r="C102" s="423" t="s">
        <v>339</v>
      </c>
      <c r="D102" s="211" t="s">
        <v>723</v>
      </c>
      <c r="E102" s="343" t="e">
        <f>INDEX('PY1 Data(H)'!$A$1:$CZ$260,MATCH('Unit Data from Audit Worksheet'!$A102,'PY1 Data(H)'!$A$1:$A$260,0),MATCH('Unit Data from Audit Worksheet'!$D$2,'PY1 Data(H)'!$A$1:$CZ$1,0))</f>
        <v>#N/A</v>
      </c>
      <c r="F102" s="181">
        <v>0</v>
      </c>
      <c r="G102" s="381">
        <f>IF(F102&gt;F98,"Please review account numbers 637&gt;633",)</f>
        <v>0</v>
      </c>
      <c r="H102" s="862"/>
      <c r="I102" s="862"/>
      <c r="J102" s="173"/>
      <c r="K102" s="551"/>
    </row>
    <row r="103" spans="1:11" ht="110.25" customHeight="1" x14ac:dyDescent="0.3">
      <c r="A103" s="187">
        <v>638</v>
      </c>
      <c r="B103" s="841" t="s">
        <v>1704</v>
      </c>
      <c r="C103" s="423" t="s">
        <v>339</v>
      </c>
      <c r="D103" s="211" t="s">
        <v>722</v>
      </c>
      <c r="E103" s="343" t="e">
        <f>INDEX('PY1 Data(H)'!$A$1:$CZ$260,MATCH('Unit Data from Audit Worksheet'!$A103,'PY1 Data(H)'!$A$1:$A$260,0),MATCH('Unit Data from Audit Worksheet'!$D$2,'PY1 Data(H)'!$A$1:$CZ$1,0))</f>
        <v>#N/A</v>
      </c>
      <c r="F103" s="181">
        <v>0</v>
      </c>
      <c r="G103" s="381">
        <f>IF(F103&gt;F98,"Please review account numbers 638&gt;633",)</f>
        <v>0</v>
      </c>
      <c r="H103" s="862"/>
      <c r="I103" s="862"/>
      <c r="J103" s="173"/>
      <c r="K103" s="551"/>
    </row>
    <row r="104" spans="1:11" ht="93.75" customHeight="1" x14ac:dyDescent="0.3">
      <c r="A104" s="98">
        <v>383</v>
      </c>
      <c r="B104" s="4" t="s">
        <v>61</v>
      </c>
      <c r="C104" s="4" t="s">
        <v>647</v>
      </c>
      <c r="D104" s="24" t="s">
        <v>721</v>
      </c>
      <c r="E104" s="343" t="e">
        <f>INDEX('PY1 Data(H)'!$A$1:$CZ$260,MATCH('Unit Data from Audit Worksheet'!$A104,'PY1 Data(H)'!$A$1:$A$260,0),MATCH('Unit Data from Audit Worksheet'!$D$2,'PY1 Data(H)'!$A$1:$CZ$1,0))</f>
        <v>#N/A</v>
      </c>
      <c r="F104" s="181">
        <v>0</v>
      </c>
      <c r="G104" s="382">
        <f>IF(F104&gt;F98,"Error: Please review components of current liabilities above. Account number 383&gt;633",)</f>
        <v>0</v>
      </c>
      <c r="H104" s="869"/>
      <c r="I104" s="859"/>
      <c r="J104" s="173"/>
      <c r="K104" s="551"/>
    </row>
    <row r="105" spans="1:11" ht="61.5" customHeight="1" x14ac:dyDescent="0.3">
      <c r="A105" s="98">
        <v>349</v>
      </c>
      <c r="B105" s="4" t="s">
        <v>61</v>
      </c>
      <c r="C105" s="4" t="s">
        <v>647</v>
      </c>
      <c r="D105" s="97" t="s">
        <v>122</v>
      </c>
      <c r="E105" s="343" t="e">
        <f>INDEX('PY1 Data(H)'!$A$1:$CZ$260,MATCH('Unit Data from Audit Worksheet'!$A105,'PY1 Data(H)'!$A$1:$A$260,0),MATCH('Unit Data from Audit Worksheet'!$D$2,'PY1 Data(H)'!$A$1:$CZ$1,0))</f>
        <v>#N/A</v>
      </c>
      <c r="F105" s="181">
        <v>0</v>
      </c>
      <c r="G105" s="375" t="str">
        <f>IF(F98&gt;F105,"Error: Please review accts 633&gt;349","")</f>
        <v/>
      </c>
      <c r="H105" s="859"/>
      <c r="I105" s="859"/>
      <c r="J105" s="743"/>
      <c r="K105" s="551"/>
    </row>
    <row r="106" spans="1:11" ht="105" customHeight="1" x14ac:dyDescent="0.3">
      <c r="A106" s="98">
        <v>375</v>
      </c>
      <c r="B106" s="4" t="s">
        <v>61</v>
      </c>
      <c r="C106" s="4" t="s">
        <v>647</v>
      </c>
      <c r="D106" s="355" t="s">
        <v>653</v>
      </c>
      <c r="E106" s="343" t="e">
        <f>INDEX('PY1 Data(H)'!$A$1:$CZ$260,MATCH('Unit Data from Audit Worksheet'!$A106,'PY1 Data(H)'!$A$1:$A$260,0),MATCH('Unit Data from Audit Worksheet'!$D$2,'PY1 Data(H)'!$A$1:$CZ$1,0))</f>
        <v>#N/A</v>
      </c>
      <c r="F106" s="181">
        <v>0</v>
      </c>
      <c r="G106" s="379"/>
      <c r="H106" s="859"/>
      <c r="I106" s="859"/>
      <c r="J106" s="743"/>
      <c r="K106" s="551"/>
    </row>
    <row r="107" spans="1:11" ht="138" customHeight="1" x14ac:dyDescent="0.3">
      <c r="A107" s="98">
        <v>83</v>
      </c>
      <c r="B107" s="4" t="s">
        <v>60</v>
      </c>
      <c r="C107" s="4" t="s">
        <v>647</v>
      </c>
      <c r="D107" s="97" t="s">
        <v>123</v>
      </c>
      <c r="E107" s="343" t="e">
        <f>INDEX('PY1 Data(H)'!$A$1:$CZ$260,MATCH('Unit Data from Audit Worksheet'!$A107,'PY1 Data(H)'!$A$1:$A$260,0),MATCH('Unit Data from Audit Worksheet'!$D$2,'PY1 Data(H)'!$A$1:$CZ$1,0))</f>
        <v>#N/A</v>
      </c>
      <c r="F107" s="181">
        <v>0</v>
      </c>
      <c r="G107" s="375">
        <f>IF(F96-F105-F107=0,,"Error: Total assets less total liabilities do not equal total net assets.  Account numbers 381-349-83=0  The amount of the formula is in the cell to the right")</f>
        <v>0</v>
      </c>
      <c r="H107" s="860">
        <f>F96-F105-F107</f>
        <v>0</v>
      </c>
      <c r="I107" s="859"/>
      <c r="J107" s="743"/>
      <c r="K107" s="551"/>
    </row>
    <row r="108" spans="1:11" ht="40.5" customHeight="1" x14ac:dyDescent="0.3">
      <c r="A108" s="98"/>
      <c r="B108" s="456" t="s">
        <v>124</v>
      </c>
      <c r="C108" s="457"/>
      <c r="D108" s="432"/>
      <c r="E108" s="432"/>
      <c r="F108" s="452"/>
      <c r="G108" s="453"/>
      <c r="H108" s="866"/>
      <c r="I108" s="859"/>
      <c r="J108" s="173"/>
      <c r="K108" s="551"/>
    </row>
    <row r="109" spans="1:11" ht="59.25" customHeight="1" x14ac:dyDescent="0.3">
      <c r="A109" s="98">
        <v>90</v>
      </c>
      <c r="B109" s="840" t="s">
        <v>1709</v>
      </c>
      <c r="C109" s="4" t="s">
        <v>654</v>
      </c>
      <c r="D109" s="19" t="s">
        <v>655</v>
      </c>
      <c r="E109" s="343" t="e">
        <f>INDEX('PY1 Data(H)'!$A$1:$CZ$260,MATCH('Unit Data from Audit Worksheet'!$A109,'PY1 Data(H)'!$A$1:$A$260,0),MATCH('Unit Data from Audit Worksheet'!$D$2,'PY1 Data(H)'!$A$1:$CZ$1,0))</f>
        <v>#N/A</v>
      </c>
      <c r="F109" s="182">
        <v>0</v>
      </c>
      <c r="G109" s="375">
        <f>IF(F109&lt;0,"Note: Number is normally positive.",)</f>
        <v>0</v>
      </c>
      <c r="H109" s="870"/>
      <c r="I109" s="859"/>
      <c r="J109" s="173"/>
      <c r="K109" s="551"/>
    </row>
    <row r="110" spans="1:11" ht="75" customHeight="1" x14ac:dyDescent="0.3">
      <c r="A110" s="98">
        <v>91</v>
      </c>
      <c r="B110" s="4" t="s">
        <v>57</v>
      </c>
      <c r="C110" s="4" t="s">
        <v>654</v>
      </c>
      <c r="D110" s="19" t="s">
        <v>656</v>
      </c>
      <c r="E110" s="343" t="e">
        <f>INDEX('PY1 Data(H)'!$A$1:$CZ$260,MATCH('Unit Data from Audit Worksheet'!$A110,'PY1 Data(H)'!$A$1:$A$260,0),MATCH('Unit Data from Audit Worksheet'!$D$2,'PY1 Data(H)'!$A$1:$CZ$1,0))</f>
        <v>#N/A</v>
      </c>
      <c r="F110" s="182">
        <v>0</v>
      </c>
      <c r="G110" s="375">
        <f>IF(F110&lt;0,"Note: Number is normally positive.",)</f>
        <v>0</v>
      </c>
      <c r="H110" s="859"/>
      <c r="I110" s="859"/>
      <c r="J110" s="173"/>
      <c r="K110" s="551"/>
    </row>
    <row r="111" spans="1:11" ht="66.75" customHeight="1" x14ac:dyDescent="0.3">
      <c r="A111" s="98">
        <v>581</v>
      </c>
      <c r="B111" s="840" t="s">
        <v>1705</v>
      </c>
      <c r="C111" s="345" t="s">
        <v>654</v>
      </c>
      <c r="D111" s="422" t="s">
        <v>657</v>
      </c>
      <c r="E111" s="343" t="e">
        <f>INDEX('PY1 Data(H)'!$A$1:$CZ$260,MATCH('Unit Data from Audit Worksheet'!$A111,'PY1 Data(H)'!$A$1:$A$260,0),MATCH('Unit Data from Audit Worksheet'!$D$2,'PY1 Data(H)'!$A$1:$CZ$1,0))</f>
        <v>#N/A</v>
      </c>
      <c r="F111" s="182">
        <v>0</v>
      </c>
      <c r="G111" s="375"/>
      <c r="H111" s="859"/>
      <c r="I111" s="859"/>
      <c r="J111" s="173"/>
      <c r="K111" s="551"/>
    </row>
    <row r="112" spans="1:11" ht="67.5" customHeight="1" x14ac:dyDescent="0.3">
      <c r="A112" s="98">
        <v>511</v>
      </c>
      <c r="B112" s="840" t="s">
        <v>1705</v>
      </c>
      <c r="C112" s="4" t="s">
        <v>654</v>
      </c>
      <c r="D112" s="20" t="s">
        <v>125</v>
      </c>
      <c r="E112" s="343" t="e">
        <f>INDEX('PY1 Data(H)'!$A$1:$CZ$260,MATCH('Unit Data from Audit Worksheet'!$A112,'PY1 Data(H)'!$A$1:$A$260,0),MATCH('Unit Data from Audit Worksheet'!$D$2,'PY1 Data(H)'!$A$1:$CZ$1,0))</f>
        <v>#N/A</v>
      </c>
      <c r="F112" s="182">
        <v>0</v>
      </c>
      <c r="G112" s="375">
        <f>IF(F112&lt;0,"Note: Number is normally positive.",)</f>
        <v>0</v>
      </c>
      <c r="H112" s="859"/>
      <c r="I112" s="859"/>
      <c r="J112" s="173"/>
      <c r="K112" s="551"/>
    </row>
    <row r="113" spans="1:122" ht="65.400000000000006" customHeight="1" x14ac:dyDescent="0.3">
      <c r="A113" s="187">
        <v>657</v>
      </c>
      <c r="B113" s="840" t="s">
        <v>1705</v>
      </c>
      <c r="C113" s="423" t="s">
        <v>654</v>
      </c>
      <c r="D113" s="211" t="s">
        <v>658</v>
      </c>
      <c r="E113" s="343" t="e">
        <f>INDEX('PY1 Data(H)'!$A$1:$CZ$260,MATCH('Unit Data from Audit Worksheet'!$A113,'PY1 Data(H)'!$A$1:$A$260,0),MATCH('Unit Data from Audit Worksheet'!$D$2,'PY1 Data(H)'!$A$1:$CZ$1,0))</f>
        <v>#N/A</v>
      </c>
      <c r="F113" s="182">
        <v>0</v>
      </c>
      <c r="G113" s="383">
        <f>IF((F109+F110+F112)&gt;F113,"Error: Please review components of current assets above.  Account numbers (90+91+511)&gt;657",)</f>
        <v>0</v>
      </c>
      <c r="H113" s="859"/>
      <c r="I113" s="859"/>
      <c r="J113" s="173"/>
      <c r="K113" s="551"/>
    </row>
    <row r="114" spans="1:122" ht="64.8" customHeight="1" x14ac:dyDescent="0.3">
      <c r="A114" s="187">
        <v>658</v>
      </c>
      <c r="B114" s="840" t="s">
        <v>1705</v>
      </c>
      <c r="C114" s="423" t="s">
        <v>654</v>
      </c>
      <c r="D114" s="189" t="s">
        <v>414</v>
      </c>
      <c r="E114" s="343" t="e">
        <f>INDEX('PY1 Data(H)'!$A$1:$CZ$260,MATCH('Unit Data from Audit Worksheet'!$A114,'PY1 Data(H)'!$A$1:$A$260,0),MATCH('Unit Data from Audit Worksheet'!$D$2,'PY1 Data(H)'!$A$1:$CZ$1,0))</f>
        <v>#N/A</v>
      </c>
      <c r="F114" s="182">
        <v>0</v>
      </c>
      <c r="G114" s="375"/>
      <c r="H114" s="859"/>
      <c r="I114" s="859"/>
      <c r="J114" s="173"/>
      <c r="K114" s="551"/>
    </row>
    <row r="115" spans="1:122" ht="69.599999999999994" customHeight="1" x14ac:dyDescent="0.3">
      <c r="A115" s="98">
        <v>382</v>
      </c>
      <c r="B115" s="4" t="s">
        <v>59</v>
      </c>
      <c r="C115" s="4" t="s">
        <v>654</v>
      </c>
      <c r="D115" s="96" t="s">
        <v>100</v>
      </c>
      <c r="E115" s="343" t="e">
        <f>INDEX('PY1 Data(H)'!$A$1:$CZ$260,MATCH('Unit Data from Audit Worksheet'!$A115,'PY1 Data(H)'!$A$1:$A$260,0),MATCH('Unit Data from Audit Worksheet'!$D$2,'PY1 Data(H)'!$A$1:$CZ$1,0))</f>
        <v>#N/A</v>
      </c>
      <c r="F115" s="182">
        <v>0</v>
      </c>
      <c r="G115" s="383">
        <f>IF(F113&gt;F115,"Error: Please review components of current assets above. Account numbers 657&gt;382",)</f>
        <v>0</v>
      </c>
      <c r="H115" s="859"/>
      <c r="I115" s="859"/>
      <c r="J115" s="173"/>
      <c r="K115" s="551"/>
    </row>
    <row r="116" spans="1:122" ht="57.75" customHeight="1" x14ac:dyDescent="0.3">
      <c r="A116" s="98">
        <v>360</v>
      </c>
      <c r="B116" s="4" t="s">
        <v>55</v>
      </c>
      <c r="C116" s="4" t="s">
        <v>654</v>
      </c>
      <c r="D116" s="97" t="s">
        <v>126</v>
      </c>
      <c r="E116" s="343" t="e">
        <f>INDEX('PY1 Data(H)'!$A$1:$CZ$260,MATCH('Unit Data from Audit Worksheet'!$A116,'PY1 Data(H)'!$A$1:$A$260,0),MATCH('Unit Data from Audit Worksheet'!$D$2,'PY1 Data(H)'!$A$1:$CZ$1,0))</f>
        <v>#N/A</v>
      </c>
      <c r="F116" s="182">
        <v>0</v>
      </c>
      <c r="G116" s="375"/>
      <c r="H116" s="859"/>
      <c r="I116" s="859"/>
      <c r="J116" s="173"/>
      <c r="K116" s="551"/>
    </row>
    <row r="117" spans="1:122" ht="72.599999999999994" customHeight="1" x14ac:dyDescent="0.3">
      <c r="A117" s="98">
        <v>580</v>
      </c>
      <c r="B117" s="842" t="s">
        <v>1705</v>
      </c>
      <c r="C117" s="345" t="s">
        <v>654</v>
      </c>
      <c r="D117" s="422" t="s">
        <v>659</v>
      </c>
      <c r="E117" s="343" t="e">
        <f>INDEX('PY1 Data(H)'!$A$1:$CZ$260,MATCH('Unit Data from Audit Worksheet'!$A117,'PY1 Data(H)'!$A$1:$A$260,0),MATCH('Unit Data from Audit Worksheet'!$D$2,'PY1 Data(H)'!$A$1:$CZ$1,0))</f>
        <v>#N/A</v>
      </c>
      <c r="F117" s="182">
        <v>0</v>
      </c>
      <c r="G117" s="375"/>
      <c r="H117" s="859"/>
      <c r="I117" s="859"/>
      <c r="J117" s="173"/>
      <c r="K117" s="551"/>
    </row>
    <row r="118" spans="1:122" ht="114" customHeight="1" x14ac:dyDescent="0.3">
      <c r="A118" s="188">
        <v>639</v>
      </c>
      <c r="B118" s="843" t="s">
        <v>1703</v>
      </c>
      <c r="C118" s="423" t="s">
        <v>654</v>
      </c>
      <c r="D118" s="211" t="s">
        <v>725</v>
      </c>
      <c r="E118" s="343" t="e">
        <f>INDEX('PY1 Data(H)'!$A$1:$CZ$260,MATCH('Unit Data from Audit Worksheet'!$A118,'PY1 Data(H)'!$A$1:$A$260,0),MATCH('Unit Data from Audit Worksheet'!$D$2,'PY1 Data(H)'!$A$1:$CZ$1,0))</f>
        <v>#N/A</v>
      </c>
      <c r="F118" s="182">
        <v>0</v>
      </c>
      <c r="G118" s="380" t="str">
        <f>IF(F118&gt;=(F119+F120+F121+F122+F123+F124),"","Account 639 is less than the total sum of accounts 640 through 644 + 384")</f>
        <v/>
      </c>
      <c r="H118" s="902">
        <f>F118-(F119+F120+F121+F122+F123+F124)</f>
        <v>0</v>
      </c>
      <c r="I118" s="862"/>
      <c r="J118" s="173"/>
      <c r="K118" s="551"/>
    </row>
    <row r="119" spans="1:122" ht="124.5" customHeight="1" x14ac:dyDescent="0.3">
      <c r="A119" s="187">
        <v>640</v>
      </c>
      <c r="B119" s="844" t="s">
        <v>1704</v>
      </c>
      <c r="C119" s="423" t="s">
        <v>654</v>
      </c>
      <c r="D119" s="211" t="s">
        <v>726</v>
      </c>
      <c r="E119" s="343" t="e">
        <f>INDEX('PY1 Data(H)'!$A$1:$CZ$260,MATCH('Unit Data from Audit Worksheet'!$A119,'PY1 Data(H)'!$A$1:$A$260,0),MATCH('Unit Data from Audit Worksheet'!$D$2,'PY1 Data(H)'!$A$1:$CZ$1,0))</f>
        <v>#N/A</v>
      </c>
      <c r="F119" s="182">
        <v>0</v>
      </c>
      <c r="G119" s="383">
        <f>IF(F119&gt;F118,"Error: Please review components of current liabilities above. Account numbers 640&gt;639",)</f>
        <v>0</v>
      </c>
      <c r="H119" s="862"/>
      <c r="I119" s="868"/>
      <c r="J119" s="173"/>
      <c r="K119" s="551"/>
    </row>
    <row r="120" spans="1:122" ht="121.8" customHeight="1" x14ac:dyDescent="0.3">
      <c r="A120" s="187">
        <v>641</v>
      </c>
      <c r="B120" s="844" t="s">
        <v>1704</v>
      </c>
      <c r="C120" s="423" t="s">
        <v>654</v>
      </c>
      <c r="D120" s="211" t="s">
        <v>727</v>
      </c>
      <c r="E120" s="343" t="e">
        <f>INDEX('PY1 Data(H)'!$A$1:$CZ$260,MATCH('Unit Data from Audit Worksheet'!$A120,'PY1 Data(H)'!$A$1:$A$260,0),MATCH('Unit Data from Audit Worksheet'!$D$2,'PY1 Data(H)'!$A$1:$CZ$1,0))</f>
        <v>#N/A</v>
      </c>
      <c r="F120" s="182">
        <v>0</v>
      </c>
      <c r="G120" s="383">
        <f>IF(F120&gt;F118,"Error: Please review components of current liabilities above. Account numbers 641&gt;639",)</f>
        <v>0</v>
      </c>
      <c r="H120" s="862"/>
      <c r="I120" s="862"/>
      <c r="J120" s="173"/>
      <c r="K120" s="551"/>
    </row>
    <row r="121" spans="1:122" ht="118.5" customHeight="1" x14ac:dyDescent="0.3">
      <c r="A121" s="187">
        <v>642</v>
      </c>
      <c r="B121" s="844" t="s">
        <v>1704</v>
      </c>
      <c r="C121" s="423" t="s">
        <v>654</v>
      </c>
      <c r="D121" s="211" t="s">
        <v>728</v>
      </c>
      <c r="E121" s="343" t="e">
        <f>INDEX('PY1 Data(H)'!$A$1:$CZ$260,MATCH('Unit Data from Audit Worksheet'!$A121,'PY1 Data(H)'!$A$1:$A$260,0),MATCH('Unit Data from Audit Worksheet'!$D$2,'PY1 Data(H)'!$A$1:$CZ$1,0))</f>
        <v>#N/A</v>
      </c>
      <c r="F121" s="182">
        <v>0</v>
      </c>
      <c r="G121" s="383">
        <f>IF(F121&gt;F118,"Error: Please review components of current liabilities above. Account numbers  642&gt;639",)</f>
        <v>0</v>
      </c>
      <c r="H121" s="862"/>
      <c r="I121" s="862"/>
      <c r="J121" s="173"/>
      <c r="K121" s="551"/>
    </row>
    <row r="122" spans="1:122" ht="81.75" customHeight="1" x14ac:dyDescent="0.3">
      <c r="A122" s="187">
        <v>643</v>
      </c>
      <c r="B122" s="844" t="s">
        <v>1704</v>
      </c>
      <c r="C122" s="423" t="s">
        <v>654</v>
      </c>
      <c r="D122" s="211" t="s">
        <v>729</v>
      </c>
      <c r="E122" s="343" t="e">
        <f>INDEX('PY1 Data(H)'!$A$1:$CZ$260,MATCH('Unit Data from Audit Worksheet'!$A122,'PY1 Data(H)'!$A$1:$A$260,0),MATCH('Unit Data from Audit Worksheet'!$D$2,'PY1 Data(H)'!$A$1:$CZ$1,0))</f>
        <v>#N/A</v>
      </c>
      <c r="F122" s="182">
        <v>0</v>
      </c>
      <c r="G122" s="383">
        <f>IF(F122&gt;F118,"Error: Please review components of current liabilities above. Account numbers 643&gt;639",)</f>
        <v>0</v>
      </c>
      <c r="H122" s="862"/>
      <c r="I122" s="862"/>
      <c r="J122" s="173"/>
      <c r="K122" s="551"/>
    </row>
    <row r="123" spans="1:122" ht="108" customHeight="1" x14ac:dyDescent="0.3">
      <c r="A123" s="187">
        <v>644</v>
      </c>
      <c r="B123" s="844" t="s">
        <v>1704</v>
      </c>
      <c r="C123" s="423" t="s">
        <v>654</v>
      </c>
      <c r="D123" s="211" t="s">
        <v>730</v>
      </c>
      <c r="E123" s="343" t="e">
        <f>INDEX('PY1 Data(H)'!$A$1:$CZ$260,MATCH('Unit Data from Audit Worksheet'!$A123,'PY1 Data(H)'!$A$1:$A$260,0),MATCH('Unit Data from Audit Worksheet'!$D$2,'PY1 Data(H)'!$A$1:$CZ$1,0))</f>
        <v>#N/A</v>
      </c>
      <c r="F123" s="182">
        <v>0</v>
      </c>
      <c r="G123" s="383">
        <f>IF(F123&gt;F118,"Error: Please review components of current liabilities above. Account number 644&gt;639",)</f>
        <v>0</v>
      </c>
      <c r="H123" s="862"/>
      <c r="I123" s="862"/>
      <c r="J123" s="173"/>
      <c r="K123" s="551"/>
    </row>
    <row r="124" spans="1:122" ht="99.75" customHeight="1" x14ac:dyDescent="0.3">
      <c r="A124" s="98">
        <v>384</v>
      </c>
      <c r="B124" s="4" t="s">
        <v>62</v>
      </c>
      <c r="C124" s="4" t="s">
        <v>654</v>
      </c>
      <c r="D124" s="24" t="s">
        <v>731</v>
      </c>
      <c r="E124" s="343" t="e">
        <f>INDEX('PY1 Data(H)'!$A$1:$CZ$260,MATCH('Unit Data from Audit Worksheet'!$A124,'PY1 Data(H)'!$A$1:$A$260,0),MATCH('Unit Data from Audit Worksheet'!$D$2,'PY1 Data(H)'!$A$1:$CZ$1,0))</f>
        <v>#N/A</v>
      </c>
      <c r="F124" s="182">
        <v>0</v>
      </c>
      <c r="G124" s="382">
        <f>IF(F124&gt;F118,"Error: Please review components of current liabilities above. Account number 384&gt;639",)</f>
        <v>0</v>
      </c>
      <c r="H124" s="871"/>
      <c r="I124" s="859"/>
      <c r="J124" s="173"/>
      <c r="K124" s="551"/>
    </row>
    <row r="125" spans="1:122" ht="104.25" customHeight="1" x14ac:dyDescent="0.3">
      <c r="A125" s="98">
        <v>361</v>
      </c>
      <c r="B125" s="4" t="s">
        <v>55</v>
      </c>
      <c r="C125" s="4" t="s">
        <v>654</v>
      </c>
      <c r="D125" s="355" t="s">
        <v>660</v>
      </c>
      <c r="E125" s="343" t="e">
        <f>INDEX('PY1 Data(H)'!$A$1:$CZ$260,MATCH('Unit Data from Audit Worksheet'!$A125,'PY1 Data(H)'!$A$1:$A$260,0),MATCH('Unit Data from Audit Worksheet'!$D$2,'PY1 Data(H)'!$A$1:$CZ$1,0))</f>
        <v>#N/A</v>
      </c>
      <c r="F125" s="182">
        <v>0</v>
      </c>
      <c r="G125" s="379"/>
      <c r="H125" s="859"/>
      <c r="I125" s="859"/>
      <c r="J125" s="173"/>
      <c r="K125" s="551"/>
    </row>
    <row r="126" spans="1:122" ht="54" customHeight="1" x14ac:dyDescent="0.3">
      <c r="A126" s="98">
        <v>362</v>
      </c>
      <c r="B126" s="4" t="s">
        <v>55</v>
      </c>
      <c r="C126" s="4" t="s">
        <v>654</v>
      </c>
      <c r="D126" s="97" t="s">
        <v>127</v>
      </c>
      <c r="E126" s="343" t="e">
        <f>INDEX('PY1 Data(H)'!$A$1:$CZ$260,MATCH('Unit Data from Audit Worksheet'!$A126,'PY1 Data(H)'!$A$1:$A$260,0),MATCH('Unit Data from Audit Worksheet'!$D$2,'PY1 Data(H)'!$A$1:$CZ$1,0))</f>
        <v>#N/A</v>
      </c>
      <c r="F126" s="182">
        <v>0</v>
      </c>
      <c r="G126" s="375">
        <f>IF(H126=0,,"Error: Total assets less total liabilities do not equal total net position. Account numbers 382-360-362=0  The amount of the formula is in the cell to the right")</f>
        <v>0</v>
      </c>
      <c r="H126" s="860">
        <f>F115-F116-F126</f>
        <v>0</v>
      </c>
      <c r="I126" s="859"/>
      <c r="J126" s="173"/>
      <c r="K126" s="551"/>
    </row>
    <row r="127" spans="1:122" ht="26.25" customHeight="1" x14ac:dyDescent="0.3">
      <c r="A127" s="98"/>
      <c r="B127" s="445" t="s">
        <v>150</v>
      </c>
      <c r="C127" s="446"/>
      <c r="D127" s="458"/>
      <c r="E127" s="439"/>
      <c r="F127" s="444"/>
      <c r="G127" s="444"/>
      <c r="H127" s="859"/>
      <c r="I127" s="859"/>
      <c r="J127" s="173"/>
      <c r="K127" s="551"/>
    </row>
    <row r="128" spans="1:122" s="18" customFormat="1" ht="99.75" customHeight="1" x14ac:dyDescent="0.3">
      <c r="A128" s="98"/>
      <c r="B128" s="916" t="s">
        <v>737</v>
      </c>
      <c r="C128" s="916"/>
      <c r="D128" s="916"/>
      <c r="E128" s="432"/>
      <c r="F128" s="453"/>
      <c r="G128" s="453"/>
      <c r="H128" s="859"/>
      <c r="I128" s="859"/>
      <c r="J128" s="173"/>
      <c r="K128" s="551"/>
      <c r="L128"/>
      <c r="N128" s="183"/>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row>
    <row r="129" spans="1:122" ht="87" customHeight="1" x14ac:dyDescent="0.3">
      <c r="A129" s="98">
        <v>88</v>
      </c>
      <c r="B129" s="4" t="s">
        <v>60</v>
      </c>
      <c r="C129" s="4" t="s">
        <v>661</v>
      </c>
      <c r="D129" s="19" t="s">
        <v>662</v>
      </c>
      <c r="E129" s="343" t="e">
        <f>INDEX('PY1 Data(H)'!$A$1:$CZ$260,MATCH('Unit Data from Audit Worksheet'!$A129,'PY1 Data(H)'!$A$1:$A$260,0),MATCH('Unit Data from Audit Worksheet'!$D$2,'PY1 Data(H)'!$A$1:$CZ$1,0))</f>
        <v>#N/A</v>
      </c>
      <c r="F129" s="181">
        <v>0</v>
      </c>
      <c r="G129" s="379"/>
      <c r="H129" s="859"/>
      <c r="I129" s="859"/>
      <c r="J129" s="743"/>
      <c r="K129" s="551"/>
    </row>
    <row r="130" spans="1:122" ht="88.8" customHeight="1" x14ac:dyDescent="0.3">
      <c r="A130" s="98">
        <v>84</v>
      </c>
      <c r="B130" s="840" t="s">
        <v>1702</v>
      </c>
      <c r="C130" s="4" t="s">
        <v>661</v>
      </c>
      <c r="D130" s="24" t="s">
        <v>128</v>
      </c>
      <c r="E130" s="343" t="e">
        <f>INDEX('PY1 Data(H)'!$A$1:$CZ$260,MATCH('Unit Data from Audit Worksheet'!$A130,'PY1 Data(H)'!$A$1:$A$260,0),MATCH('Unit Data from Audit Worksheet'!$D$2,'PY1 Data(H)'!$A$1:$CZ$1,0))</f>
        <v>#N/A</v>
      </c>
      <c r="F130" s="181">
        <v>0</v>
      </c>
      <c r="G130" s="375">
        <f>IF(F130&gt;=F129,,"Error: Charges for services exceed total operating revenues. Account numbers 84&gt;=88")</f>
        <v>0</v>
      </c>
      <c r="H130" s="859"/>
      <c r="I130" s="859"/>
      <c r="J130" s="743"/>
      <c r="K130" s="551"/>
    </row>
    <row r="131" spans="1:122" ht="79.8" customHeight="1" x14ac:dyDescent="0.3">
      <c r="A131" s="98">
        <v>49</v>
      </c>
      <c r="B131" s="840" t="s">
        <v>1702</v>
      </c>
      <c r="C131" s="4" t="s">
        <v>661</v>
      </c>
      <c r="D131" s="24" t="s">
        <v>129</v>
      </c>
      <c r="E131" s="343" t="e">
        <f>INDEX('PY1 Data(H)'!$A$1:$CZ$260,MATCH('Unit Data from Audit Worksheet'!$A131,'PY1 Data(H)'!$A$1:$A$260,0),MATCH('Unit Data from Audit Worksheet'!$D$2,'PY1 Data(H)'!$A$1:$CZ$1,0))</f>
        <v>#N/A</v>
      </c>
      <c r="F131" s="181">
        <v>0</v>
      </c>
      <c r="G131" s="375">
        <f>IF(F131&lt;0,"Error: Enter as positive.",)</f>
        <v>0</v>
      </c>
      <c r="H131" s="859"/>
      <c r="I131" s="859"/>
      <c r="J131" s="743"/>
      <c r="K131" s="551"/>
    </row>
    <row r="132" spans="1:122" ht="79.8" customHeight="1" x14ac:dyDescent="0.3">
      <c r="A132" s="98">
        <v>85</v>
      </c>
      <c r="B132" s="840" t="s">
        <v>1702</v>
      </c>
      <c r="C132" s="4" t="s">
        <v>661</v>
      </c>
      <c r="D132" s="24" t="s">
        <v>130</v>
      </c>
      <c r="E132" s="343" t="e">
        <f>INDEX('PY1 Data(H)'!$A$1:$CZ$260,MATCH('Unit Data from Audit Worksheet'!$A132,'PY1 Data(H)'!$A$1:$A$260,0),MATCH('Unit Data from Audit Worksheet'!$D$2,'PY1 Data(H)'!$A$1:$CZ$1,0))</f>
        <v>#N/A</v>
      </c>
      <c r="F132" s="181">
        <v>0</v>
      </c>
      <c r="G132" s="375">
        <f>IF(F132&lt;0,"Error: Enter as positive.",)</f>
        <v>0</v>
      </c>
      <c r="H132" s="859"/>
      <c r="I132" s="859"/>
      <c r="J132" s="743"/>
      <c r="K132" s="551"/>
    </row>
    <row r="133" spans="1:122" ht="73.2" customHeight="1" x14ac:dyDescent="0.3">
      <c r="A133" s="98">
        <v>89</v>
      </c>
      <c r="B133" s="840" t="s">
        <v>1702</v>
      </c>
      <c r="C133" s="4" t="s">
        <v>661</v>
      </c>
      <c r="D133" s="24" t="s">
        <v>131</v>
      </c>
      <c r="E133" s="343" t="e">
        <f>INDEX('PY1 Data(H)'!$A$1:$CZ$260,MATCH('Unit Data from Audit Worksheet'!$A133,'PY1 Data(H)'!$A$1:$A$260,0),MATCH('Unit Data from Audit Worksheet'!$D$2,'PY1 Data(H)'!$A$1:$CZ$1,0))</f>
        <v>#N/A</v>
      </c>
      <c r="F133" s="181">
        <v>0</v>
      </c>
      <c r="G133" s="375">
        <f>IF(F133&lt;0,"Error: Enter as positive.",)</f>
        <v>0</v>
      </c>
      <c r="H133" s="859"/>
      <c r="I133" s="859"/>
      <c r="J133" s="743"/>
      <c r="K133" s="551"/>
    </row>
    <row r="134" spans="1:122" ht="87" customHeight="1" x14ac:dyDescent="0.3">
      <c r="A134" s="98">
        <v>350</v>
      </c>
      <c r="B134" s="4" t="s">
        <v>55</v>
      </c>
      <c r="C134" s="4" t="s">
        <v>661</v>
      </c>
      <c r="D134" s="19" t="s">
        <v>663</v>
      </c>
      <c r="E134" s="343" t="e">
        <f>INDEX('PY1 Data(H)'!$A$1:$CZ$260,MATCH('Unit Data from Audit Worksheet'!$A134,'PY1 Data(H)'!$A$1:$A$260,0),MATCH('Unit Data from Audit Worksheet'!$D$2,'PY1 Data(H)'!$A$1:$CZ$1,0))</f>
        <v>#N/A</v>
      </c>
      <c r="F134" s="181">
        <v>0</v>
      </c>
      <c r="G134" s="379"/>
      <c r="H134" s="859"/>
      <c r="I134" s="859"/>
      <c r="J134" s="743"/>
      <c r="K134" s="551"/>
    </row>
    <row r="135" spans="1:122" ht="76.8" customHeight="1" x14ac:dyDescent="0.3">
      <c r="A135" s="98">
        <v>351</v>
      </c>
      <c r="B135" s="840" t="s">
        <v>1702</v>
      </c>
      <c r="C135" s="4" t="s">
        <v>661</v>
      </c>
      <c r="D135" s="19" t="s">
        <v>664</v>
      </c>
      <c r="E135" s="343" t="e">
        <f>INDEX('PY1 Data(H)'!$A$1:$CZ$260,MATCH('Unit Data from Audit Worksheet'!$A135,'PY1 Data(H)'!$A$1:$A$260,0),MATCH('Unit Data from Audit Worksheet'!$D$2,'PY1 Data(H)'!$A$1:$CZ$1,0))</f>
        <v>#N/A</v>
      </c>
      <c r="F135" s="181">
        <v>0</v>
      </c>
      <c r="G135" s="375">
        <f t="shared" ref="G135:G140" si="2">IF(F135&lt;0,"Error: Enter as positive.",)</f>
        <v>0</v>
      </c>
      <c r="H135" s="859"/>
      <c r="I135" s="859"/>
      <c r="J135" s="743"/>
      <c r="K135" s="551"/>
    </row>
    <row r="136" spans="1:122" ht="93.75" customHeight="1" x14ac:dyDescent="0.3">
      <c r="A136" s="98">
        <v>191</v>
      </c>
      <c r="B136" s="4" t="s">
        <v>56</v>
      </c>
      <c r="C136" s="4" t="s">
        <v>661</v>
      </c>
      <c r="D136" s="19" t="s">
        <v>665</v>
      </c>
      <c r="E136" s="343" t="e">
        <f>INDEX('PY1 Data(H)'!$A$1:$CZ$260,MATCH('Unit Data from Audit Worksheet'!$A136,'PY1 Data(H)'!$A$1:$A$260,0),MATCH('Unit Data from Audit Worksheet'!$D$2,'PY1 Data(H)'!$A$1:$CZ$1,0))</f>
        <v>#N/A</v>
      </c>
      <c r="F136" s="181">
        <v>0</v>
      </c>
      <c r="G136" s="375">
        <f t="shared" si="2"/>
        <v>0</v>
      </c>
      <c r="H136" s="859"/>
      <c r="I136" s="859"/>
      <c r="J136" s="743"/>
      <c r="K136" s="551"/>
    </row>
    <row r="137" spans="1:122" ht="88.2" customHeight="1" x14ac:dyDescent="0.3">
      <c r="A137" s="98">
        <v>1053</v>
      </c>
      <c r="B137" s="770" t="s">
        <v>540</v>
      </c>
      <c r="C137" s="771" t="s">
        <v>1032</v>
      </c>
      <c r="D137" s="772" t="s">
        <v>1338</v>
      </c>
      <c r="E137" s="343" t="e">
        <f>INDEX('PY1 Data(H)'!$A$1:$CZ$260,MATCH('Unit Data from Audit Worksheet'!$A137,'PY1 Data(H)'!$A$1:$A$260,0),MATCH('Unit Data from Audit Worksheet'!$D$2,'PY1 Data(H)'!$A$1:$CZ$1,0))</f>
        <v>#N/A</v>
      </c>
      <c r="F137" s="181">
        <v>0</v>
      </c>
      <c r="G137" s="375"/>
      <c r="H137" s="859"/>
      <c r="I137" s="859"/>
      <c r="J137" s="743"/>
      <c r="K137" s="551"/>
      <c r="L137" s="173"/>
      <c r="Y137" s="173"/>
      <c r="Z137" s="173"/>
      <c r="AA137" s="173"/>
      <c r="AB137" s="173"/>
      <c r="AC137" s="173"/>
      <c r="AD137" s="173"/>
      <c r="AE137" s="173"/>
      <c r="AF137" s="173"/>
      <c r="AG137" s="173"/>
      <c r="AH137" s="173"/>
      <c r="AI137" s="173"/>
      <c r="AJ137" s="173"/>
      <c r="AK137" s="173"/>
      <c r="AL137" s="173"/>
      <c r="AM137" s="173"/>
      <c r="AN137" s="173"/>
      <c r="AO137" s="173"/>
      <c r="AP137" s="173"/>
      <c r="AQ137" s="173"/>
      <c r="AR137" s="173"/>
      <c r="AS137" s="173"/>
      <c r="AT137" s="173"/>
      <c r="AU137" s="173"/>
      <c r="AV137" s="173"/>
      <c r="AW137" s="173"/>
      <c r="AX137" s="173"/>
      <c r="AY137" s="173"/>
      <c r="AZ137" s="173"/>
      <c r="BA137" s="173"/>
      <c r="BB137" s="173"/>
      <c r="BC137" s="173"/>
      <c r="BD137" s="173"/>
      <c r="BE137" s="173"/>
      <c r="BF137" s="173"/>
      <c r="BG137" s="173"/>
      <c r="BH137" s="173"/>
      <c r="BI137" s="173"/>
      <c r="BJ137" s="173"/>
      <c r="BK137" s="173"/>
      <c r="BL137" s="173"/>
      <c r="BM137" s="173"/>
      <c r="BN137" s="173"/>
      <c r="BO137" s="173"/>
      <c r="BP137" s="173"/>
      <c r="BQ137" s="173"/>
      <c r="BR137" s="173"/>
      <c r="BS137" s="173"/>
      <c r="BT137" s="173"/>
      <c r="BU137" s="173"/>
      <c r="BV137" s="173"/>
      <c r="BW137" s="173"/>
      <c r="BX137" s="173"/>
      <c r="BY137" s="173"/>
      <c r="BZ137" s="173"/>
      <c r="CA137" s="173"/>
      <c r="CB137" s="173"/>
      <c r="CC137" s="173"/>
      <c r="CD137" s="173"/>
      <c r="CE137" s="173"/>
      <c r="CF137" s="173"/>
      <c r="CG137" s="173"/>
      <c r="CH137" s="173"/>
      <c r="CI137" s="173"/>
      <c r="CJ137" s="173"/>
      <c r="CK137" s="173"/>
      <c r="CL137" s="173"/>
      <c r="CM137" s="173"/>
      <c r="CN137" s="173"/>
      <c r="CO137" s="173"/>
      <c r="CP137" s="173"/>
      <c r="CQ137" s="173"/>
      <c r="CR137" s="173"/>
      <c r="CS137" s="173"/>
      <c r="CT137" s="173"/>
      <c r="CU137" s="173"/>
      <c r="CV137" s="173"/>
      <c r="CW137" s="173"/>
      <c r="CX137" s="173"/>
      <c r="CY137" s="173"/>
      <c r="CZ137" s="173"/>
      <c r="DA137" s="173"/>
      <c r="DB137" s="173"/>
      <c r="DC137" s="173"/>
      <c r="DD137" s="173"/>
      <c r="DE137" s="173"/>
      <c r="DF137" s="173"/>
      <c r="DG137" s="173"/>
      <c r="DH137" s="173"/>
      <c r="DI137" s="173"/>
      <c r="DJ137" s="173"/>
      <c r="DK137" s="173"/>
      <c r="DL137" s="173"/>
      <c r="DM137" s="173"/>
      <c r="DN137" s="173"/>
      <c r="DO137" s="173"/>
      <c r="DP137" s="173"/>
      <c r="DQ137" s="173"/>
      <c r="DR137" s="173"/>
    </row>
    <row r="138" spans="1:122" ht="96" customHeight="1" x14ac:dyDescent="0.3">
      <c r="A138" s="98">
        <v>352</v>
      </c>
      <c r="B138" s="4" t="s">
        <v>67</v>
      </c>
      <c r="C138" s="4" t="s">
        <v>661</v>
      </c>
      <c r="D138" s="24" t="s">
        <v>591</v>
      </c>
      <c r="E138" s="343" t="e">
        <f>INDEX('PY1 Data(H)'!$A$1:$CZ$260,MATCH('Unit Data from Audit Worksheet'!$A138,'PY1 Data(H)'!$A$1:$A$260,0),MATCH('Unit Data from Audit Worksheet'!$D$2,'PY1 Data(H)'!$A$1:$CZ$1,0))</f>
        <v>#N/A</v>
      </c>
      <c r="F138" s="181">
        <v>0</v>
      </c>
      <c r="G138" s="375">
        <f t="shared" si="2"/>
        <v>0</v>
      </c>
      <c r="H138" s="872"/>
      <c r="I138" s="859"/>
      <c r="J138" s="173"/>
      <c r="K138" s="551"/>
    </row>
    <row r="139" spans="1:122" ht="91.5" customHeight="1" x14ac:dyDescent="0.3">
      <c r="A139" s="98">
        <v>986</v>
      </c>
      <c r="B139" s="345" t="s">
        <v>540</v>
      </c>
      <c r="C139" s="345" t="s">
        <v>661</v>
      </c>
      <c r="D139" s="24" t="s">
        <v>545</v>
      </c>
      <c r="E139" s="343" t="e">
        <f>INDEX('PY1 Data(H)'!$A$1:$CZ$260,MATCH('Unit Data from Audit Worksheet'!$A139,'PY1 Data(H)'!$A$1:$A$260,0),MATCH('Unit Data from Audit Worksheet'!$D$2,'PY1 Data(H)'!$A$1:$CZ$1,0))</f>
        <v>#N/A</v>
      </c>
      <c r="F139" s="181">
        <v>0</v>
      </c>
      <c r="G139" s="375">
        <f t="shared" si="2"/>
        <v>0</v>
      </c>
      <c r="H139" s="859"/>
      <c r="I139" s="859"/>
      <c r="J139" s="173"/>
      <c r="K139" s="551"/>
    </row>
    <row r="140" spans="1:122" ht="90" customHeight="1" x14ac:dyDescent="0.3">
      <c r="A140" s="98">
        <v>353</v>
      </c>
      <c r="B140" s="4" t="s">
        <v>67</v>
      </c>
      <c r="C140" s="4" t="s">
        <v>661</v>
      </c>
      <c r="D140" s="24" t="s">
        <v>113</v>
      </c>
      <c r="E140" s="343" t="e">
        <f>INDEX('PY1 Data(H)'!$A$1:$CZ$260,MATCH('Unit Data from Audit Worksheet'!$A140,'PY1 Data(H)'!$A$1:$A$260,0),MATCH('Unit Data from Audit Worksheet'!$D$2,'PY1 Data(H)'!$A$1:$CZ$1,0))</f>
        <v>#N/A</v>
      </c>
      <c r="F140" s="181">
        <v>0</v>
      </c>
      <c r="G140" s="375">
        <f t="shared" si="2"/>
        <v>0</v>
      </c>
      <c r="H140" s="859"/>
      <c r="I140" s="859"/>
      <c r="J140" s="173"/>
      <c r="K140" s="551"/>
    </row>
    <row r="141" spans="1:122" ht="102.75" customHeight="1" x14ac:dyDescent="0.3">
      <c r="A141" s="98">
        <v>50</v>
      </c>
      <c r="B141" s="4" t="s">
        <v>63</v>
      </c>
      <c r="C141" s="4" t="s">
        <v>661</v>
      </c>
      <c r="D141" s="355" t="s">
        <v>666</v>
      </c>
      <c r="E141" s="343" t="e">
        <f>INDEX('PY1 Data(H)'!$A$1:$CZ$260,MATCH('Unit Data from Audit Worksheet'!$A141,'PY1 Data(H)'!$A$1:$A$260,0),MATCH('Unit Data from Audit Worksheet'!$D$2,'PY1 Data(H)'!$A$1:$CZ$1,0))</f>
        <v>#N/A</v>
      </c>
      <c r="F141" s="181">
        <v>0</v>
      </c>
      <c r="G141" s="375">
        <f>IF(H141=0,,"Error: Total revenues less total expenses do not equal total change in net position. Account number 84-85+350-351+191+352-353-50=0  The amount of the formula is in the cell to the right")</f>
        <v>0</v>
      </c>
      <c r="H141" s="860">
        <f>F130-F132+F134-F135+F136+F138-F140-F141</f>
        <v>0</v>
      </c>
      <c r="I141" s="859"/>
      <c r="J141" s="743"/>
      <c r="K141" s="551"/>
    </row>
    <row r="142" spans="1:122" ht="121.5" customHeight="1" x14ac:dyDescent="0.3">
      <c r="A142" s="98">
        <v>377</v>
      </c>
      <c r="B142" s="4" t="s">
        <v>67</v>
      </c>
      <c r="C142" s="4" t="s">
        <v>661</v>
      </c>
      <c r="D142" s="355" t="s">
        <v>667</v>
      </c>
      <c r="E142" s="343" t="e">
        <f>INDEX('PY1 Data(H)'!$A$1:$CZ$260,MATCH('Unit Data from Audit Worksheet'!$A142,'PY1 Data(H)'!$A$1:$A$260,0),MATCH('Unit Data from Audit Worksheet'!$D$2,'PY1 Data(H)'!$A$1:$CZ$1,0))</f>
        <v>#N/A</v>
      </c>
      <c r="F142" s="181">
        <v>0</v>
      </c>
      <c r="G142" s="666" t="e">
        <f>IF(F107-F141-F142=E107,,"Error: Beginning Balance does not agree with our records.  Acct #s (83-50-377)=prior year 83 The amount of the formula is in the cell to the right")</f>
        <v>#N/A</v>
      </c>
      <c r="H142" s="860" t="e">
        <f>+F107-F141-F142-E107</f>
        <v>#N/A</v>
      </c>
      <c r="I142" s="873" t="e">
        <f>IF(H142=0," ","If the out of balance is because prior years data is not populated in cell E107, disregard the error message. Do not include prior year's ending balance in cell F142.")</f>
        <v>#N/A</v>
      </c>
      <c r="J142" s="173"/>
      <c r="K142" s="551"/>
    </row>
    <row r="143" spans="1:122" ht="97.5" customHeight="1" x14ac:dyDescent="0.3">
      <c r="A143" s="98">
        <v>537</v>
      </c>
      <c r="B143" s="345" t="s">
        <v>58</v>
      </c>
      <c r="C143" s="345" t="s">
        <v>661</v>
      </c>
      <c r="D143" s="342" t="s">
        <v>1355</v>
      </c>
      <c r="E143" s="343" t="e">
        <f>INDEX('PY1 Data(H)'!$A$1:$CZ$260,MATCH('Unit Data from Audit Worksheet'!$A143,'PY1 Data(H)'!$A$1:$A$260,0),MATCH('Unit Data from Audit Worksheet'!$D$2,'PY1 Data(H)'!$A$1:$CZ$1,0))</f>
        <v>#N/A</v>
      </c>
      <c r="F143" s="181"/>
      <c r="G143" s="375"/>
      <c r="H143" s="858"/>
      <c r="I143" s="858"/>
      <c r="J143" s="173"/>
      <c r="K143" s="551"/>
    </row>
    <row r="144" spans="1:122" ht="96.75" customHeight="1" x14ac:dyDescent="0.3">
      <c r="A144" s="98">
        <v>538</v>
      </c>
      <c r="B144" s="345" t="s">
        <v>58</v>
      </c>
      <c r="C144" s="345" t="s">
        <v>661</v>
      </c>
      <c r="D144" s="342" t="s">
        <v>1356</v>
      </c>
      <c r="E144" s="343" t="e">
        <f>INDEX('PY1 Data(H)'!$A$1:$CZ$260,MATCH('Unit Data from Audit Worksheet'!$A144,'PY1 Data(H)'!$A$1:$A$260,0),MATCH('Unit Data from Audit Worksheet'!$D$2,'PY1 Data(H)'!$A$1:$CZ$1,0))</f>
        <v>#N/A</v>
      </c>
      <c r="F144" s="181"/>
      <c r="G144" s="375"/>
      <c r="H144" s="858"/>
      <c r="I144" s="858"/>
      <c r="J144" s="173"/>
      <c r="K144" s="551"/>
    </row>
    <row r="145" spans="1:122" ht="26.25" customHeight="1" x14ac:dyDescent="0.3">
      <c r="A145" s="98"/>
      <c r="B145" s="456" t="s">
        <v>6</v>
      </c>
      <c r="C145" s="457"/>
      <c r="D145" s="432"/>
      <c r="E145" s="432"/>
      <c r="F145" s="452"/>
      <c r="G145" s="453"/>
      <c r="H145" s="859"/>
      <c r="I145" s="859"/>
      <c r="J145" s="173"/>
      <c r="K145" s="551"/>
    </row>
    <row r="146" spans="1:122" ht="100.2" customHeight="1" x14ac:dyDescent="0.3">
      <c r="A146" s="98">
        <v>97</v>
      </c>
      <c r="B146" s="4" t="s">
        <v>67</v>
      </c>
      <c r="C146" s="4" t="s">
        <v>668</v>
      </c>
      <c r="D146" s="24" t="s">
        <v>132</v>
      </c>
      <c r="E146" s="343" t="e">
        <f>INDEX('PY1 Data(H)'!$A$1:$CZ$260,MATCH('Unit Data from Audit Worksheet'!$A146,'PY1 Data(H)'!$A$1:$A$260,0),MATCH('Unit Data from Audit Worksheet'!$D$2,'PY1 Data(H)'!$A$1:$CZ$1,0))</f>
        <v>#N/A</v>
      </c>
      <c r="F146" s="182">
        <v>0</v>
      </c>
      <c r="G146" s="379"/>
      <c r="H146" s="859"/>
      <c r="I146" s="859"/>
      <c r="J146" s="173"/>
      <c r="K146" s="551"/>
    </row>
    <row r="147" spans="1:122" ht="87.75" customHeight="1" x14ac:dyDescent="0.3">
      <c r="A147" s="98">
        <v>93</v>
      </c>
      <c r="B147" s="840" t="s">
        <v>1706</v>
      </c>
      <c r="C147" s="4" t="s">
        <v>668</v>
      </c>
      <c r="D147" s="24" t="s">
        <v>128</v>
      </c>
      <c r="E147" s="343" t="e">
        <f>INDEX('PY1 Data(H)'!$A$1:$CZ$260,MATCH('Unit Data from Audit Worksheet'!$A147,'PY1 Data(H)'!$A$1:$A$260,0),MATCH('Unit Data from Audit Worksheet'!$D$2,'PY1 Data(H)'!$A$1:$CZ$1,0))</f>
        <v>#N/A</v>
      </c>
      <c r="F147" s="182">
        <v>0</v>
      </c>
      <c r="G147" s="375">
        <f>IF(F146&gt;F147,"Error: Charges for services exceed total operating revenues. Account number 97&gt;93",)</f>
        <v>0</v>
      </c>
      <c r="H147" s="859"/>
      <c r="I147" s="859"/>
      <c r="J147" s="173"/>
      <c r="K147" s="551"/>
    </row>
    <row r="148" spans="1:122" ht="96" customHeight="1" x14ac:dyDescent="0.3">
      <c r="A148" s="98">
        <v>99</v>
      </c>
      <c r="B148" s="4" t="s">
        <v>57</v>
      </c>
      <c r="C148" s="4" t="s">
        <v>668</v>
      </c>
      <c r="D148" s="24" t="s">
        <v>133</v>
      </c>
      <c r="E148" s="343" t="e">
        <f>INDEX('PY1 Data(H)'!$A$1:$CZ$260,MATCH('Unit Data from Audit Worksheet'!$A148,'PY1 Data(H)'!$A$1:$A$260,0),MATCH('Unit Data from Audit Worksheet'!$D$2,'PY1 Data(H)'!$A$1:$CZ$1,0))</f>
        <v>#N/A</v>
      </c>
      <c r="F148" s="182">
        <v>0</v>
      </c>
      <c r="G148" s="375">
        <f t="shared" ref="G148:G157" si="3">IF(F148&lt;0,"Error: Enter as positive.",)</f>
        <v>0</v>
      </c>
      <c r="H148" s="859"/>
      <c r="I148" s="859"/>
      <c r="J148" s="173"/>
      <c r="K148" s="551"/>
    </row>
    <row r="149" spans="1:122" ht="79.5" customHeight="1" x14ac:dyDescent="0.3">
      <c r="A149" s="98">
        <v>52</v>
      </c>
      <c r="B149" s="840" t="s">
        <v>1707</v>
      </c>
      <c r="C149" s="4" t="s">
        <v>668</v>
      </c>
      <c r="D149" s="24" t="s">
        <v>129</v>
      </c>
      <c r="E149" s="343" t="e">
        <f>INDEX('PY1 Data(H)'!$A$1:$CZ$260,MATCH('Unit Data from Audit Worksheet'!$A149,'PY1 Data(H)'!$A$1:$A$260,0),MATCH('Unit Data from Audit Worksheet'!$D$2,'PY1 Data(H)'!$A$1:$CZ$1,0))</f>
        <v>#N/A</v>
      </c>
      <c r="F149" s="182">
        <v>0</v>
      </c>
      <c r="G149" s="375">
        <f t="shared" si="3"/>
        <v>0</v>
      </c>
      <c r="H149" s="859"/>
      <c r="I149" s="859"/>
      <c r="J149" s="173"/>
      <c r="K149" s="551"/>
    </row>
    <row r="150" spans="1:122" ht="95.25" customHeight="1" x14ac:dyDescent="0.3">
      <c r="A150" s="98">
        <v>94</v>
      </c>
      <c r="B150" s="840" t="s">
        <v>1706</v>
      </c>
      <c r="C150" s="4" t="s">
        <v>668</v>
      </c>
      <c r="D150" s="24" t="s">
        <v>130</v>
      </c>
      <c r="E150" s="343" t="e">
        <f>INDEX('PY1 Data(H)'!$A$1:$CZ$260,MATCH('Unit Data from Audit Worksheet'!$A150,'PY1 Data(H)'!$A$1:$A$260,0),MATCH('Unit Data from Audit Worksheet'!$D$2,'PY1 Data(H)'!$A$1:$CZ$1,0))</f>
        <v>#N/A</v>
      </c>
      <c r="F150" s="182">
        <v>0</v>
      </c>
      <c r="G150" s="375">
        <f t="shared" si="3"/>
        <v>0</v>
      </c>
      <c r="H150" s="859"/>
      <c r="I150" s="859"/>
      <c r="J150" s="173"/>
      <c r="K150" s="551"/>
    </row>
    <row r="151" spans="1:122" ht="100.5" customHeight="1" x14ac:dyDescent="0.3">
      <c r="A151" s="98">
        <v>98</v>
      </c>
      <c r="B151" s="840" t="s">
        <v>1706</v>
      </c>
      <c r="C151" s="4" t="s">
        <v>668</v>
      </c>
      <c r="D151" s="24" t="s">
        <v>131</v>
      </c>
      <c r="E151" s="343" t="e">
        <f>INDEX('PY1 Data(H)'!$A$1:$CZ$260,MATCH('Unit Data from Audit Worksheet'!$A151,'PY1 Data(H)'!$A$1:$A$260,0),MATCH('Unit Data from Audit Worksheet'!$D$2,'PY1 Data(H)'!$A$1:$CZ$1,0))</f>
        <v>#N/A</v>
      </c>
      <c r="F151" s="182">
        <v>0</v>
      </c>
      <c r="G151" s="375">
        <f t="shared" si="3"/>
        <v>0</v>
      </c>
      <c r="H151" s="859"/>
      <c r="I151" s="859"/>
      <c r="J151" s="173"/>
      <c r="K151" s="551"/>
    </row>
    <row r="152" spans="1:122" ht="95.25" customHeight="1" x14ac:dyDescent="0.3">
      <c r="A152" s="98">
        <v>363</v>
      </c>
      <c r="B152" s="4" t="s">
        <v>55</v>
      </c>
      <c r="C152" s="4" t="s">
        <v>668</v>
      </c>
      <c r="D152" s="19" t="s">
        <v>669</v>
      </c>
      <c r="E152" s="343" t="e">
        <f>INDEX('PY1 Data(H)'!$A$1:$CZ$260,MATCH('Unit Data from Audit Worksheet'!$A152,'PY1 Data(H)'!$A$1:$A$260,0),MATCH('Unit Data from Audit Worksheet'!$D$2,'PY1 Data(H)'!$A$1:$CZ$1,0))</f>
        <v>#N/A</v>
      </c>
      <c r="F152" s="182">
        <v>0</v>
      </c>
      <c r="G152" s="375">
        <f t="shared" si="3"/>
        <v>0</v>
      </c>
      <c r="H152" s="859"/>
      <c r="I152" s="859"/>
      <c r="J152" s="173"/>
      <c r="K152" s="551"/>
    </row>
    <row r="153" spans="1:122" ht="83.25" customHeight="1" x14ac:dyDescent="0.3">
      <c r="A153" s="98">
        <v>364</v>
      </c>
      <c r="B153" s="840" t="s">
        <v>1708</v>
      </c>
      <c r="C153" s="4" t="s">
        <v>668</v>
      </c>
      <c r="D153" s="19" t="s">
        <v>670</v>
      </c>
      <c r="E153" s="343" t="e">
        <f>INDEX('PY1 Data(H)'!$A$1:$CZ$260,MATCH('Unit Data from Audit Worksheet'!$A153,'PY1 Data(H)'!$A$1:$A$260,0),MATCH('Unit Data from Audit Worksheet'!$D$2,'PY1 Data(H)'!$A$1:$CZ$1,0))</f>
        <v>#N/A</v>
      </c>
      <c r="F153" s="182">
        <v>0</v>
      </c>
      <c r="G153" s="375">
        <f t="shared" si="3"/>
        <v>0</v>
      </c>
      <c r="H153" s="859"/>
      <c r="I153" s="859"/>
      <c r="J153" s="173"/>
      <c r="K153" s="551"/>
    </row>
    <row r="154" spans="1:122" ht="93" customHeight="1" x14ac:dyDescent="0.3">
      <c r="A154" s="98">
        <v>192</v>
      </c>
      <c r="B154" s="4" t="s">
        <v>57</v>
      </c>
      <c r="C154" s="4" t="s">
        <v>668</v>
      </c>
      <c r="D154" s="19" t="s">
        <v>671</v>
      </c>
      <c r="E154" s="343" t="e">
        <f>INDEX('PY1 Data(H)'!$A$1:$CZ$260,MATCH('Unit Data from Audit Worksheet'!$A154,'PY1 Data(H)'!$A$1:$A$260,0),MATCH('Unit Data from Audit Worksheet'!$D$2,'PY1 Data(H)'!$A$1:$CZ$1,0))</f>
        <v>#N/A</v>
      </c>
      <c r="F154" s="182">
        <v>0</v>
      </c>
      <c r="G154" s="375">
        <f t="shared" si="3"/>
        <v>0</v>
      </c>
      <c r="H154" s="859"/>
      <c r="I154" s="859"/>
      <c r="J154" s="173"/>
      <c r="K154" s="551"/>
    </row>
    <row r="155" spans="1:122" ht="93" customHeight="1" x14ac:dyDescent="0.3">
      <c r="A155" s="98">
        <v>1054</v>
      </c>
      <c r="B155" s="345" t="s">
        <v>540</v>
      </c>
      <c r="C155" s="345" t="s">
        <v>1030</v>
      </c>
      <c r="D155" s="772" t="s">
        <v>1339</v>
      </c>
      <c r="E155" s="343" t="e">
        <f>INDEX('PY1 Data(H)'!$A$1:$CZ$260,MATCH('Unit Data from Audit Worksheet'!$A155,'PY1 Data(H)'!$A$1:$A$260,0),MATCH('Unit Data from Audit Worksheet'!$D$2,'PY1 Data(H)'!$A$1:$CZ$1,0))</f>
        <v>#N/A</v>
      </c>
      <c r="F155" s="182">
        <v>0</v>
      </c>
      <c r="G155" s="375"/>
      <c r="H155" s="859"/>
      <c r="I155" s="859"/>
      <c r="J155" s="173"/>
      <c r="K155" s="551"/>
      <c r="L155" s="173"/>
      <c r="Y155" s="173"/>
      <c r="Z155" s="173"/>
      <c r="AA155" s="173"/>
      <c r="AB155" s="173"/>
      <c r="AC155" s="173"/>
      <c r="AD155" s="173"/>
      <c r="AE155" s="173"/>
      <c r="AF155" s="173"/>
      <c r="AG155" s="173"/>
      <c r="AH155" s="173"/>
      <c r="AI155" s="173"/>
      <c r="AJ155" s="173"/>
      <c r="AK155" s="173"/>
      <c r="AL155" s="173"/>
      <c r="AM155" s="173"/>
      <c r="AN155" s="173"/>
      <c r="AO155" s="173"/>
      <c r="AP155" s="173"/>
      <c r="AQ155" s="173"/>
      <c r="AR155" s="173"/>
      <c r="AS155" s="173"/>
      <c r="AT155" s="173"/>
      <c r="AU155" s="173"/>
      <c r="AV155" s="173"/>
      <c r="AW155" s="173"/>
      <c r="AX155" s="173"/>
      <c r="AY155" s="173"/>
      <c r="AZ155" s="173"/>
      <c r="BA155" s="173"/>
      <c r="BB155" s="173"/>
      <c r="BC155" s="173"/>
      <c r="BD155" s="173"/>
      <c r="BE155" s="173"/>
      <c r="BF155" s="173"/>
      <c r="BG155" s="173"/>
      <c r="BH155" s="173"/>
      <c r="BI155" s="173"/>
      <c r="BJ155" s="173"/>
      <c r="BK155" s="173"/>
      <c r="BL155" s="173"/>
      <c r="BM155" s="173"/>
      <c r="BN155" s="173"/>
      <c r="BO155" s="173"/>
      <c r="BP155" s="173"/>
      <c r="BQ155" s="173"/>
      <c r="BR155" s="173"/>
      <c r="BS155" s="173"/>
      <c r="BT155" s="173"/>
      <c r="BU155" s="173"/>
      <c r="BV155" s="173"/>
      <c r="BW155" s="173"/>
      <c r="BX155" s="173"/>
      <c r="BY155" s="173"/>
      <c r="BZ155" s="173"/>
      <c r="CA155" s="173"/>
      <c r="CB155" s="173"/>
      <c r="CC155" s="173"/>
      <c r="CD155" s="173"/>
      <c r="CE155" s="173"/>
      <c r="CF155" s="173"/>
      <c r="CG155" s="173"/>
      <c r="CH155" s="173"/>
      <c r="CI155" s="173"/>
      <c r="CJ155" s="173"/>
      <c r="CK155" s="173"/>
      <c r="CL155" s="173"/>
      <c r="CM155" s="173"/>
      <c r="CN155" s="173"/>
      <c r="CO155" s="173"/>
      <c r="CP155" s="173"/>
      <c r="CQ155" s="173"/>
      <c r="CR155" s="173"/>
      <c r="CS155" s="173"/>
      <c r="CT155" s="173"/>
      <c r="CU155" s="173"/>
      <c r="CV155" s="173"/>
      <c r="CW155" s="173"/>
      <c r="CX155" s="173"/>
      <c r="CY155" s="173"/>
      <c r="CZ155" s="173"/>
      <c r="DA155" s="173"/>
      <c r="DB155" s="173"/>
      <c r="DC155" s="173"/>
      <c r="DD155" s="173"/>
      <c r="DE155" s="173"/>
      <c r="DF155" s="173"/>
      <c r="DG155" s="173"/>
      <c r="DH155" s="173"/>
      <c r="DI155" s="173"/>
      <c r="DJ155" s="173"/>
      <c r="DK155" s="173"/>
      <c r="DL155" s="173"/>
      <c r="DM155" s="173"/>
      <c r="DN155" s="173"/>
      <c r="DO155" s="173"/>
      <c r="DP155" s="173"/>
      <c r="DQ155" s="173"/>
      <c r="DR155" s="173"/>
    </row>
    <row r="156" spans="1:122" ht="93.6" customHeight="1" x14ac:dyDescent="0.3">
      <c r="A156" s="98">
        <v>365</v>
      </c>
      <c r="B156" s="4" t="s">
        <v>65</v>
      </c>
      <c r="C156" s="4" t="s">
        <v>668</v>
      </c>
      <c r="D156" s="19" t="s">
        <v>672</v>
      </c>
      <c r="E156" s="343" t="e">
        <f>INDEX('PY1 Data(H)'!$A$1:$CZ$260,MATCH('Unit Data from Audit Worksheet'!$A156,'PY1 Data(H)'!$A$1:$A$260,0),MATCH('Unit Data from Audit Worksheet'!$D$2,'PY1 Data(H)'!$A$1:$CZ$1,0))</f>
        <v>#N/A</v>
      </c>
      <c r="F156" s="182">
        <v>0</v>
      </c>
      <c r="G156" s="375">
        <f t="shared" si="3"/>
        <v>0</v>
      </c>
      <c r="H156" s="859"/>
      <c r="I156" s="859"/>
      <c r="J156" s="173"/>
      <c r="K156" s="551"/>
    </row>
    <row r="157" spans="1:122" ht="84.75" customHeight="1" x14ac:dyDescent="0.3">
      <c r="A157" s="98">
        <v>366</v>
      </c>
      <c r="B157" s="4" t="s">
        <v>65</v>
      </c>
      <c r="C157" s="4" t="s">
        <v>668</v>
      </c>
      <c r="D157" s="19" t="s">
        <v>673</v>
      </c>
      <c r="E157" s="343" t="e">
        <f>INDEX('PY1 Data(H)'!$A$1:$CZ$260,MATCH('Unit Data from Audit Worksheet'!$A157,'PY1 Data(H)'!$A$1:$A$260,0),MATCH('Unit Data from Audit Worksheet'!$D$2,'PY1 Data(H)'!$A$1:$CZ$1,0))</f>
        <v>#N/A</v>
      </c>
      <c r="F157" s="182">
        <v>0</v>
      </c>
      <c r="G157" s="375">
        <f t="shared" si="3"/>
        <v>0</v>
      </c>
      <c r="H157" s="859"/>
      <c r="I157" s="859"/>
      <c r="J157" s="173"/>
      <c r="K157" s="551"/>
    </row>
    <row r="158" spans="1:122" s="18" customFormat="1" ht="105.6" customHeight="1" x14ac:dyDescent="0.3">
      <c r="A158" s="98">
        <v>53</v>
      </c>
      <c r="B158" s="345" t="s">
        <v>65</v>
      </c>
      <c r="C158" s="345" t="s">
        <v>668</v>
      </c>
      <c r="D158" s="355" t="s">
        <v>674</v>
      </c>
      <c r="E158" s="343" t="e">
        <f>INDEX('PY1 Data(H)'!$A$1:$CZ$260,MATCH('Unit Data from Audit Worksheet'!$A158,'PY1 Data(H)'!$A$1:$A$260,0),MATCH('Unit Data from Audit Worksheet'!$D$2,'PY1 Data(H)'!$A$1:$CZ$1,0))</f>
        <v>#N/A</v>
      </c>
      <c r="F158" s="182">
        <v>0</v>
      </c>
      <c r="G158" s="375">
        <f>IF(H158=0,,"Error: Total revenues less total expenses do not equal total change in net position. Account number 93-94+363-364+192+365-366-53=0  The amount of the formula is in the cell to the right")</f>
        <v>0</v>
      </c>
      <c r="H158" s="860">
        <f>+F147-F150+F152-F153+F154+F156-F157-F158</f>
        <v>0</v>
      </c>
      <c r="I158" s="859"/>
      <c r="J158" s="173"/>
      <c r="K158" s="551"/>
      <c r="L158"/>
      <c r="N158" s="183"/>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row>
    <row r="159" spans="1:122" s="18" customFormat="1" ht="116.4" customHeight="1" x14ac:dyDescent="0.3">
      <c r="A159" s="98">
        <v>378</v>
      </c>
      <c r="B159" s="250" t="s">
        <v>55</v>
      </c>
      <c r="C159" s="345" t="s">
        <v>668</v>
      </c>
      <c r="D159" s="355" t="s">
        <v>675</v>
      </c>
      <c r="E159" s="343" t="e">
        <f>INDEX('PY1 Data(H)'!$A$1:$CZ$260,MATCH('Unit Data from Audit Worksheet'!$A159,'PY1 Data(H)'!$A$1:$A$260,0),MATCH('Unit Data from Audit Worksheet'!$D$2,'PY1 Data(H)'!$A$1:$CZ$1,0))</f>
        <v>#N/A</v>
      </c>
      <c r="F159" s="182">
        <v>0</v>
      </c>
      <c r="G159" s="666" t="e">
        <f>IF(F126-F158-F159=E126,,"Error: Beginning Balance does not agree with our records.  Acct #s (362-53-378)=prior year 362  The amount of the formula is in the cell to the right")</f>
        <v>#N/A</v>
      </c>
      <c r="H159" s="741" t="e">
        <f>+F126-F158-F159-E126</f>
        <v>#N/A</v>
      </c>
      <c r="I159" s="827" t="e">
        <f>IF(H159=0," ","If the out of balance is because prior years data is not populated in cell E126, disregard the error message. Do not include prior year's ending balance in cell F159.")</f>
        <v>#N/A</v>
      </c>
      <c r="J159" s="173"/>
      <c r="K159" s="551"/>
      <c r="L159"/>
      <c r="N159" s="183"/>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row>
    <row r="160" spans="1:122" ht="30.75" customHeight="1" x14ac:dyDescent="0.3">
      <c r="A160" s="98"/>
      <c r="B160" s="456" t="s">
        <v>394</v>
      </c>
      <c r="C160" s="456"/>
      <c r="D160" s="459"/>
      <c r="E160" s="439"/>
      <c r="F160" s="460"/>
      <c r="G160" s="441"/>
      <c r="H160" s="859"/>
      <c r="I160" s="859"/>
      <c r="J160" s="173"/>
      <c r="K160" s="551"/>
    </row>
    <row r="161" spans="1:11" ht="13.5" customHeight="1" x14ac:dyDescent="0.3">
      <c r="A161" s="98"/>
      <c r="B161" s="461" t="s">
        <v>676</v>
      </c>
      <c r="C161" s="457"/>
      <c r="D161" s="432"/>
      <c r="E161" s="432"/>
      <c r="F161" s="462"/>
      <c r="G161" s="453"/>
      <c r="H161" s="859"/>
      <c r="I161" s="859"/>
      <c r="J161" s="173"/>
      <c r="K161" s="551"/>
    </row>
    <row r="162" spans="1:11" ht="17.25" customHeight="1" x14ac:dyDescent="0.3">
      <c r="A162" s="98"/>
      <c r="B162" s="457" t="s">
        <v>677</v>
      </c>
      <c r="C162" s="457"/>
      <c r="D162" s="448"/>
      <c r="E162" s="430"/>
      <c r="F162" s="463"/>
      <c r="G162" s="455"/>
      <c r="H162" s="859"/>
      <c r="I162" s="859"/>
      <c r="J162" s="173"/>
      <c r="K162" s="551"/>
    </row>
    <row r="163" spans="1:11" ht="13.5" customHeight="1" x14ac:dyDescent="0.3">
      <c r="A163" s="98"/>
      <c r="B163" s="457" t="s">
        <v>23</v>
      </c>
      <c r="C163" s="457"/>
      <c r="D163" s="448"/>
      <c r="E163" s="430"/>
      <c r="F163" s="463"/>
      <c r="G163" s="455"/>
      <c r="H163" s="859"/>
      <c r="I163" s="859"/>
      <c r="J163" s="173"/>
      <c r="K163" s="551"/>
    </row>
    <row r="164" spans="1:11" ht="70.8" customHeight="1" x14ac:dyDescent="0.3">
      <c r="A164" s="98">
        <v>51</v>
      </c>
      <c r="B164" s="4" t="s">
        <v>261</v>
      </c>
      <c r="C164" s="682" t="s">
        <v>678</v>
      </c>
      <c r="D164" s="19" t="s">
        <v>679</v>
      </c>
      <c r="E164" s="343" t="e">
        <f>INDEX('PY1 Data(H)'!$A$1:$CZ$260,MATCH('Unit Data from Audit Worksheet'!$A164,'PY1 Data(H)'!$A$1:$A$260,0),MATCH('Unit Data from Audit Worksheet'!$D$2,'PY1 Data(H)'!$A$1:$CZ$1,0))</f>
        <v>#N/A</v>
      </c>
      <c r="F164" s="181">
        <v>0</v>
      </c>
      <c r="G164" s="379"/>
      <c r="H164" s="859"/>
      <c r="I164" s="859"/>
      <c r="J164" s="743"/>
      <c r="K164" s="551"/>
    </row>
    <row r="165" spans="1:11" ht="45" customHeight="1" x14ac:dyDescent="0.3">
      <c r="A165" s="98">
        <v>332</v>
      </c>
      <c r="B165" s="4" t="s">
        <v>36</v>
      </c>
      <c r="C165" s="682" t="s">
        <v>678</v>
      </c>
      <c r="D165" s="19" t="s">
        <v>680</v>
      </c>
      <c r="E165" s="343" t="e">
        <f>INDEX('PY1 Data(H)'!$A$1:$CZ$260,MATCH('Unit Data from Audit Worksheet'!$A165,'PY1 Data(H)'!$A$1:$A$260,0),MATCH('Unit Data from Audit Worksheet'!$D$2,'PY1 Data(H)'!$A$1:$CZ$1,0))</f>
        <v>#N/A</v>
      </c>
      <c r="F165" s="181">
        <v>0</v>
      </c>
      <c r="G165" s="375">
        <f>IF(F165&lt;0,"Error: Enter as positive.",)</f>
        <v>0</v>
      </c>
      <c r="H165" s="859"/>
      <c r="I165" s="859"/>
      <c r="J165" s="743"/>
      <c r="K165" s="551"/>
    </row>
    <row r="166" spans="1:11" ht="63" customHeight="1" x14ac:dyDescent="0.3">
      <c r="A166" s="98">
        <v>331</v>
      </c>
      <c r="B166" s="840" t="s">
        <v>1702</v>
      </c>
      <c r="C166" s="682" t="s">
        <v>678</v>
      </c>
      <c r="D166" s="19" t="s">
        <v>681</v>
      </c>
      <c r="E166" s="343" t="e">
        <f>INDEX('PY1 Data(H)'!$A$1:$CZ$260,MATCH('Unit Data from Audit Worksheet'!$A166,'PY1 Data(H)'!$A$1:$A$260,0),MATCH('Unit Data from Audit Worksheet'!$D$2,'PY1 Data(H)'!$A$1:$CZ$1,0))</f>
        <v>#N/A</v>
      </c>
      <c r="F166" s="181">
        <v>0</v>
      </c>
      <c r="G166" s="375">
        <f>IF(F166&lt;0,"Error: Enter as positive.",)</f>
        <v>0</v>
      </c>
      <c r="H166" s="859"/>
      <c r="I166" s="859"/>
      <c r="J166" s="743"/>
      <c r="K166" s="551"/>
    </row>
    <row r="167" spans="1:11" x14ac:dyDescent="0.3">
      <c r="A167" s="98"/>
      <c r="B167" s="456" t="s">
        <v>6</v>
      </c>
      <c r="C167" s="457"/>
      <c r="D167" s="457"/>
      <c r="E167" s="432"/>
      <c r="F167" s="462"/>
      <c r="G167" s="464"/>
      <c r="H167" s="859"/>
      <c r="I167" s="859"/>
      <c r="J167" s="173"/>
      <c r="K167" s="551"/>
    </row>
    <row r="168" spans="1:11" ht="48" customHeight="1" x14ac:dyDescent="0.3">
      <c r="A168" s="98">
        <v>55</v>
      </c>
      <c r="B168" s="4" t="s">
        <v>58</v>
      </c>
      <c r="C168" s="682" t="s">
        <v>682</v>
      </c>
      <c r="D168" s="19" t="s">
        <v>683</v>
      </c>
      <c r="E168" s="343" t="e">
        <f>INDEX('PY1 Data(H)'!$A$1:$CZ$260,MATCH('Unit Data from Audit Worksheet'!$A168,'PY1 Data(H)'!$A$1:$A$260,0),MATCH('Unit Data from Audit Worksheet'!$D$2,'PY1 Data(H)'!$A$1:$CZ$1,0))</f>
        <v>#N/A</v>
      </c>
      <c r="F168" s="182">
        <v>0</v>
      </c>
      <c r="G168" s="379"/>
      <c r="H168" s="859"/>
      <c r="I168" s="859"/>
      <c r="J168" s="173"/>
      <c r="K168" s="551"/>
    </row>
    <row r="169" spans="1:11" ht="60" customHeight="1" x14ac:dyDescent="0.3">
      <c r="A169" s="98">
        <v>101</v>
      </c>
      <c r="B169" s="4" t="s">
        <v>64</v>
      </c>
      <c r="C169" s="682" t="s">
        <v>682</v>
      </c>
      <c r="D169" s="19" t="s">
        <v>684</v>
      </c>
      <c r="E169" s="343" t="e">
        <f>INDEX('PY1 Data(H)'!$A$1:$CZ$260,MATCH('Unit Data from Audit Worksheet'!$A169,'PY1 Data(H)'!$A$1:$A$260,0),MATCH('Unit Data from Audit Worksheet'!$D$2,'PY1 Data(H)'!$A$1:$CZ$1,0))</f>
        <v>#N/A</v>
      </c>
      <c r="F169" s="182">
        <v>0</v>
      </c>
      <c r="G169" s="375">
        <f>IF(F169&lt;0,"Error: Enter as positive.",)</f>
        <v>0</v>
      </c>
      <c r="H169" s="859"/>
      <c r="I169" s="859"/>
      <c r="J169" s="173"/>
      <c r="K169" s="551"/>
    </row>
    <row r="170" spans="1:11" ht="71.25" customHeight="1" x14ac:dyDescent="0.3">
      <c r="A170" s="98">
        <v>100</v>
      </c>
      <c r="B170" s="840" t="s">
        <v>1706</v>
      </c>
      <c r="C170" s="682" t="s">
        <v>682</v>
      </c>
      <c r="D170" s="19" t="s">
        <v>681</v>
      </c>
      <c r="E170" s="343" t="e">
        <f>INDEX('PY1 Data(H)'!$A$1:$CZ$260,MATCH('Unit Data from Audit Worksheet'!$A170,'PY1 Data(H)'!$A$1:$A$260,0),MATCH('Unit Data from Audit Worksheet'!$D$2,'PY1 Data(H)'!$A$1:$CZ$1,0))</f>
        <v>#N/A</v>
      </c>
      <c r="F170" s="182">
        <v>0</v>
      </c>
      <c r="G170" s="375">
        <f>IF(F170&lt;0,"Error: Enter as positive.",)</f>
        <v>0</v>
      </c>
      <c r="H170" s="859"/>
      <c r="I170" s="859"/>
      <c r="J170" s="173"/>
      <c r="K170" s="551"/>
    </row>
    <row r="171" spans="1:11" x14ac:dyDescent="0.3">
      <c r="A171" s="98"/>
      <c r="B171" s="456" t="s">
        <v>70</v>
      </c>
      <c r="C171" s="457"/>
      <c r="D171" s="432"/>
      <c r="E171" s="432"/>
      <c r="F171" s="465"/>
      <c r="G171" s="451"/>
      <c r="H171" s="859"/>
      <c r="I171" s="859"/>
      <c r="J171" s="173"/>
      <c r="K171" s="551"/>
    </row>
    <row r="172" spans="1:11" ht="94.8" customHeight="1" x14ac:dyDescent="0.3">
      <c r="A172" s="98">
        <v>512</v>
      </c>
      <c r="B172" s="250"/>
      <c r="C172" s="682" t="s">
        <v>134</v>
      </c>
      <c r="D172" s="19" t="s">
        <v>685</v>
      </c>
      <c r="E172" s="343" t="e">
        <f>INDEX('PY1 Data(H)'!$A$1:$CZ$260,MATCH('Unit Data from Audit Worksheet'!$A172,'PY1 Data(H)'!$A$1:$A$260,0),MATCH('Unit Data from Audit Worksheet'!$D$2,'PY1 Data(H)'!$A$1:$CZ$1,0))</f>
        <v>#N/A</v>
      </c>
      <c r="F172" s="182">
        <v>0</v>
      </c>
      <c r="G172" s="375">
        <f>IF(F172&lt;0,"Error: Enter as positive.",)</f>
        <v>0</v>
      </c>
      <c r="H172" s="859"/>
      <c r="I172" s="859"/>
      <c r="J172" s="173"/>
      <c r="K172" s="551"/>
    </row>
    <row r="173" spans="1:11" x14ac:dyDescent="0.3">
      <c r="A173" s="98"/>
      <c r="B173" s="456" t="s">
        <v>264</v>
      </c>
      <c r="C173" s="457"/>
      <c r="D173" s="459"/>
      <c r="E173" s="466"/>
      <c r="F173" s="465"/>
      <c r="G173" s="451"/>
      <c r="H173" s="858"/>
      <c r="I173" s="858"/>
      <c r="J173" s="173"/>
      <c r="K173" s="551"/>
    </row>
    <row r="174" spans="1:11" ht="111.6" customHeight="1" x14ac:dyDescent="0.3">
      <c r="A174" s="98">
        <v>535</v>
      </c>
      <c r="B174" s="345" t="s">
        <v>54</v>
      </c>
      <c r="C174" s="345" t="s">
        <v>135</v>
      </c>
      <c r="D174" s="19" t="s">
        <v>686</v>
      </c>
      <c r="E174" s="343" t="e">
        <f>INDEX('PY1 Data(H)'!$A$1:$CZ$260,MATCH('Unit Data from Audit Worksheet'!$A174,'PY1 Data(H)'!$A$1:$A$260,0),MATCH('Unit Data from Audit Worksheet'!$D$2,'PY1 Data(H)'!$A$1:$CZ$1,0))</f>
        <v>#N/A</v>
      </c>
      <c r="F174" s="182">
        <v>0</v>
      </c>
      <c r="G174" s="666" t="str">
        <f>IF(F174&lt;1,"Reminder: Please make sure you have entered all cash and investments from bond/Debt proceeds, if applicable.",)</f>
        <v>Reminder: Please make sure you have entered all cash and investments from bond/Debt proceeds, if applicable.</v>
      </c>
      <c r="H174" s="858"/>
      <c r="I174" s="858"/>
      <c r="J174" s="173"/>
      <c r="K174" s="551"/>
    </row>
    <row r="175" spans="1:11" x14ac:dyDescent="0.3">
      <c r="A175" s="98"/>
      <c r="B175" s="456" t="s">
        <v>29</v>
      </c>
      <c r="C175" s="457"/>
      <c r="D175" s="433"/>
      <c r="E175" s="433"/>
      <c r="F175" s="462"/>
      <c r="G175" s="453"/>
      <c r="H175" s="859"/>
      <c r="I175" s="859"/>
      <c r="J175" s="173"/>
      <c r="K175" s="551"/>
    </row>
    <row r="176" spans="1:11" x14ac:dyDescent="0.3">
      <c r="A176" s="98"/>
      <c r="B176" s="664"/>
      <c r="C176" s="664"/>
      <c r="D176" s="386" t="s">
        <v>2</v>
      </c>
      <c r="E176" s="1"/>
      <c r="F176" s="148"/>
      <c r="G176" s="379"/>
      <c r="H176" s="859"/>
      <c r="I176" s="859"/>
      <c r="J176" s="173"/>
      <c r="K176" s="551"/>
    </row>
    <row r="177" spans="1:11" ht="36" customHeight="1" x14ac:dyDescent="0.3">
      <c r="A177" s="98"/>
      <c r="B177" s="664"/>
      <c r="C177" s="664"/>
      <c r="D177" s="344" t="s">
        <v>687</v>
      </c>
      <c r="E177" s="343"/>
      <c r="F177" s="148"/>
      <c r="G177" s="379"/>
      <c r="H177" s="859"/>
      <c r="I177" s="859"/>
      <c r="J177" s="173"/>
      <c r="K177" s="551"/>
    </row>
    <row r="178" spans="1:11" ht="54" customHeight="1" x14ac:dyDescent="0.3">
      <c r="A178" s="98">
        <v>334</v>
      </c>
      <c r="B178" s="4" t="s">
        <v>55</v>
      </c>
      <c r="C178" s="4" t="s">
        <v>142</v>
      </c>
      <c r="D178" s="19" t="s">
        <v>688</v>
      </c>
      <c r="E178" s="343" t="e">
        <f>INDEX('PY1 Data(H)'!$A$1:$CZ$260,MATCH('Unit Data from Audit Worksheet'!$A178,'PY1 Data(H)'!$A$1:$A$260,0),MATCH('Unit Data from Audit Worksheet'!$D$2,'PY1 Data(H)'!$A$1:$CZ$1,0))</f>
        <v>#N/A</v>
      </c>
      <c r="F178" s="182">
        <v>0</v>
      </c>
      <c r="G178" s="379"/>
      <c r="H178" s="859"/>
      <c r="I178" s="859"/>
      <c r="J178" s="173"/>
      <c r="K178" s="551"/>
    </row>
    <row r="179" spans="1:11" ht="57.6" customHeight="1" x14ac:dyDescent="0.3">
      <c r="A179" s="98">
        <v>373</v>
      </c>
      <c r="B179" s="4" t="s">
        <v>55</v>
      </c>
      <c r="C179" s="4" t="s">
        <v>142</v>
      </c>
      <c r="D179" s="24" t="s">
        <v>141</v>
      </c>
      <c r="E179" s="343" t="e">
        <f>INDEX('PY1 Data(H)'!$A$1:$CZ$260,MATCH('Unit Data from Audit Worksheet'!$A179,'PY1 Data(H)'!$A$1:$A$260,0),MATCH('Unit Data from Audit Worksheet'!$D$2,'PY1 Data(H)'!$A$1:$CZ$1,0))</f>
        <v>#N/A</v>
      </c>
      <c r="F179" s="182">
        <v>0</v>
      </c>
      <c r="G179" s="375">
        <f>IF(F179&lt;0,"Error: Enter as positive.",)</f>
        <v>0</v>
      </c>
      <c r="H179" s="859"/>
      <c r="I179" s="859"/>
      <c r="J179" s="173"/>
      <c r="K179" s="551"/>
    </row>
    <row r="180" spans="1:11" ht="83.4" customHeight="1" x14ac:dyDescent="0.3">
      <c r="A180" s="98">
        <v>987</v>
      </c>
      <c r="B180" s="345" t="s">
        <v>540</v>
      </c>
      <c r="C180" s="345"/>
      <c r="D180" s="19" t="s">
        <v>579</v>
      </c>
      <c r="E180" s="343" t="e">
        <f>INDEX('PY1 Data(H)'!$A$1:$CZ$260,MATCH('Unit Data from Audit Worksheet'!$A180,'PY1 Data(H)'!$A$1:$A$260,0),MATCH('Unit Data from Audit Worksheet'!$D$2,'PY1 Data(H)'!$A$1:$CZ$1,0))</f>
        <v>#N/A</v>
      </c>
      <c r="F180" s="182">
        <v>0</v>
      </c>
      <c r="G180" s="387" t="str">
        <f>IF(F180="","If this question is not applicable please place a zero in the cell to the left","")</f>
        <v/>
      </c>
      <c r="H180" s="872"/>
      <c r="I180" s="859"/>
      <c r="J180" s="173"/>
      <c r="K180" s="551"/>
    </row>
    <row r="181" spans="1:11" x14ac:dyDescent="0.3">
      <c r="A181" s="98"/>
      <c r="B181" s="457"/>
      <c r="C181" s="457"/>
      <c r="D181" s="467"/>
      <c r="E181" s="468"/>
      <c r="F181" s="469"/>
      <c r="G181" s="470"/>
      <c r="H181" s="859"/>
      <c r="I181" s="859"/>
      <c r="J181" s="173"/>
      <c r="K181" s="551"/>
    </row>
    <row r="182" spans="1:11" ht="93" customHeight="1" x14ac:dyDescent="0.3">
      <c r="A182" s="98"/>
      <c r="B182" s="664"/>
      <c r="C182" s="664"/>
      <c r="D182" s="388" t="s">
        <v>689</v>
      </c>
      <c r="E182" s="1"/>
      <c r="F182" s="239"/>
      <c r="G182" s="379"/>
      <c r="H182" s="859"/>
      <c r="I182" s="859"/>
      <c r="J182" s="173"/>
      <c r="K182" s="551"/>
    </row>
    <row r="183" spans="1:11" ht="48.75" customHeight="1" x14ac:dyDescent="0.3">
      <c r="A183" s="98"/>
      <c r="B183" s="664"/>
      <c r="C183" s="664"/>
      <c r="D183" s="19" t="s">
        <v>690</v>
      </c>
      <c r="E183" s="1"/>
      <c r="F183" s="239"/>
      <c r="G183" s="379"/>
      <c r="H183" s="859"/>
      <c r="I183" s="859"/>
      <c r="J183" s="173"/>
      <c r="K183" s="551"/>
    </row>
    <row r="184" spans="1:11" ht="51.75" customHeight="1" x14ac:dyDescent="0.3">
      <c r="A184" s="98">
        <v>327</v>
      </c>
      <c r="B184" s="345" t="s">
        <v>36</v>
      </c>
      <c r="C184" s="345" t="s">
        <v>143</v>
      </c>
      <c r="D184" s="389" t="s">
        <v>691</v>
      </c>
      <c r="E184" s="343" t="e">
        <f>INDEX('PY1 Data(H)'!$A$1:$CZ$260,MATCH('Unit Data from Audit Worksheet'!$A184,'PY1 Data(H)'!$A$1:$A$260,0),MATCH('Unit Data from Audit Worksheet'!$D$2,'PY1 Data(H)'!$A$1:$CZ$1,0))</f>
        <v>#N/A</v>
      </c>
      <c r="F184" s="890">
        <v>0</v>
      </c>
      <c r="G184" s="379"/>
      <c r="H184" s="859"/>
      <c r="I184" s="858"/>
      <c r="J184" s="743"/>
      <c r="K184" s="551"/>
    </row>
    <row r="185" spans="1:11" ht="51.75" customHeight="1" x14ac:dyDescent="0.3">
      <c r="A185" s="98">
        <v>328</v>
      </c>
      <c r="B185" s="345" t="s">
        <v>36</v>
      </c>
      <c r="C185" s="345" t="s">
        <v>143</v>
      </c>
      <c r="D185" s="25" t="s">
        <v>7</v>
      </c>
      <c r="E185" s="343" t="e">
        <f>INDEX('PY1 Data(H)'!$A$1:$CZ$260,MATCH('Unit Data from Audit Worksheet'!$A185,'PY1 Data(H)'!$A$1:$A$260,0),MATCH('Unit Data from Audit Worksheet'!$D$2,'PY1 Data(H)'!$A$1:$CZ$1,0))</f>
        <v>#N/A</v>
      </c>
      <c r="F185" s="890">
        <v>0</v>
      </c>
      <c r="G185" s="379"/>
      <c r="H185" s="859"/>
      <c r="I185" s="858"/>
      <c r="J185" s="743"/>
      <c r="K185" s="551"/>
    </row>
    <row r="186" spans="1:11" ht="42" customHeight="1" x14ac:dyDescent="0.3">
      <c r="A186" s="98"/>
      <c r="B186" s="664"/>
      <c r="C186" s="664"/>
      <c r="D186" s="26" t="s">
        <v>692</v>
      </c>
      <c r="E186" s="91" t="e">
        <f>E184+E185</f>
        <v>#N/A</v>
      </c>
      <c r="F186" s="892">
        <f>SUM(F184:F185)</f>
        <v>0</v>
      </c>
      <c r="G186" s="379"/>
      <c r="H186" s="859"/>
      <c r="I186" s="859"/>
      <c r="J186" s="743"/>
      <c r="K186" s="551"/>
    </row>
    <row r="187" spans="1:11" ht="28.8" x14ac:dyDescent="0.3">
      <c r="A187" s="98"/>
      <c r="B187" s="664"/>
      <c r="C187" s="664"/>
      <c r="D187" s="19" t="s">
        <v>693</v>
      </c>
      <c r="E187" s="1"/>
      <c r="F187" s="239"/>
      <c r="G187" s="379"/>
      <c r="H187" s="859"/>
      <c r="I187" s="859"/>
      <c r="J187" s="173"/>
      <c r="K187" s="551"/>
    </row>
    <row r="188" spans="1:11" ht="24" customHeight="1" x14ac:dyDescent="0.3">
      <c r="A188" s="98"/>
      <c r="B188" s="664"/>
      <c r="C188" s="664"/>
      <c r="D188" s="23" t="s">
        <v>9</v>
      </c>
      <c r="F188" s="390"/>
      <c r="G188" s="379"/>
      <c r="H188" s="859"/>
      <c r="I188" s="859"/>
      <c r="J188" s="173"/>
      <c r="K188" s="551"/>
    </row>
    <row r="189" spans="1:11" ht="64.8" customHeight="1" x14ac:dyDescent="0.3">
      <c r="A189" s="98">
        <v>515</v>
      </c>
      <c r="B189" s="840" t="s">
        <v>1702</v>
      </c>
      <c r="C189" s="345" t="s">
        <v>144</v>
      </c>
      <c r="D189" s="27" t="s">
        <v>3</v>
      </c>
      <c r="E189" s="343" t="e">
        <f>INDEX('PY1 Data(H)'!$A$1:$CZ$260,MATCH('Unit Data from Audit Worksheet'!$A189,'PY1 Data(H)'!$A$1:$A$260,0),MATCH('Unit Data from Audit Worksheet'!$D$2,'PY1 Data(H)'!$A$1:$CZ$1,0))</f>
        <v>#N/A</v>
      </c>
      <c r="F189" s="182">
        <v>0</v>
      </c>
      <c r="G189" s="375"/>
      <c r="H189" s="859"/>
      <c r="I189" s="859"/>
      <c r="J189" s="743"/>
      <c r="K189" s="551"/>
    </row>
    <row r="190" spans="1:11" ht="64.8" customHeight="1" x14ac:dyDescent="0.3">
      <c r="A190" s="98">
        <v>516</v>
      </c>
      <c r="B190" s="840" t="s">
        <v>1702</v>
      </c>
      <c r="C190" s="345" t="s">
        <v>144</v>
      </c>
      <c r="D190" s="27" t="s">
        <v>4</v>
      </c>
      <c r="E190" s="343" t="e">
        <f>INDEX('PY1 Data(H)'!$A$1:$CZ$260,MATCH('Unit Data from Audit Worksheet'!$A190,'PY1 Data(H)'!$A$1:$A$260,0),MATCH('Unit Data from Audit Worksheet'!$D$2,'PY1 Data(H)'!$A$1:$CZ$1,0))</f>
        <v>#N/A</v>
      </c>
      <c r="F190" s="182">
        <v>0</v>
      </c>
      <c r="G190" s="375"/>
      <c r="H190" s="859"/>
      <c r="I190" s="859"/>
      <c r="J190" s="743"/>
      <c r="K190" s="551"/>
    </row>
    <row r="191" spans="1:11" ht="64.8" customHeight="1" x14ac:dyDescent="0.3">
      <c r="A191" s="98">
        <v>517</v>
      </c>
      <c r="B191" s="840" t="s">
        <v>1702</v>
      </c>
      <c r="C191" s="345" t="s">
        <v>144</v>
      </c>
      <c r="D191" s="27" t="s">
        <v>5</v>
      </c>
      <c r="E191" s="343" t="e">
        <f>INDEX('PY1 Data(H)'!$A$1:$CZ$260,MATCH('Unit Data from Audit Worksheet'!$A191,'PY1 Data(H)'!$A$1:$A$260,0),MATCH('Unit Data from Audit Worksheet'!$D$2,'PY1 Data(H)'!$A$1:$CZ$1,0))</f>
        <v>#N/A</v>
      </c>
      <c r="F191" s="182">
        <v>0</v>
      </c>
      <c r="G191" s="375"/>
      <c r="H191" s="859"/>
      <c r="I191" s="859"/>
      <c r="J191" s="173"/>
      <c r="K191" s="551"/>
    </row>
    <row r="192" spans="1:11" ht="64.8" customHeight="1" x14ac:dyDescent="0.3">
      <c r="A192" s="98">
        <v>518</v>
      </c>
      <c r="B192" s="840" t="s">
        <v>1702</v>
      </c>
      <c r="C192" s="345" t="s">
        <v>144</v>
      </c>
      <c r="D192" s="27" t="s">
        <v>38</v>
      </c>
      <c r="E192" s="343" t="e">
        <f>INDEX('PY1 Data(H)'!$A$1:$CZ$260,MATCH('Unit Data from Audit Worksheet'!$A192,'PY1 Data(H)'!$A$1:$A$260,0),MATCH('Unit Data from Audit Worksheet'!$D$2,'PY1 Data(H)'!$A$1:$CZ$1,0))</f>
        <v>#N/A</v>
      </c>
      <c r="F192" s="182">
        <v>0</v>
      </c>
      <c r="G192" s="375"/>
      <c r="H192" s="859"/>
      <c r="I192" s="859"/>
      <c r="J192" s="743"/>
      <c r="K192" s="551"/>
    </row>
    <row r="193" spans="1:11" ht="51" customHeight="1" x14ac:dyDescent="0.3">
      <c r="A193" s="184"/>
      <c r="B193" s="664"/>
      <c r="C193" s="664"/>
      <c r="D193" s="391" t="s">
        <v>694</v>
      </c>
      <c r="E193" s="91" t="e">
        <f>E189+E190+E191+E192</f>
        <v>#N/A</v>
      </c>
      <c r="F193" s="892">
        <f>SUM(F189:F192)</f>
        <v>0</v>
      </c>
      <c r="G193" s="379"/>
      <c r="H193" s="859"/>
      <c r="I193" s="859"/>
      <c r="J193" s="743"/>
      <c r="K193" s="551"/>
    </row>
    <row r="194" spans="1:11" ht="30.75" customHeight="1" x14ac:dyDescent="0.3">
      <c r="A194" s="98"/>
      <c r="B194" s="664"/>
      <c r="C194" s="664"/>
      <c r="D194" s="23" t="s">
        <v>47</v>
      </c>
      <c r="E194" s="1"/>
      <c r="F194" s="239"/>
      <c r="G194" s="379"/>
      <c r="H194" s="859"/>
      <c r="I194" s="859"/>
      <c r="J194" s="173"/>
      <c r="K194" s="551"/>
    </row>
    <row r="195" spans="1:11" ht="63" customHeight="1" x14ac:dyDescent="0.3">
      <c r="A195" s="98">
        <v>519</v>
      </c>
      <c r="B195" s="345" t="s">
        <v>36</v>
      </c>
      <c r="C195" s="345" t="s">
        <v>145</v>
      </c>
      <c r="D195" s="27" t="s">
        <v>14</v>
      </c>
      <c r="E195" s="343" t="e">
        <f>INDEX('PY1 Data(H)'!$A$1:$CZ$260,MATCH('Unit Data from Audit Worksheet'!$A195,'PY1 Data(H)'!$A$1:$A$260,0),MATCH('Unit Data from Audit Worksheet'!$D$2,'PY1 Data(H)'!$A$1:$CZ$1,0))</f>
        <v>#N/A</v>
      </c>
      <c r="F195" s="182">
        <v>0</v>
      </c>
      <c r="G195" s="375">
        <f>IF(F195&lt;0,"Error: Enter as positive.",)</f>
        <v>0</v>
      </c>
      <c r="H195" s="859"/>
      <c r="I195" s="859"/>
      <c r="J195" s="743"/>
      <c r="K195" s="551"/>
    </row>
    <row r="196" spans="1:11" ht="69.75" customHeight="1" x14ac:dyDescent="0.3">
      <c r="A196" s="98">
        <v>520</v>
      </c>
      <c r="B196" s="345" t="s">
        <v>36</v>
      </c>
      <c r="C196" s="345" t="s">
        <v>145</v>
      </c>
      <c r="D196" s="27" t="s">
        <v>16</v>
      </c>
      <c r="E196" s="343" t="e">
        <f>INDEX('PY1 Data(H)'!$A$1:$CZ$260,MATCH('Unit Data from Audit Worksheet'!$A196,'PY1 Data(H)'!$A$1:$A$260,0),MATCH('Unit Data from Audit Worksheet'!$D$2,'PY1 Data(H)'!$A$1:$CZ$1,0))</f>
        <v>#N/A</v>
      </c>
      <c r="F196" s="182">
        <v>0</v>
      </c>
      <c r="G196" s="375">
        <f>IF(F196&lt;0,"Error: Enter as positive.",)</f>
        <v>0</v>
      </c>
      <c r="H196" s="859"/>
      <c r="I196" s="859"/>
      <c r="J196" s="743"/>
      <c r="K196" s="551"/>
    </row>
    <row r="197" spans="1:11" ht="72" customHeight="1" x14ac:dyDescent="0.3">
      <c r="A197" s="98">
        <v>521</v>
      </c>
      <c r="B197" s="345" t="s">
        <v>36</v>
      </c>
      <c r="C197" s="345" t="s">
        <v>145</v>
      </c>
      <c r="D197" s="27" t="s">
        <v>18</v>
      </c>
      <c r="E197" s="343" t="e">
        <f>INDEX('PY1 Data(H)'!$A$1:$CZ$260,MATCH('Unit Data from Audit Worksheet'!$A197,'PY1 Data(H)'!$A$1:$A$260,0),MATCH('Unit Data from Audit Worksheet'!$D$2,'PY1 Data(H)'!$A$1:$CZ$1,0))</f>
        <v>#N/A</v>
      </c>
      <c r="F197" s="182">
        <v>0</v>
      </c>
      <c r="G197" s="375">
        <f>IF(F197&lt;0,"Error: Enter as positive.",)</f>
        <v>0</v>
      </c>
      <c r="H197" s="859"/>
      <c r="I197" s="859"/>
      <c r="J197" s="173"/>
      <c r="K197" s="551"/>
    </row>
    <row r="198" spans="1:11" ht="74.25" customHeight="1" x14ac:dyDescent="0.3">
      <c r="A198" s="98">
        <v>522</v>
      </c>
      <c r="B198" s="345" t="s">
        <v>36</v>
      </c>
      <c r="C198" s="345" t="s">
        <v>145</v>
      </c>
      <c r="D198" s="27" t="s">
        <v>39</v>
      </c>
      <c r="E198" s="343" t="e">
        <f>INDEX('PY1 Data(H)'!$A$1:$CZ$260,MATCH('Unit Data from Audit Worksheet'!$A198,'PY1 Data(H)'!$A$1:$A$260,0),MATCH('Unit Data from Audit Worksheet'!$D$2,'PY1 Data(H)'!$A$1:$CZ$1,0))</f>
        <v>#N/A</v>
      </c>
      <c r="F198" s="182">
        <v>0</v>
      </c>
      <c r="G198" s="375">
        <f>IF(F198&lt;0,"Error: Enter as positive.",)</f>
        <v>0</v>
      </c>
      <c r="H198" s="859"/>
      <c r="I198" s="859"/>
      <c r="J198" s="743"/>
      <c r="K198" s="551"/>
    </row>
    <row r="199" spans="1:11" ht="31.5" customHeight="1" x14ac:dyDescent="0.3">
      <c r="A199" s="6"/>
      <c r="B199" s="664"/>
      <c r="C199" s="664"/>
      <c r="D199" s="392" t="s">
        <v>33</v>
      </c>
      <c r="E199" s="91" t="e">
        <f>E195+E196+E197+E198</f>
        <v>#N/A</v>
      </c>
      <c r="F199" s="892">
        <f>SUM(F195:F198)</f>
        <v>0</v>
      </c>
      <c r="G199" s="119"/>
      <c r="H199" s="859"/>
      <c r="I199" s="859"/>
      <c r="J199" s="743"/>
      <c r="K199" s="551"/>
    </row>
    <row r="200" spans="1:11" ht="26.25" customHeight="1" x14ac:dyDescent="0.3">
      <c r="A200" s="6"/>
      <c r="B200" s="664"/>
      <c r="C200" s="664"/>
      <c r="D200" s="23" t="s">
        <v>31</v>
      </c>
      <c r="E200" s="6"/>
      <c r="F200" s="393"/>
      <c r="G200" s="119"/>
      <c r="H200" s="859"/>
      <c r="I200" s="859"/>
      <c r="J200" s="173"/>
      <c r="K200" s="551"/>
    </row>
    <row r="201" spans="1:11" ht="89.25" customHeight="1" x14ac:dyDescent="0.3">
      <c r="A201" s="98">
        <v>523</v>
      </c>
      <c r="B201" s="840" t="s">
        <v>1702</v>
      </c>
      <c r="C201" s="345" t="s">
        <v>146</v>
      </c>
      <c r="D201" s="27" t="s">
        <v>15</v>
      </c>
      <c r="E201" s="343" t="e">
        <f>INDEX('PY1 Data(H)'!$A$1:$CZ$260,MATCH('Unit Data from Audit Worksheet'!$A201,'PY1 Data(H)'!$A$1:$A$260,0),MATCH('Unit Data from Audit Worksheet'!$D$2,'PY1 Data(H)'!$A$1:$CZ$1,0))</f>
        <v>#N/A</v>
      </c>
      <c r="F201" s="182">
        <v>0</v>
      </c>
      <c r="G201" s="375">
        <f>IF(F201&lt;0,"Error: Enter as positive.",)</f>
        <v>0</v>
      </c>
      <c r="H201" s="859"/>
      <c r="I201" s="859"/>
      <c r="J201" s="743"/>
      <c r="K201" s="551"/>
    </row>
    <row r="202" spans="1:11" ht="75" customHeight="1" x14ac:dyDescent="0.3">
      <c r="A202" s="98">
        <v>524</v>
      </c>
      <c r="B202" s="840" t="s">
        <v>1702</v>
      </c>
      <c r="C202" s="345" t="s">
        <v>146</v>
      </c>
      <c r="D202" s="27" t="s">
        <v>17</v>
      </c>
      <c r="E202" s="343" t="e">
        <f>INDEX('PY1 Data(H)'!$A$1:$CZ$260,MATCH('Unit Data from Audit Worksheet'!$A202,'PY1 Data(H)'!$A$1:$A$260,0),MATCH('Unit Data from Audit Worksheet'!$D$2,'PY1 Data(H)'!$A$1:$CZ$1,0))</f>
        <v>#N/A</v>
      </c>
      <c r="F202" s="182">
        <v>0</v>
      </c>
      <c r="G202" s="375">
        <f>IF(F202&lt;0,"Error: Enter as positive.",)</f>
        <v>0</v>
      </c>
      <c r="H202" s="859"/>
      <c r="I202" s="859"/>
      <c r="J202" s="743"/>
      <c r="K202" s="551"/>
    </row>
    <row r="203" spans="1:11" ht="75" customHeight="1" x14ac:dyDescent="0.3">
      <c r="A203" s="98">
        <v>525</v>
      </c>
      <c r="B203" s="840" t="s">
        <v>1702</v>
      </c>
      <c r="C203" s="345" t="s">
        <v>146</v>
      </c>
      <c r="D203" s="27" t="s">
        <v>19</v>
      </c>
      <c r="E203" s="343" t="e">
        <f>INDEX('PY1 Data(H)'!$A$1:$CZ$260,MATCH('Unit Data from Audit Worksheet'!$A203,'PY1 Data(H)'!$A$1:$A$260,0),MATCH('Unit Data from Audit Worksheet'!$D$2,'PY1 Data(H)'!$A$1:$CZ$1,0))</f>
        <v>#N/A</v>
      </c>
      <c r="F203" s="182">
        <v>0</v>
      </c>
      <c r="G203" s="375">
        <f>IF(F203&lt;0,"Error: Enter as positive.",)</f>
        <v>0</v>
      </c>
      <c r="H203" s="859"/>
      <c r="I203" s="859"/>
      <c r="J203" s="173"/>
      <c r="K203" s="551"/>
    </row>
    <row r="204" spans="1:11" ht="76.5" customHeight="1" x14ac:dyDescent="0.3">
      <c r="A204" s="98">
        <v>526</v>
      </c>
      <c r="B204" s="840" t="s">
        <v>1702</v>
      </c>
      <c r="C204" s="345" t="s">
        <v>146</v>
      </c>
      <c r="D204" s="27" t="s">
        <v>40</v>
      </c>
      <c r="E204" s="343" t="e">
        <f>INDEX('PY1 Data(H)'!$A$1:$CZ$260,MATCH('Unit Data from Audit Worksheet'!$A204,'PY1 Data(H)'!$A$1:$A$260,0),MATCH('Unit Data from Audit Worksheet'!$D$2,'PY1 Data(H)'!$A$1:$CZ$1,0))</f>
        <v>#N/A</v>
      </c>
      <c r="F204" s="182">
        <v>0</v>
      </c>
      <c r="G204" s="375">
        <f>IF(F204&lt;0,"Error: Enter as positive.",)</f>
        <v>0</v>
      </c>
      <c r="H204" s="859"/>
      <c r="I204" s="859"/>
      <c r="J204" s="743"/>
      <c r="K204" s="551"/>
    </row>
    <row r="205" spans="1:11" ht="24.75" customHeight="1" x14ac:dyDescent="0.3">
      <c r="A205" s="98"/>
      <c r="B205" s="665"/>
      <c r="C205" s="665"/>
      <c r="D205" s="392" t="s">
        <v>32</v>
      </c>
      <c r="E205" s="91" t="e">
        <f>E201+E202+E203+E204</f>
        <v>#N/A</v>
      </c>
      <c r="F205" s="892">
        <f>SUM(F201:F204)</f>
        <v>0</v>
      </c>
      <c r="G205" s="379"/>
      <c r="H205" s="859"/>
      <c r="I205" s="859"/>
      <c r="J205" s="743"/>
      <c r="K205" s="551"/>
    </row>
    <row r="206" spans="1:11" ht="61.5" customHeight="1" x14ac:dyDescent="0.3">
      <c r="A206" s="98"/>
      <c r="B206" s="665"/>
      <c r="C206" s="665"/>
      <c r="D206" s="394" t="s">
        <v>34</v>
      </c>
      <c r="E206" s="91" t="e">
        <f>E186+E193-E205</f>
        <v>#N/A</v>
      </c>
      <c r="F206" s="892">
        <f>F186+F193-F205</f>
        <v>0</v>
      </c>
      <c r="G206" s="379"/>
      <c r="H206" s="859"/>
      <c r="I206" s="859"/>
      <c r="J206" s="743"/>
      <c r="K206" s="551"/>
    </row>
    <row r="207" spans="1:11" ht="21.6" customHeight="1" x14ac:dyDescent="0.3">
      <c r="A207" s="98"/>
      <c r="B207" s="664"/>
      <c r="C207" s="664"/>
      <c r="D207" s="386"/>
      <c r="E207" s="1"/>
      <c r="F207" s="239"/>
      <c r="G207" s="379"/>
      <c r="H207" s="859"/>
      <c r="I207" s="859"/>
      <c r="J207" s="173"/>
      <c r="K207" s="551"/>
    </row>
    <row r="208" spans="1:11" ht="34.5" customHeight="1" x14ac:dyDescent="0.3">
      <c r="A208" s="98"/>
      <c r="B208" s="457"/>
      <c r="C208" s="457"/>
      <c r="D208" s="458" t="s">
        <v>8</v>
      </c>
      <c r="E208" s="468"/>
      <c r="F208" s="469"/>
      <c r="G208" s="470"/>
      <c r="H208" s="859"/>
      <c r="I208" s="859"/>
      <c r="J208" s="173"/>
      <c r="K208" s="551"/>
    </row>
    <row r="209" spans="1:1880" ht="55.5" customHeight="1" x14ac:dyDescent="0.3">
      <c r="A209" s="98">
        <v>527</v>
      </c>
      <c r="B209" s="345" t="s">
        <v>57</v>
      </c>
      <c r="C209" s="345" t="s">
        <v>147</v>
      </c>
      <c r="D209" s="24" t="s">
        <v>695</v>
      </c>
      <c r="E209" s="343" t="e">
        <f>INDEX('PY1 Data(H)'!$A$1:$CZ$260,MATCH('Unit Data from Audit Worksheet'!$A209,'PY1 Data(H)'!$A$1:$A$260,0),MATCH('Unit Data from Audit Worksheet'!$D$2,'PY1 Data(H)'!$A$1:$CZ$1,0))</f>
        <v>#N/A</v>
      </c>
      <c r="F209" s="182">
        <v>0</v>
      </c>
      <c r="G209" s="379"/>
      <c r="H209" s="859"/>
      <c r="I209" s="858"/>
      <c r="J209" s="173"/>
      <c r="K209" s="551"/>
    </row>
    <row r="210" spans="1:1880" ht="55.5" customHeight="1" x14ac:dyDescent="0.3">
      <c r="A210" s="98">
        <v>356</v>
      </c>
      <c r="B210" s="345" t="s">
        <v>65</v>
      </c>
      <c r="C210" s="345" t="s">
        <v>147</v>
      </c>
      <c r="D210" s="97" t="s">
        <v>20</v>
      </c>
      <c r="E210" s="343" t="e">
        <f>INDEX('PY1 Data(H)'!$A$1:$CZ$260,MATCH('Unit Data from Audit Worksheet'!$A210,'PY1 Data(H)'!$A$1:$A$260,0),MATCH('Unit Data from Audit Worksheet'!$D$2,'PY1 Data(H)'!$A$1:$CZ$1,0))</f>
        <v>#N/A</v>
      </c>
      <c r="F210" s="182">
        <v>0</v>
      </c>
      <c r="G210" s="379"/>
      <c r="H210" s="859"/>
      <c r="I210" s="858"/>
      <c r="J210" s="173"/>
      <c r="K210" s="551"/>
    </row>
    <row r="211" spans="1:1880" ht="55.5" customHeight="1" x14ac:dyDescent="0.3">
      <c r="A211" s="98">
        <v>357</v>
      </c>
      <c r="B211" s="345" t="s">
        <v>55</v>
      </c>
      <c r="C211" s="345" t="s">
        <v>148</v>
      </c>
      <c r="D211" s="97" t="s">
        <v>21</v>
      </c>
      <c r="E211" s="343" t="e">
        <f>INDEX('PY1 Data(H)'!$A$1:$CZ$260,MATCH('Unit Data from Audit Worksheet'!$A211,'PY1 Data(H)'!$A$1:$A$260,0),MATCH('Unit Data from Audit Worksheet'!$D$2,'PY1 Data(H)'!$A$1:$CZ$1,0))</f>
        <v>#N/A</v>
      </c>
      <c r="F211" s="182">
        <v>0</v>
      </c>
      <c r="G211" s="375">
        <f>IF(F211&lt;0,"Error: Enter as positive.",)</f>
        <v>0</v>
      </c>
      <c r="H211" s="859"/>
      <c r="I211" s="858"/>
      <c r="J211" s="173"/>
      <c r="K211" s="551"/>
    </row>
    <row r="212" spans="1:1880" s="18" customFormat="1" ht="35.25" customHeight="1" x14ac:dyDescent="0.3">
      <c r="A212" s="98"/>
      <c r="B212" s="456" t="s">
        <v>10</v>
      </c>
      <c r="C212" s="457"/>
      <c r="D212" s="432"/>
      <c r="E212" s="433"/>
      <c r="F212" s="471"/>
      <c r="G212" s="453"/>
      <c r="H212" s="859"/>
      <c r="I212" s="859"/>
      <c r="J212" s="173"/>
      <c r="K212" s="551"/>
      <c r="L212"/>
      <c r="N212" s="183"/>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row>
    <row r="213" spans="1:1880" s="18" customFormat="1" ht="273.75" customHeight="1" x14ac:dyDescent="0.3">
      <c r="A213" s="98">
        <v>337</v>
      </c>
      <c r="B213" s="4" t="s">
        <v>55</v>
      </c>
      <c r="C213" s="4" t="s">
        <v>696</v>
      </c>
      <c r="D213" s="19" t="s">
        <v>580</v>
      </c>
      <c r="E213" s="343" t="e">
        <f>INDEX('PY1 Data(H)'!$A$1:$CZ$260,MATCH('Unit Data from Audit Worksheet'!$A213,'PY1 Data(H)'!$A$1:$A$260,0),MATCH('Unit Data from Audit Worksheet'!$D$2,'PY1 Data(H)'!$A$1:$CZ$1,0))</f>
        <v>#N/A</v>
      </c>
      <c r="F213" s="182">
        <v>0</v>
      </c>
      <c r="G213" s="375">
        <f>IF(F213&lt;0,"Error: Enter as positive.",)</f>
        <v>0</v>
      </c>
      <c r="H213" s="859"/>
      <c r="I213" s="859"/>
      <c r="J213" s="173"/>
      <c r="K213" s="551"/>
      <c r="L213"/>
      <c r="N213" s="18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row>
    <row r="214" spans="1:1880" s="18" customFormat="1" ht="81.75" customHeight="1" x14ac:dyDescent="0.3">
      <c r="A214" s="98">
        <v>343</v>
      </c>
      <c r="B214" s="4" t="s">
        <v>55</v>
      </c>
      <c r="C214" s="4" t="s">
        <v>314</v>
      </c>
      <c r="D214" s="24" t="s">
        <v>697</v>
      </c>
      <c r="E214" s="343" t="e">
        <f>INDEX('PY1 Data(H)'!$A$1:$CZ$260,MATCH('Unit Data from Audit Worksheet'!$A214,'PY1 Data(H)'!$A$1:$A$260,0),MATCH('Unit Data from Audit Worksheet'!$D$2,'PY1 Data(H)'!$A$1:$CZ$1,0))</f>
        <v>#N/A</v>
      </c>
      <c r="F214" s="182">
        <v>0</v>
      </c>
      <c r="G214" s="375">
        <f>IF(F214&lt;0,"Error: Enter as positive.",)</f>
        <v>0</v>
      </c>
      <c r="H214" s="859"/>
      <c r="I214" s="859"/>
      <c r="J214" s="173"/>
      <c r="K214" s="551"/>
      <c r="L214"/>
      <c r="M214" s="89"/>
      <c r="N214" s="183"/>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row>
    <row r="215" spans="1:1880" ht="274.5" customHeight="1" x14ac:dyDescent="0.3">
      <c r="A215" s="98">
        <v>82</v>
      </c>
      <c r="B215" s="4" t="s">
        <v>60</v>
      </c>
      <c r="C215" s="4" t="s">
        <v>698</v>
      </c>
      <c r="D215" s="19" t="s">
        <v>421</v>
      </c>
      <c r="E215" s="343" t="e">
        <f>INDEX('PY1 Data(H)'!$A$1:$CZ$260,MATCH('Unit Data from Audit Worksheet'!$A215,'PY1 Data(H)'!$A$1:$A$260,0),MATCH('Unit Data from Audit Worksheet'!$D$2,'PY1 Data(H)'!$A$1:$CZ$1,0))</f>
        <v>#N/A</v>
      </c>
      <c r="F215" s="182">
        <v>0</v>
      </c>
      <c r="G215" s="375">
        <f>IF(F215&lt;0,"Error: Enter as positive.",)</f>
        <v>0</v>
      </c>
      <c r="H215" s="859"/>
      <c r="I215" s="859"/>
      <c r="J215" s="743"/>
      <c r="K215" s="551"/>
    </row>
    <row r="216" spans="1:1880" ht="270.75" customHeight="1" x14ac:dyDescent="0.3">
      <c r="A216" s="98">
        <v>359</v>
      </c>
      <c r="B216" s="4" t="s">
        <v>55</v>
      </c>
      <c r="C216" s="4" t="s">
        <v>699</v>
      </c>
      <c r="D216" s="19" t="s">
        <v>421</v>
      </c>
      <c r="E216" s="343" t="e">
        <f>INDEX('PY1 Data(H)'!$A$1:$CZ$260,MATCH('Unit Data from Audit Worksheet'!$A216,'PY1 Data(H)'!$A$1:$A$260,0),MATCH('Unit Data from Audit Worksheet'!$D$2,'PY1 Data(H)'!$A$1:$CZ$1,0))</f>
        <v>#N/A</v>
      </c>
      <c r="F216" s="182">
        <v>0</v>
      </c>
      <c r="G216" s="375">
        <f>IF(F216&lt;0,"Error: Enter as positive.",)</f>
        <v>0</v>
      </c>
      <c r="H216" s="859"/>
      <c r="I216" s="859"/>
      <c r="J216" s="173"/>
      <c r="K216" s="551"/>
    </row>
    <row r="217" spans="1:1880" s="396" customFormat="1" ht="33" customHeight="1" x14ac:dyDescent="0.3">
      <c r="A217" s="98"/>
      <c r="B217" s="424" t="s">
        <v>331</v>
      </c>
      <c r="C217" s="425"/>
      <c r="D217" s="87"/>
      <c r="E217" s="395"/>
      <c r="F217" s="384"/>
      <c r="G217" s="374"/>
      <c r="H217" s="859"/>
      <c r="I217" s="859"/>
      <c r="J217" s="173"/>
      <c r="K217" s="551"/>
      <c r="L217"/>
      <c r="M217" s="18"/>
      <c r="N217" s="183"/>
      <c r="O217" s="18"/>
      <c r="P217" s="18"/>
      <c r="Q217" s="18"/>
      <c r="R217" s="18"/>
      <c r="S217" s="18"/>
      <c r="T217" s="18"/>
      <c r="U217" s="18"/>
      <c r="V217" s="18"/>
      <c r="W217" s="18"/>
      <c r="X217" s="18"/>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s="18"/>
      <c r="DT217" s="18"/>
      <c r="DU217" s="18"/>
      <c r="DV217" s="18"/>
      <c r="DW217" s="18"/>
      <c r="DX217" s="18"/>
      <c r="DY217" s="18"/>
      <c r="DZ217" s="18"/>
      <c r="EA217" s="18"/>
      <c r="EB217" s="18"/>
      <c r="EC217" s="18"/>
      <c r="ED217" s="18"/>
      <c r="EE217" s="18"/>
      <c r="EF217" s="18"/>
      <c r="EG217" s="18"/>
      <c r="EH217" s="18"/>
      <c r="EI217" s="18"/>
      <c r="EJ217" s="18"/>
      <c r="EK217" s="18"/>
      <c r="EL217" s="18"/>
      <c r="EM217" s="18"/>
      <c r="EN217" s="18"/>
      <c r="EO217" s="18"/>
      <c r="EP217" s="18"/>
      <c r="EQ217" s="18"/>
      <c r="ER217" s="18"/>
      <c r="ES217" s="18"/>
      <c r="ET217" s="18"/>
      <c r="EU217" s="18"/>
      <c r="EV217" s="18"/>
      <c r="EW217" s="18"/>
      <c r="EX217" s="18"/>
      <c r="EY217" s="18"/>
      <c r="EZ217" s="18"/>
      <c r="FA217" s="18"/>
      <c r="FB217" s="18"/>
      <c r="FC217" s="18"/>
      <c r="FD217" s="18"/>
      <c r="FE217" s="18"/>
      <c r="FF217" s="18"/>
      <c r="FG217" s="18"/>
      <c r="FH217" s="18"/>
      <c r="FI217" s="18"/>
      <c r="FJ217" s="18"/>
      <c r="FK217" s="18"/>
      <c r="FL217" s="18"/>
      <c r="FM217" s="18"/>
      <c r="FN217" s="18"/>
      <c r="FO217" s="18"/>
      <c r="FP217" s="18"/>
      <c r="FQ217" s="18"/>
      <c r="FR217" s="18"/>
      <c r="FS217" s="18"/>
      <c r="FT217" s="18"/>
      <c r="FU217" s="18"/>
      <c r="FV217" s="18"/>
      <c r="FW217" s="18"/>
      <c r="FX217" s="18"/>
      <c r="FY217" s="18"/>
      <c r="FZ217" s="18"/>
      <c r="GA217" s="18"/>
      <c r="GB217" s="18"/>
      <c r="GC217" s="18"/>
      <c r="GD217" s="18"/>
      <c r="GE217" s="18"/>
      <c r="GF217" s="18"/>
      <c r="GG217" s="18"/>
      <c r="GH217" s="18"/>
      <c r="GI217" s="18"/>
      <c r="GJ217" s="18"/>
      <c r="GK217" s="18"/>
      <c r="GL217" s="18"/>
      <c r="GM217" s="18"/>
      <c r="GN217" s="18"/>
      <c r="GO217" s="18"/>
      <c r="GP217" s="18"/>
      <c r="GQ217" s="18"/>
      <c r="GR217" s="18"/>
      <c r="GS217" s="18"/>
      <c r="GT217" s="18"/>
      <c r="GU217" s="18"/>
      <c r="GV217" s="18"/>
      <c r="GW217" s="18"/>
      <c r="GX217" s="18"/>
      <c r="GY217" s="18"/>
      <c r="GZ217" s="18"/>
      <c r="HA217" s="18"/>
      <c r="HB217" s="18"/>
      <c r="HC217" s="18"/>
      <c r="HD217" s="18"/>
      <c r="HE217" s="18"/>
      <c r="HF217" s="18"/>
      <c r="HG217" s="18"/>
      <c r="HH217" s="18"/>
      <c r="HI217" s="18"/>
      <c r="HJ217" s="18"/>
      <c r="HK217" s="18"/>
      <c r="HL217" s="18"/>
      <c r="HM217" s="18"/>
      <c r="HN217" s="18"/>
      <c r="HO217" s="18"/>
      <c r="HP217" s="18"/>
      <c r="HQ217" s="18"/>
      <c r="HR217" s="18"/>
      <c r="HS217" s="18"/>
      <c r="HT217" s="18"/>
      <c r="HU217" s="18"/>
      <c r="HV217" s="18"/>
      <c r="HW217" s="18"/>
      <c r="HX217" s="18"/>
      <c r="HY217" s="18"/>
      <c r="HZ217" s="18"/>
      <c r="IA217" s="18"/>
      <c r="IB217" s="18"/>
      <c r="IC217" s="18"/>
      <c r="ID217" s="18"/>
      <c r="IE217" s="18"/>
      <c r="IF217" s="18"/>
      <c r="IG217" s="18"/>
      <c r="IH217" s="18"/>
      <c r="II217" s="18"/>
      <c r="IJ217" s="18"/>
      <c r="IK217" s="18"/>
      <c r="IL217" s="18"/>
      <c r="IM217" s="18"/>
      <c r="IN217" s="18"/>
      <c r="IO217" s="18"/>
      <c r="IP217" s="18"/>
      <c r="IQ217" s="18"/>
      <c r="IR217" s="18"/>
      <c r="IS217" s="18"/>
      <c r="IT217" s="18"/>
      <c r="IU217" s="18"/>
      <c r="IV217" s="18"/>
      <c r="IW217" s="18"/>
      <c r="IX217" s="18"/>
      <c r="IY217" s="18"/>
      <c r="IZ217" s="18"/>
      <c r="JA217" s="18"/>
      <c r="JB217" s="18"/>
      <c r="JC217" s="18"/>
      <c r="JD217" s="18"/>
      <c r="JE217" s="18"/>
      <c r="JF217" s="18"/>
      <c r="JG217" s="18"/>
      <c r="JH217" s="18"/>
      <c r="JI217" s="18"/>
      <c r="JJ217" s="18"/>
      <c r="JK217" s="18"/>
      <c r="JL217" s="18"/>
      <c r="JM217" s="18"/>
      <c r="JN217" s="18"/>
      <c r="JO217" s="18"/>
      <c r="JP217" s="18"/>
      <c r="JQ217" s="18"/>
      <c r="JR217" s="18"/>
      <c r="JS217" s="18"/>
      <c r="JT217" s="18"/>
      <c r="JU217" s="18"/>
      <c r="JV217" s="18"/>
      <c r="JW217" s="18"/>
      <c r="JX217" s="18"/>
      <c r="JY217" s="18"/>
      <c r="JZ217" s="18"/>
      <c r="KA217" s="18"/>
      <c r="KB217" s="18"/>
      <c r="KC217" s="18"/>
      <c r="KD217" s="18"/>
      <c r="KE217" s="18"/>
      <c r="KF217" s="18"/>
      <c r="KG217" s="18"/>
      <c r="KH217" s="18"/>
      <c r="KI217" s="18"/>
      <c r="KJ217" s="18"/>
      <c r="KK217" s="18"/>
      <c r="KL217" s="18"/>
      <c r="KM217" s="18"/>
      <c r="KN217" s="18"/>
      <c r="KO217" s="18"/>
      <c r="KP217" s="18"/>
      <c r="KQ217" s="18"/>
      <c r="KR217" s="18"/>
      <c r="KS217" s="18"/>
      <c r="KT217" s="18"/>
      <c r="KU217" s="18"/>
      <c r="KV217" s="18"/>
      <c r="KW217" s="18"/>
      <c r="KX217" s="18"/>
      <c r="KY217" s="18"/>
      <c r="KZ217" s="18"/>
      <c r="LA217" s="18"/>
      <c r="LB217" s="18"/>
      <c r="LC217" s="18"/>
      <c r="LD217" s="18"/>
      <c r="LE217" s="18"/>
      <c r="LF217" s="18"/>
      <c r="LG217" s="18"/>
      <c r="LH217" s="18"/>
      <c r="LI217" s="18"/>
      <c r="LJ217" s="18"/>
      <c r="LK217" s="18"/>
      <c r="LL217" s="18"/>
      <c r="LM217" s="18"/>
      <c r="LN217" s="18"/>
      <c r="LO217" s="18"/>
      <c r="LP217" s="18"/>
      <c r="LQ217" s="18"/>
      <c r="LR217" s="18"/>
      <c r="LS217" s="18"/>
      <c r="LT217" s="18"/>
      <c r="LU217" s="18"/>
      <c r="LV217" s="18"/>
      <c r="LW217" s="18"/>
      <c r="LX217" s="18"/>
      <c r="LY217" s="18"/>
      <c r="LZ217" s="18"/>
      <c r="MA217" s="18"/>
      <c r="MB217" s="18"/>
      <c r="MC217" s="18"/>
      <c r="MD217" s="18"/>
      <c r="ME217" s="18"/>
      <c r="MF217" s="18"/>
      <c r="MG217" s="18"/>
      <c r="MH217" s="18"/>
      <c r="MI217" s="18"/>
      <c r="MJ217" s="18"/>
      <c r="MK217" s="18"/>
      <c r="ML217" s="18"/>
      <c r="MM217" s="18"/>
      <c r="MN217" s="18"/>
      <c r="MO217" s="18"/>
      <c r="MP217" s="18"/>
      <c r="MQ217" s="18"/>
      <c r="MR217" s="18"/>
      <c r="MS217" s="18"/>
      <c r="MT217" s="18"/>
      <c r="MU217" s="18"/>
      <c r="MV217" s="18"/>
      <c r="MW217" s="18"/>
      <c r="MX217" s="18"/>
      <c r="MY217" s="18"/>
      <c r="MZ217" s="18"/>
      <c r="NA217" s="18"/>
      <c r="NB217" s="18"/>
      <c r="NC217" s="18"/>
      <c r="ND217" s="18"/>
      <c r="NE217" s="18"/>
      <c r="NF217" s="18"/>
      <c r="NG217" s="18"/>
      <c r="NH217" s="18"/>
      <c r="NI217" s="18"/>
      <c r="NJ217" s="18"/>
      <c r="NK217" s="18"/>
      <c r="NL217" s="18"/>
      <c r="NM217" s="18"/>
      <c r="NN217" s="18"/>
      <c r="NO217" s="18"/>
      <c r="NP217" s="18"/>
      <c r="NQ217" s="18"/>
      <c r="NR217" s="18"/>
      <c r="NS217" s="18"/>
      <c r="NT217" s="18"/>
      <c r="NU217" s="18"/>
      <c r="NV217" s="18"/>
      <c r="NW217" s="18"/>
      <c r="NX217" s="18"/>
      <c r="NY217" s="18"/>
      <c r="NZ217" s="18"/>
      <c r="OA217" s="18"/>
      <c r="OB217" s="18"/>
      <c r="OC217" s="18"/>
      <c r="OD217" s="18"/>
      <c r="OE217" s="18"/>
      <c r="OF217" s="18"/>
      <c r="OG217" s="18"/>
      <c r="OH217" s="18"/>
      <c r="OI217" s="18"/>
      <c r="OJ217" s="18"/>
      <c r="OK217" s="18"/>
      <c r="OL217" s="18"/>
      <c r="OM217" s="18"/>
      <c r="ON217" s="18"/>
      <c r="OO217" s="18"/>
      <c r="OP217" s="18"/>
      <c r="OQ217" s="18"/>
      <c r="OR217" s="18"/>
      <c r="OS217" s="18"/>
      <c r="OT217" s="18"/>
      <c r="OU217" s="18"/>
      <c r="OV217" s="18"/>
      <c r="OW217" s="18"/>
      <c r="OX217" s="18"/>
      <c r="OY217" s="18"/>
      <c r="OZ217" s="18"/>
      <c r="PA217" s="18"/>
      <c r="PB217" s="18"/>
      <c r="PC217" s="18"/>
      <c r="PD217" s="18"/>
      <c r="PE217" s="18"/>
      <c r="PF217" s="18"/>
      <c r="PG217" s="18"/>
      <c r="PH217" s="18"/>
      <c r="PI217" s="18"/>
      <c r="PJ217" s="18"/>
      <c r="PK217" s="18"/>
      <c r="PL217" s="18"/>
      <c r="PM217" s="18"/>
      <c r="PN217" s="18"/>
      <c r="PO217" s="18"/>
      <c r="PP217" s="18"/>
      <c r="PQ217" s="18"/>
      <c r="PR217" s="18"/>
      <c r="PS217" s="18"/>
      <c r="PT217" s="18"/>
      <c r="PU217" s="18"/>
      <c r="PV217" s="18"/>
      <c r="PW217" s="18"/>
      <c r="PX217" s="18"/>
      <c r="PY217" s="18"/>
      <c r="PZ217" s="18"/>
      <c r="QA217" s="18"/>
      <c r="QB217" s="18"/>
      <c r="QC217" s="18"/>
      <c r="QD217" s="18"/>
      <c r="QE217" s="18"/>
      <c r="QF217" s="18"/>
      <c r="QG217" s="18"/>
      <c r="QH217" s="18"/>
      <c r="QI217" s="18"/>
      <c r="QJ217" s="18"/>
      <c r="QK217" s="18"/>
      <c r="QL217" s="18"/>
      <c r="QM217" s="18"/>
      <c r="QN217" s="18"/>
      <c r="QO217" s="18"/>
      <c r="QP217" s="18"/>
      <c r="QQ217" s="18"/>
      <c r="QR217" s="18"/>
      <c r="QS217" s="18"/>
      <c r="QT217" s="18"/>
      <c r="QU217" s="18"/>
      <c r="QV217" s="18"/>
      <c r="QW217" s="18"/>
      <c r="QX217" s="18"/>
      <c r="QY217" s="18"/>
      <c r="QZ217" s="18"/>
      <c r="RA217" s="18"/>
      <c r="RB217" s="18"/>
      <c r="RC217" s="18"/>
      <c r="RD217" s="18"/>
      <c r="RE217" s="18"/>
      <c r="RF217" s="18"/>
      <c r="RG217" s="18"/>
      <c r="RH217" s="18"/>
      <c r="RI217" s="18"/>
      <c r="RJ217" s="18"/>
      <c r="RK217" s="18"/>
      <c r="RL217" s="18"/>
      <c r="RM217" s="18"/>
      <c r="RN217" s="18"/>
      <c r="RO217" s="18"/>
      <c r="RP217" s="18"/>
      <c r="RQ217" s="18"/>
      <c r="RR217" s="18"/>
      <c r="RS217" s="18"/>
      <c r="RT217" s="18"/>
      <c r="RU217" s="18"/>
      <c r="RV217" s="18"/>
      <c r="RW217" s="18"/>
      <c r="RX217" s="18"/>
      <c r="RY217" s="18"/>
      <c r="RZ217" s="18"/>
      <c r="SA217" s="18"/>
      <c r="SB217" s="18"/>
      <c r="SC217" s="18"/>
      <c r="SD217" s="18"/>
      <c r="SE217" s="18"/>
      <c r="SF217" s="18"/>
      <c r="SG217" s="18"/>
      <c r="SH217" s="18"/>
      <c r="SI217" s="18"/>
      <c r="SJ217" s="18"/>
      <c r="SK217" s="18"/>
      <c r="SL217" s="18"/>
      <c r="SM217" s="18"/>
      <c r="SN217" s="18"/>
      <c r="SO217" s="18"/>
      <c r="SP217" s="18"/>
      <c r="SQ217" s="18"/>
      <c r="SR217" s="18"/>
      <c r="SS217" s="18"/>
      <c r="ST217" s="18"/>
      <c r="SU217" s="18"/>
      <c r="SV217" s="18"/>
      <c r="SW217" s="18"/>
      <c r="SX217" s="18"/>
      <c r="SY217" s="18"/>
      <c r="SZ217" s="18"/>
      <c r="TA217" s="18"/>
      <c r="TB217" s="18"/>
      <c r="TC217" s="18"/>
      <c r="TD217" s="18"/>
      <c r="TE217" s="18"/>
      <c r="TF217" s="18"/>
      <c r="TG217" s="18"/>
      <c r="TH217" s="18"/>
      <c r="TI217" s="18"/>
      <c r="TJ217" s="18"/>
      <c r="TK217" s="18"/>
      <c r="TL217" s="18"/>
      <c r="TM217" s="18"/>
      <c r="TN217" s="18"/>
      <c r="TO217" s="18"/>
      <c r="TP217" s="18"/>
      <c r="TQ217" s="18"/>
      <c r="TR217" s="18"/>
      <c r="TS217" s="18"/>
      <c r="TT217" s="18"/>
      <c r="TU217" s="18"/>
      <c r="TV217" s="18"/>
      <c r="TW217" s="18"/>
      <c r="TX217" s="18"/>
      <c r="TY217" s="18"/>
      <c r="TZ217" s="18"/>
      <c r="UA217" s="18"/>
      <c r="UB217" s="18"/>
      <c r="UC217" s="18"/>
      <c r="UD217" s="18"/>
      <c r="UE217" s="18"/>
      <c r="UF217" s="18"/>
      <c r="UG217" s="18"/>
      <c r="UH217" s="18"/>
      <c r="UI217" s="18"/>
      <c r="UJ217" s="18"/>
      <c r="UK217" s="18"/>
      <c r="UL217" s="18"/>
      <c r="UM217" s="18"/>
      <c r="UN217" s="18"/>
      <c r="UO217" s="18"/>
      <c r="UP217" s="18"/>
      <c r="UQ217" s="18"/>
      <c r="UR217" s="18"/>
      <c r="US217" s="18"/>
      <c r="UT217" s="18"/>
      <c r="UU217" s="18"/>
      <c r="UV217" s="18"/>
      <c r="UW217" s="18"/>
      <c r="UX217" s="18"/>
      <c r="UY217" s="18"/>
      <c r="UZ217" s="18"/>
      <c r="VA217" s="18"/>
      <c r="VB217" s="18"/>
      <c r="VC217" s="18"/>
      <c r="VD217" s="18"/>
      <c r="VE217" s="18"/>
      <c r="VF217" s="18"/>
      <c r="VG217" s="18"/>
      <c r="VH217" s="18"/>
      <c r="VI217" s="18"/>
      <c r="VJ217" s="18"/>
      <c r="VK217" s="18"/>
      <c r="VL217" s="18"/>
      <c r="VM217" s="18"/>
      <c r="VN217" s="18"/>
      <c r="VO217" s="18"/>
      <c r="VP217" s="18"/>
      <c r="VQ217" s="18"/>
      <c r="VR217" s="18"/>
      <c r="VS217" s="18"/>
      <c r="VT217" s="18"/>
      <c r="VU217" s="18"/>
      <c r="VV217" s="18"/>
      <c r="VW217" s="18"/>
      <c r="VX217" s="18"/>
      <c r="VY217" s="18"/>
      <c r="VZ217" s="18"/>
      <c r="WA217" s="18"/>
      <c r="WB217" s="18"/>
      <c r="WC217" s="18"/>
      <c r="WD217" s="18"/>
      <c r="WE217" s="18"/>
      <c r="WF217" s="18"/>
      <c r="WG217" s="18"/>
      <c r="WH217" s="18"/>
      <c r="WI217" s="18"/>
      <c r="WJ217" s="18"/>
      <c r="WK217" s="18"/>
      <c r="WL217" s="18"/>
      <c r="WM217" s="18"/>
      <c r="WN217" s="18"/>
      <c r="WO217" s="18"/>
      <c r="WP217" s="18"/>
      <c r="WQ217" s="18"/>
      <c r="WR217" s="18"/>
      <c r="WS217" s="18"/>
      <c r="WT217" s="18"/>
      <c r="WU217" s="18"/>
      <c r="WV217" s="18"/>
      <c r="WW217" s="18"/>
      <c r="WX217" s="18"/>
      <c r="WY217" s="18"/>
      <c r="WZ217" s="18"/>
      <c r="XA217" s="18"/>
      <c r="XB217" s="18"/>
      <c r="XC217" s="18"/>
      <c r="XD217" s="18"/>
      <c r="XE217" s="18"/>
      <c r="XF217" s="18"/>
      <c r="XG217" s="18"/>
      <c r="XH217" s="18"/>
      <c r="XI217" s="18"/>
      <c r="XJ217" s="18"/>
      <c r="XK217" s="18"/>
      <c r="XL217" s="18"/>
      <c r="XM217" s="18"/>
      <c r="XN217" s="18"/>
      <c r="XO217" s="18"/>
      <c r="XP217" s="18"/>
      <c r="XQ217" s="18"/>
      <c r="XR217" s="18"/>
      <c r="XS217" s="18"/>
      <c r="XT217" s="18"/>
      <c r="XU217" s="18"/>
      <c r="XV217" s="18"/>
      <c r="XW217" s="18"/>
      <c r="XX217" s="18"/>
      <c r="XY217" s="18"/>
      <c r="XZ217" s="18"/>
      <c r="YA217" s="18"/>
      <c r="YB217" s="18"/>
      <c r="YC217" s="18"/>
      <c r="YD217" s="18"/>
      <c r="YE217" s="18"/>
      <c r="YF217" s="18"/>
      <c r="YG217" s="18"/>
      <c r="YH217" s="18"/>
      <c r="YI217" s="18"/>
      <c r="YJ217" s="18"/>
      <c r="YK217" s="18"/>
      <c r="YL217" s="18"/>
      <c r="YM217" s="18"/>
      <c r="YN217" s="18"/>
      <c r="YO217" s="18"/>
      <c r="YP217" s="18"/>
      <c r="YQ217" s="18"/>
      <c r="YR217" s="18"/>
      <c r="YS217" s="18"/>
      <c r="YT217" s="18"/>
      <c r="YU217" s="18"/>
      <c r="YV217" s="18"/>
      <c r="YW217" s="18"/>
      <c r="YX217" s="18"/>
      <c r="YY217" s="18"/>
      <c r="YZ217" s="18"/>
      <c r="ZA217" s="18"/>
      <c r="ZB217" s="18"/>
      <c r="ZC217" s="18"/>
      <c r="ZD217" s="18"/>
      <c r="ZE217" s="18"/>
      <c r="ZF217" s="18"/>
      <c r="ZG217" s="18"/>
      <c r="ZH217" s="18"/>
      <c r="ZI217" s="18"/>
      <c r="ZJ217" s="18"/>
      <c r="ZK217" s="18"/>
      <c r="ZL217" s="18"/>
      <c r="ZM217" s="18"/>
      <c r="ZN217" s="18"/>
      <c r="ZO217" s="18"/>
      <c r="ZP217" s="18"/>
      <c r="ZQ217" s="18"/>
      <c r="ZR217" s="18"/>
      <c r="ZS217" s="18"/>
      <c r="ZT217" s="18"/>
      <c r="ZU217" s="18"/>
      <c r="ZV217" s="18"/>
      <c r="ZW217" s="18"/>
      <c r="ZX217" s="18"/>
      <c r="ZY217" s="18"/>
      <c r="ZZ217" s="18"/>
      <c r="AAA217" s="18"/>
      <c r="AAB217" s="18"/>
      <c r="AAC217" s="18"/>
      <c r="AAD217" s="18"/>
      <c r="AAE217" s="18"/>
      <c r="AAF217" s="18"/>
      <c r="AAG217" s="18"/>
      <c r="AAH217" s="18"/>
      <c r="AAI217" s="18"/>
      <c r="AAJ217" s="18"/>
      <c r="AAK217" s="18"/>
      <c r="AAL217" s="18"/>
      <c r="AAM217" s="18"/>
      <c r="AAN217" s="18"/>
      <c r="AAO217" s="18"/>
      <c r="AAP217" s="18"/>
      <c r="AAQ217" s="18"/>
      <c r="AAR217" s="18"/>
      <c r="AAS217" s="18"/>
      <c r="AAT217" s="18"/>
      <c r="AAU217" s="18"/>
      <c r="AAV217" s="18"/>
      <c r="AAW217" s="18"/>
      <c r="AAX217" s="18"/>
      <c r="AAY217" s="18"/>
      <c r="AAZ217" s="18"/>
      <c r="ABA217" s="18"/>
      <c r="ABB217" s="18"/>
      <c r="ABC217" s="18"/>
      <c r="ABD217" s="18"/>
      <c r="ABE217" s="18"/>
      <c r="ABF217" s="18"/>
      <c r="ABG217" s="18"/>
      <c r="ABH217" s="18"/>
      <c r="ABI217" s="18"/>
      <c r="ABJ217" s="18"/>
      <c r="ABK217" s="18"/>
      <c r="ABL217" s="18"/>
      <c r="ABM217" s="18"/>
      <c r="ABN217" s="18"/>
      <c r="ABO217" s="18"/>
      <c r="ABP217" s="18"/>
      <c r="ABQ217" s="18"/>
      <c r="ABR217" s="18"/>
      <c r="ABS217" s="18"/>
      <c r="ABT217" s="18"/>
      <c r="ABU217" s="18"/>
      <c r="ABV217" s="18"/>
      <c r="ABW217" s="18"/>
      <c r="ABX217" s="18"/>
      <c r="ABY217" s="18"/>
      <c r="ABZ217" s="18"/>
      <c r="ACA217" s="18"/>
      <c r="ACB217" s="18"/>
      <c r="ACC217" s="18"/>
      <c r="ACD217" s="18"/>
      <c r="ACE217" s="18"/>
      <c r="ACF217" s="18"/>
      <c r="ACG217" s="18"/>
      <c r="ACH217" s="18"/>
      <c r="ACI217" s="18"/>
      <c r="ACJ217" s="18"/>
      <c r="ACK217" s="18"/>
      <c r="ACL217" s="18"/>
      <c r="ACM217" s="18"/>
      <c r="ACN217" s="18"/>
      <c r="ACO217" s="18"/>
      <c r="ACP217" s="18"/>
      <c r="ACQ217" s="18"/>
      <c r="ACR217" s="18"/>
      <c r="ACS217" s="18"/>
      <c r="ACT217" s="18"/>
      <c r="ACU217" s="18"/>
      <c r="ACV217" s="18"/>
      <c r="ACW217" s="18"/>
      <c r="ACX217" s="18"/>
      <c r="ACY217" s="18"/>
      <c r="ACZ217" s="18"/>
      <c r="ADA217" s="18"/>
      <c r="ADB217" s="18"/>
      <c r="ADC217" s="18"/>
      <c r="ADD217" s="18"/>
      <c r="ADE217" s="18"/>
      <c r="ADF217" s="18"/>
      <c r="ADG217" s="18"/>
      <c r="ADH217" s="18"/>
      <c r="ADI217" s="18"/>
      <c r="ADJ217" s="18"/>
      <c r="ADK217" s="18"/>
      <c r="ADL217" s="18"/>
      <c r="ADM217" s="18"/>
      <c r="ADN217" s="18"/>
      <c r="ADO217" s="18"/>
      <c r="ADP217" s="18"/>
      <c r="ADQ217" s="18"/>
      <c r="ADR217" s="18"/>
      <c r="ADS217" s="18"/>
      <c r="ADT217" s="18"/>
      <c r="ADU217" s="18"/>
      <c r="ADV217" s="18"/>
      <c r="ADW217" s="18"/>
      <c r="ADX217" s="18"/>
      <c r="ADY217" s="18"/>
      <c r="ADZ217" s="18"/>
      <c r="AEA217" s="18"/>
      <c r="AEB217" s="18"/>
      <c r="AEC217" s="18"/>
      <c r="AED217" s="18"/>
      <c r="AEE217" s="18"/>
      <c r="AEF217" s="18"/>
      <c r="AEG217" s="18"/>
      <c r="AEH217" s="18"/>
      <c r="AEI217" s="18"/>
      <c r="AEJ217" s="18"/>
      <c r="AEK217" s="18"/>
      <c r="AEL217" s="18"/>
      <c r="AEM217" s="18"/>
      <c r="AEN217" s="18"/>
      <c r="AEO217" s="18"/>
      <c r="AEP217" s="18"/>
      <c r="AEQ217" s="18"/>
      <c r="AER217" s="18"/>
      <c r="AES217" s="18"/>
      <c r="AET217" s="18"/>
      <c r="AEU217" s="18"/>
      <c r="AEV217" s="18"/>
      <c r="AEW217" s="18"/>
      <c r="AEX217" s="18"/>
      <c r="AEY217" s="18"/>
      <c r="AEZ217" s="18"/>
      <c r="AFA217" s="18"/>
      <c r="AFB217" s="18"/>
      <c r="AFC217" s="18"/>
      <c r="AFD217" s="18"/>
      <c r="AFE217" s="18"/>
      <c r="AFF217" s="18"/>
      <c r="AFG217" s="18"/>
      <c r="AFH217" s="18"/>
      <c r="AFI217" s="18"/>
      <c r="AFJ217" s="18"/>
      <c r="AFK217" s="18"/>
      <c r="AFL217" s="18"/>
      <c r="AFM217" s="18"/>
      <c r="AFN217" s="18"/>
      <c r="AFO217" s="18"/>
      <c r="AFP217" s="18"/>
      <c r="AFQ217" s="18"/>
      <c r="AFR217" s="18"/>
      <c r="AFS217" s="18"/>
      <c r="AFT217" s="18"/>
      <c r="AFU217" s="18"/>
      <c r="AFV217" s="18"/>
      <c r="AFW217" s="18"/>
      <c r="AFX217" s="18"/>
      <c r="AFY217" s="18"/>
      <c r="AFZ217" s="18"/>
      <c r="AGA217" s="18"/>
      <c r="AGB217" s="18"/>
      <c r="AGC217" s="18"/>
      <c r="AGD217" s="18"/>
      <c r="AGE217" s="18"/>
      <c r="AGF217" s="18"/>
      <c r="AGG217" s="18"/>
      <c r="AGH217" s="18"/>
      <c r="AGI217" s="18"/>
      <c r="AGJ217" s="18"/>
      <c r="AGK217" s="18"/>
      <c r="AGL217" s="18"/>
      <c r="AGM217" s="18"/>
      <c r="AGN217" s="18"/>
      <c r="AGO217" s="18"/>
      <c r="AGP217" s="18"/>
      <c r="AGQ217" s="18"/>
      <c r="AGR217" s="18"/>
      <c r="AGS217" s="18"/>
      <c r="AGT217" s="18"/>
      <c r="AGU217" s="18"/>
      <c r="AGV217" s="18"/>
      <c r="AGW217" s="18"/>
      <c r="AGX217" s="18"/>
      <c r="AGY217" s="18"/>
      <c r="AGZ217" s="18"/>
      <c r="AHA217" s="18"/>
      <c r="AHB217" s="18"/>
      <c r="AHC217" s="18"/>
      <c r="AHD217" s="18"/>
      <c r="AHE217" s="18"/>
      <c r="AHF217" s="18"/>
      <c r="AHG217" s="18"/>
      <c r="AHH217" s="18"/>
      <c r="AHI217" s="18"/>
      <c r="AHJ217" s="18"/>
      <c r="AHK217" s="18"/>
      <c r="AHL217" s="18"/>
      <c r="AHM217" s="18"/>
      <c r="AHN217" s="18"/>
      <c r="AHO217" s="18"/>
      <c r="AHP217" s="18"/>
      <c r="AHQ217" s="18"/>
      <c r="AHR217" s="18"/>
      <c r="AHS217" s="18"/>
      <c r="AHT217" s="18"/>
      <c r="AHU217" s="18"/>
      <c r="AHV217" s="18"/>
      <c r="AHW217" s="18"/>
      <c r="AHX217" s="18"/>
      <c r="AHY217" s="18"/>
      <c r="AHZ217" s="18"/>
      <c r="AIA217" s="18"/>
      <c r="AIB217" s="18"/>
      <c r="AIC217" s="18"/>
      <c r="AID217" s="18"/>
      <c r="AIE217" s="18"/>
      <c r="AIF217" s="18"/>
      <c r="AIG217" s="18"/>
      <c r="AIH217" s="18"/>
      <c r="AII217" s="18"/>
      <c r="AIJ217" s="18"/>
      <c r="AIK217" s="18"/>
      <c r="AIL217" s="18"/>
      <c r="AIM217" s="18"/>
      <c r="AIN217" s="18"/>
      <c r="AIO217" s="18"/>
      <c r="AIP217" s="18"/>
      <c r="AIQ217" s="18"/>
      <c r="AIR217" s="18"/>
      <c r="AIS217" s="18"/>
      <c r="AIT217" s="18"/>
      <c r="AIU217" s="18"/>
      <c r="AIV217" s="18"/>
      <c r="AIW217" s="18"/>
      <c r="AIX217" s="18"/>
      <c r="AIY217" s="18"/>
      <c r="AIZ217" s="18"/>
      <c r="AJA217" s="18"/>
      <c r="AJB217" s="18"/>
      <c r="AJC217" s="18"/>
      <c r="AJD217" s="18"/>
      <c r="AJE217" s="18"/>
      <c r="AJF217" s="18"/>
      <c r="AJG217" s="18"/>
      <c r="AJH217" s="18"/>
      <c r="AJI217" s="18"/>
      <c r="AJJ217" s="18"/>
      <c r="AJK217" s="18"/>
      <c r="AJL217" s="18"/>
      <c r="AJM217" s="18"/>
      <c r="AJN217" s="18"/>
      <c r="AJO217" s="18"/>
      <c r="AJP217" s="18"/>
      <c r="AJQ217" s="18"/>
      <c r="AJR217" s="18"/>
      <c r="AJS217" s="18"/>
      <c r="AJT217" s="18"/>
      <c r="AJU217" s="18"/>
      <c r="AJV217" s="18"/>
      <c r="AJW217" s="18"/>
      <c r="AJX217" s="18"/>
      <c r="AJY217" s="18"/>
      <c r="AJZ217" s="18"/>
      <c r="AKA217" s="18"/>
      <c r="AKB217" s="18"/>
      <c r="AKC217" s="18"/>
      <c r="AKD217" s="18"/>
      <c r="AKE217" s="18"/>
      <c r="AKF217" s="18"/>
      <c r="AKG217" s="18"/>
      <c r="AKH217" s="18"/>
      <c r="AKI217" s="18"/>
      <c r="AKJ217" s="18"/>
      <c r="AKK217" s="18"/>
      <c r="AKL217" s="18"/>
      <c r="AKM217" s="18"/>
      <c r="AKN217" s="18"/>
      <c r="AKO217" s="18"/>
      <c r="AKP217" s="18"/>
      <c r="AKQ217" s="18"/>
      <c r="AKR217" s="18"/>
      <c r="AKS217" s="18"/>
      <c r="AKT217" s="18"/>
      <c r="AKU217" s="18"/>
      <c r="AKV217" s="18"/>
      <c r="AKW217" s="18"/>
      <c r="AKX217" s="18"/>
      <c r="AKY217" s="18"/>
      <c r="AKZ217" s="18"/>
      <c r="ALA217" s="18"/>
      <c r="ALB217" s="18"/>
      <c r="ALC217" s="18"/>
      <c r="ALD217" s="18"/>
      <c r="ALE217" s="18"/>
      <c r="ALF217" s="18"/>
      <c r="ALG217" s="18"/>
      <c r="ALH217" s="18"/>
      <c r="ALI217" s="18"/>
      <c r="ALJ217" s="18"/>
      <c r="ALK217" s="18"/>
      <c r="ALL217" s="18"/>
      <c r="ALM217" s="18"/>
      <c r="ALN217" s="18"/>
      <c r="ALO217" s="18"/>
      <c r="ALP217" s="18"/>
      <c r="ALQ217" s="18"/>
      <c r="ALR217" s="18"/>
      <c r="ALS217" s="18"/>
      <c r="ALT217" s="18"/>
      <c r="ALU217" s="18"/>
      <c r="ALV217" s="18"/>
      <c r="ALW217" s="18"/>
      <c r="ALX217" s="18"/>
      <c r="ALY217" s="18"/>
      <c r="ALZ217" s="18"/>
      <c r="AMA217" s="18"/>
      <c r="AMB217" s="18"/>
      <c r="AMC217" s="18"/>
      <c r="AMD217" s="18"/>
      <c r="AME217" s="18"/>
      <c r="AMF217" s="18"/>
      <c r="AMG217" s="18"/>
      <c r="AMH217" s="18"/>
      <c r="AMI217" s="18"/>
      <c r="AMJ217" s="18"/>
      <c r="AMK217" s="18"/>
      <c r="AML217" s="18"/>
      <c r="AMM217" s="18"/>
      <c r="AMN217" s="18"/>
      <c r="AMO217" s="18"/>
      <c r="AMP217" s="18"/>
      <c r="AMQ217" s="18"/>
      <c r="AMR217" s="18"/>
      <c r="AMS217" s="18"/>
      <c r="AMT217" s="18"/>
      <c r="AMU217" s="18"/>
      <c r="AMV217" s="18"/>
      <c r="AMW217" s="18"/>
      <c r="AMX217" s="18"/>
      <c r="AMY217" s="18"/>
      <c r="AMZ217" s="18"/>
      <c r="ANA217" s="18"/>
      <c r="ANB217" s="18"/>
      <c r="ANC217" s="18"/>
      <c r="AND217" s="18"/>
      <c r="ANE217" s="18"/>
      <c r="ANF217" s="18"/>
      <c r="ANG217" s="18"/>
      <c r="ANH217" s="18"/>
      <c r="ANI217" s="18"/>
      <c r="ANJ217" s="18"/>
      <c r="ANK217" s="18"/>
      <c r="ANL217" s="18"/>
      <c r="ANM217" s="18"/>
      <c r="ANN217" s="18"/>
      <c r="ANO217" s="18"/>
      <c r="ANP217" s="18"/>
      <c r="ANQ217" s="18"/>
      <c r="ANR217" s="18"/>
      <c r="ANS217" s="18"/>
      <c r="ANT217" s="18"/>
      <c r="ANU217" s="18"/>
      <c r="ANV217" s="18"/>
      <c r="ANW217" s="18"/>
      <c r="ANX217" s="18"/>
      <c r="ANY217" s="18"/>
      <c r="ANZ217" s="18"/>
      <c r="AOA217" s="18"/>
      <c r="AOB217" s="18"/>
      <c r="AOC217" s="18"/>
      <c r="AOD217" s="18"/>
      <c r="AOE217" s="18"/>
      <c r="AOF217" s="18"/>
      <c r="AOG217" s="18"/>
      <c r="AOH217" s="18"/>
      <c r="AOI217" s="18"/>
      <c r="AOJ217" s="18"/>
      <c r="AOK217" s="18"/>
      <c r="AOL217" s="18"/>
      <c r="AOM217" s="18"/>
      <c r="AON217" s="18"/>
      <c r="AOO217" s="18"/>
      <c r="AOP217" s="18"/>
      <c r="AOQ217" s="18"/>
      <c r="AOR217" s="18"/>
      <c r="AOS217" s="18"/>
      <c r="AOT217" s="18"/>
      <c r="AOU217" s="18"/>
      <c r="AOV217" s="18"/>
      <c r="AOW217" s="18"/>
      <c r="AOX217" s="18"/>
      <c r="AOY217" s="18"/>
      <c r="AOZ217" s="18"/>
      <c r="APA217" s="18"/>
      <c r="APB217" s="18"/>
      <c r="APC217" s="18"/>
      <c r="APD217" s="18"/>
      <c r="APE217" s="18"/>
      <c r="APF217" s="18"/>
      <c r="APG217" s="18"/>
      <c r="APH217" s="18"/>
      <c r="API217" s="18"/>
      <c r="APJ217" s="18"/>
      <c r="APK217" s="18"/>
      <c r="APL217" s="18"/>
      <c r="APM217" s="18"/>
      <c r="APN217" s="18"/>
      <c r="APO217" s="18"/>
      <c r="APP217" s="18"/>
      <c r="APQ217" s="18"/>
      <c r="APR217" s="18"/>
      <c r="APS217" s="18"/>
      <c r="APT217" s="18"/>
      <c r="APU217" s="18"/>
      <c r="APV217" s="18"/>
      <c r="APW217" s="18"/>
      <c r="APX217" s="18"/>
      <c r="APY217" s="18"/>
      <c r="APZ217" s="18"/>
      <c r="AQA217" s="18"/>
      <c r="AQB217" s="18"/>
      <c r="AQC217" s="18"/>
      <c r="AQD217" s="18"/>
      <c r="AQE217" s="18"/>
      <c r="AQF217" s="18"/>
      <c r="AQG217" s="18"/>
      <c r="AQH217" s="18"/>
      <c r="AQI217" s="18"/>
      <c r="AQJ217" s="18"/>
      <c r="AQK217" s="18"/>
      <c r="AQL217" s="18"/>
      <c r="AQM217" s="18"/>
      <c r="AQN217" s="18"/>
      <c r="AQO217" s="18"/>
      <c r="AQP217" s="18"/>
      <c r="AQQ217" s="18"/>
      <c r="AQR217" s="18"/>
      <c r="AQS217" s="18"/>
      <c r="AQT217" s="18"/>
      <c r="AQU217" s="18"/>
      <c r="AQV217" s="18"/>
      <c r="AQW217" s="18"/>
      <c r="AQX217" s="18"/>
      <c r="AQY217" s="18"/>
      <c r="AQZ217" s="18"/>
      <c r="ARA217" s="18"/>
      <c r="ARB217" s="18"/>
      <c r="ARC217" s="18"/>
      <c r="ARD217" s="18"/>
      <c r="ARE217" s="18"/>
      <c r="ARF217" s="18"/>
      <c r="ARG217" s="18"/>
      <c r="ARH217" s="18"/>
      <c r="ARI217" s="18"/>
      <c r="ARJ217" s="18"/>
      <c r="ARK217" s="18"/>
      <c r="ARL217" s="18"/>
      <c r="ARM217" s="18"/>
      <c r="ARN217" s="18"/>
      <c r="ARO217" s="18"/>
      <c r="ARP217" s="18"/>
      <c r="ARQ217" s="18"/>
      <c r="ARR217" s="18"/>
      <c r="ARS217" s="18"/>
      <c r="ART217" s="18"/>
      <c r="ARU217" s="18"/>
      <c r="ARV217" s="18"/>
      <c r="ARW217" s="18"/>
      <c r="ARX217" s="18"/>
      <c r="ARY217" s="18"/>
      <c r="ARZ217" s="18"/>
      <c r="ASA217" s="18"/>
      <c r="ASB217" s="18"/>
      <c r="ASC217" s="18"/>
      <c r="ASD217" s="18"/>
      <c r="ASE217" s="18"/>
      <c r="ASF217" s="18"/>
      <c r="ASG217" s="18"/>
      <c r="ASH217" s="18"/>
      <c r="ASI217" s="18"/>
      <c r="ASJ217" s="18"/>
      <c r="ASK217" s="18"/>
      <c r="ASL217" s="18"/>
      <c r="ASM217" s="18"/>
      <c r="ASN217" s="18"/>
      <c r="ASO217" s="18"/>
      <c r="ASP217" s="18"/>
      <c r="ASQ217" s="18"/>
      <c r="ASR217" s="18"/>
      <c r="ASS217" s="18"/>
      <c r="AST217" s="18"/>
      <c r="ASU217" s="18"/>
      <c r="ASV217" s="18"/>
      <c r="ASW217" s="18"/>
      <c r="ASX217" s="18"/>
      <c r="ASY217" s="18"/>
      <c r="ASZ217" s="18"/>
      <c r="ATA217" s="18"/>
      <c r="ATB217" s="18"/>
      <c r="ATC217" s="18"/>
      <c r="ATD217" s="18"/>
      <c r="ATE217" s="18"/>
      <c r="ATF217" s="18"/>
      <c r="ATG217" s="18"/>
      <c r="ATH217" s="18"/>
      <c r="ATI217" s="18"/>
      <c r="ATJ217" s="18"/>
      <c r="ATK217" s="18"/>
      <c r="ATL217" s="18"/>
      <c r="ATM217" s="18"/>
      <c r="ATN217" s="18"/>
      <c r="ATO217" s="18"/>
      <c r="ATP217" s="18"/>
      <c r="ATQ217" s="18"/>
      <c r="ATR217" s="18"/>
      <c r="ATS217" s="18"/>
      <c r="ATT217" s="18"/>
      <c r="ATU217" s="18"/>
      <c r="ATV217" s="18"/>
      <c r="ATW217" s="18"/>
      <c r="ATX217" s="18"/>
      <c r="ATY217" s="18"/>
      <c r="ATZ217" s="18"/>
      <c r="AUA217" s="18"/>
      <c r="AUB217" s="18"/>
      <c r="AUC217" s="18"/>
      <c r="AUD217" s="18"/>
      <c r="AUE217" s="18"/>
      <c r="AUF217" s="18"/>
      <c r="AUG217" s="18"/>
      <c r="AUH217" s="18"/>
      <c r="AUI217" s="18"/>
      <c r="AUJ217" s="18"/>
      <c r="AUK217" s="18"/>
      <c r="AUL217" s="18"/>
      <c r="AUM217" s="18"/>
      <c r="AUN217" s="18"/>
      <c r="AUO217" s="18"/>
      <c r="AUP217" s="18"/>
      <c r="AUQ217" s="18"/>
      <c r="AUR217" s="18"/>
      <c r="AUS217" s="18"/>
      <c r="AUT217" s="18"/>
      <c r="AUU217" s="18"/>
      <c r="AUV217" s="18"/>
      <c r="AUW217" s="18"/>
      <c r="AUX217" s="18"/>
      <c r="AUY217" s="18"/>
      <c r="AUZ217" s="18"/>
      <c r="AVA217" s="18"/>
      <c r="AVB217" s="18"/>
      <c r="AVC217" s="18"/>
      <c r="AVD217" s="18"/>
      <c r="AVE217" s="18"/>
      <c r="AVF217" s="18"/>
      <c r="AVG217" s="18"/>
      <c r="AVH217" s="18"/>
      <c r="AVI217" s="18"/>
      <c r="AVJ217" s="18"/>
      <c r="AVK217" s="18"/>
      <c r="AVL217" s="18"/>
      <c r="AVM217" s="18"/>
      <c r="AVN217" s="18"/>
      <c r="AVO217" s="18"/>
      <c r="AVP217" s="18"/>
      <c r="AVQ217" s="18"/>
      <c r="AVR217" s="18"/>
      <c r="AVS217" s="18"/>
      <c r="AVT217" s="18"/>
      <c r="AVU217" s="18"/>
      <c r="AVV217" s="18"/>
      <c r="AVW217" s="18"/>
      <c r="AVX217" s="18"/>
      <c r="AVY217" s="18"/>
      <c r="AVZ217" s="18"/>
      <c r="AWA217" s="18"/>
      <c r="AWB217" s="18"/>
      <c r="AWC217" s="18"/>
      <c r="AWD217" s="18"/>
      <c r="AWE217" s="18"/>
      <c r="AWF217" s="18"/>
      <c r="AWG217" s="18"/>
      <c r="AWH217" s="18"/>
      <c r="AWI217" s="18"/>
      <c r="AWJ217" s="18"/>
      <c r="AWK217" s="18"/>
      <c r="AWL217" s="18"/>
      <c r="AWM217" s="18"/>
      <c r="AWN217" s="18"/>
      <c r="AWO217" s="18"/>
      <c r="AWP217" s="18"/>
      <c r="AWQ217" s="18"/>
      <c r="AWR217" s="18"/>
      <c r="AWS217" s="18"/>
      <c r="AWT217" s="18"/>
      <c r="AWU217" s="18"/>
      <c r="AWV217" s="18"/>
      <c r="AWW217" s="18"/>
      <c r="AWX217" s="18"/>
      <c r="AWY217" s="18"/>
      <c r="AWZ217" s="18"/>
      <c r="AXA217" s="18"/>
      <c r="AXB217" s="18"/>
      <c r="AXC217" s="18"/>
      <c r="AXD217" s="18"/>
      <c r="AXE217" s="18"/>
      <c r="AXF217" s="18"/>
      <c r="AXG217" s="18"/>
      <c r="AXH217" s="18"/>
      <c r="AXI217" s="18"/>
      <c r="AXJ217" s="18"/>
      <c r="AXK217" s="18"/>
      <c r="AXL217" s="18"/>
      <c r="AXM217" s="18"/>
      <c r="AXN217" s="18"/>
      <c r="AXO217" s="18"/>
      <c r="AXP217" s="18"/>
      <c r="AXQ217" s="18"/>
      <c r="AXR217" s="18"/>
      <c r="AXS217" s="18"/>
      <c r="AXT217" s="18"/>
      <c r="AXU217" s="18"/>
      <c r="AXV217" s="18"/>
      <c r="AXW217" s="18"/>
      <c r="AXX217" s="18"/>
      <c r="AXY217" s="18"/>
      <c r="AXZ217" s="18"/>
      <c r="AYA217" s="18"/>
      <c r="AYB217" s="18"/>
      <c r="AYC217" s="18"/>
      <c r="AYD217" s="18"/>
      <c r="AYE217" s="18"/>
      <c r="AYF217" s="18"/>
      <c r="AYG217" s="18"/>
      <c r="AYH217" s="18"/>
      <c r="AYI217" s="18"/>
      <c r="AYJ217" s="18"/>
      <c r="AYK217" s="18"/>
      <c r="AYL217" s="18"/>
      <c r="AYM217" s="18"/>
      <c r="AYN217" s="18"/>
      <c r="AYO217" s="18"/>
      <c r="AYP217" s="18"/>
      <c r="AYQ217" s="18"/>
      <c r="AYR217" s="18"/>
      <c r="AYS217" s="18"/>
      <c r="AYT217" s="18"/>
      <c r="AYU217" s="18"/>
      <c r="AYV217" s="18"/>
      <c r="AYW217" s="18"/>
      <c r="AYX217" s="18"/>
      <c r="AYY217" s="18"/>
      <c r="AYZ217" s="18"/>
      <c r="AZA217" s="18"/>
      <c r="AZB217" s="18"/>
      <c r="AZC217" s="18"/>
      <c r="AZD217" s="18"/>
      <c r="AZE217" s="18"/>
      <c r="AZF217" s="18"/>
      <c r="AZG217" s="18"/>
      <c r="AZH217" s="18"/>
      <c r="AZI217" s="18"/>
      <c r="AZJ217" s="18"/>
      <c r="AZK217" s="18"/>
      <c r="AZL217" s="18"/>
      <c r="AZM217" s="18"/>
      <c r="AZN217" s="18"/>
      <c r="AZO217" s="18"/>
      <c r="AZP217" s="18"/>
      <c r="AZQ217" s="18"/>
      <c r="AZR217" s="18"/>
      <c r="AZS217" s="18"/>
      <c r="AZT217" s="18"/>
      <c r="AZU217" s="18"/>
      <c r="AZV217" s="18"/>
      <c r="AZW217" s="18"/>
      <c r="AZX217" s="18"/>
      <c r="AZY217" s="18"/>
      <c r="AZZ217" s="18"/>
      <c r="BAA217" s="18"/>
      <c r="BAB217" s="18"/>
      <c r="BAC217" s="18"/>
      <c r="BAD217" s="18"/>
      <c r="BAE217" s="18"/>
      <c r="BAF217" s="18"/>
      <c r="BAG217" s="18"/>
      <c r="BAH217" s="18"/>
      <c r="BAI217" s="18"/>
      <c r="BAJ217" s="18"/>
      <c r="BAK217" s="18"/>
      <c r="BAL217" s="18"/>
      <c r="BAM217" s="18"/>
      <c r="BAN217" s="18"/>
      <c r="BAO217" s="18"/>
      <c r="BAP217" s="18"/>
      <c r="BAQ217" s="18"/>
      <c r="BAR217" s="18"/>
      <c r="BAS217" s="18"/>
      <c r="BAT217" s="18"/>
      <c r="BAU217" s="18"/>
      <c r="BAV217" s="18"/>
      <c r="BAW217" s="18"/>
      <c r="BAX217" s="18"/>
      <c r="BAY217" s="18"/>
      <c r="BAZ217" s="18"/>
      <c r="BBA217" s="18"/>
      <c r="BBB217" s="18"/>
      <c r="BBC217" s="18"/>
      <c r="BBD217" s="18"/>
      <c r="BBE217" s="18"/>
      <c r="BBF217" s="18"/>
      <c r="BBG217" s="18"/>
      <c r="BBH217" s="18"/>
      <c r="BBI217" s="18"/>
      <c r="BBJ217" s="18"/>
      <c r="BBK217" s="18"/>
      <c r="BBL217" s="18"/>
      <c r="BBM217" s="18"/>
      <c r="BBN217" s="18"/>
      <c r="BBO217" s="18"/>
      <c r="BBP217" s="18"/>
      <c r="BBQ217" s="18"/>
      <c r="BBR217" s="18"/>
      <c r="BBS217" s="18"/>
      <c r="BBT217" s="18"/>
      <c r="BBU217" s="18"/>
      <c r="BBV217" s="18"/>
      <c r="BBW217" s="18"/>
      <c r="BBX217" s="18"/>
      <c r="BBY217" s="18"/>
      <c r="BBZ217" s="18"/>
      <c r="BCA217" s="18"/>
      <c r="BCB217" s="18"/>
      <c r="BCC217" s="18"/>
      <c r="BCD217" s="18"/>
      <c r="BCE217" s="18"/>
      <c r="BCF217" s="18"/>
      <c r="BCG217" s="18"/>
      <c r="BCH217" s="18"/>
      <c r="BCI217" s="18"/>
      <c r="BCJ217" s="18"/>
      <c r="BCK217" s="18"/>
      <c r="BCL217" s="18"/>
      <c r="BCM217" s="18"/>
      <c r="BCN217" s="18"/>
      <c r="BCO217" s="18"/>
      <c r="BCP217" s="18"/>
      <c r="BCQ217" s="18"/>
      <c r="BCR217" s="18"/>
      <c r="BCS217" s="18"/>
      <c r="BCT217" s="18"/>
      <c r="BCU217" s="18"/>
      <c r="BCV217" s="18"/>
      <c r="BCW217" s="18"/>
      <c r="BCX217" s="18"/>
      <c r="BCY217" s="18"/>
      <c r="BCZ217" s="18"/>
      <c r="BDA217" s="18"/>
      <c r="BDB217" s="18"/>
      <c r="BDC217" s="18"/>
      <c r="BDD217" s="18"/>
      <c r="BDE217" s="18"/>
      <c r="BDF217" s="18"/>
      <c r="BDG217" s="18"/>
      <c r="BDH217" s="18"/>
      <c r="BDI217" s="18"/>
      <c r="BDJ217" s="18"/>
      <c r="BDK217" s="18"/>
      <c r="BDL217" s="18"/>
      <c r="BDM217" s="18"/>
      <c r="BDN217" s="18"/>
      <c r="BDO217" s="18"/>
      <c r="BDP217" s="18"/>
      <c r="BDQ217" s="18"/>
      <c r="BDR217" s="18"/>
      <c r="BDS217" s="18"/>
      <c r="BDT217" s="18"/>
      <c r="BDU217" s="18"/>
      <c r="BDV217" s="18"/>
      <c r="BDW217" s="18"/>
      <c r="BDX217" s="18"/>
      <c r="BDY217" s="18"/>
      <c r="BDZ217" s="18"/>
      <c r="BEA217" s="18"/>
      <c r="BEB217" s="18"/>
      <c r="BEC217" s="18"/>
      <c r="BED217" s="18"/>
      <c r="BEE217" s="18"/>
      <c r="BEF217" s="18"/>
      <c r="BEG217" s="18"/>
      <c r="BEH217" s="18"/>
      <c r="BEI217" s="18"/>
      <c r="BEJ217" s="18"/>
      <c r="BEK217" s="18"/>
      <c r="BEL217" s="18"/>
      <c r="BEM217" s="18"/>
      <c r="BEN217" s="18"/>
      <c r="BEO217" s="18"/>
      <c r="BEP217" s="18"/>
      <c r="BEQ217" s="18"/>
      <c r="BER217" s="18"/>
      <c r="BES217" s="18"/>
      <c r="BET217" s="18"/>
      <c r="BEU217" s="18"/>
      <c r="BEV217" s="18"/>
      <c r="BEW217" s="18"/>
      <c r="BEX217" s="18"/>
      <c r="BEY217" s="18"/>
      <c r="BEZ217" s="18"/>
      <c r="BFA217" s="18"/>
      <c r="BFB217" s="18"/>
      <c r="BFC217" s="18"/>
      <c r="BFD217" s="18"/>
      <c r="BFE217" s="18"/>
      <c r="BFF217" s="18"/>
      <c r="BFG217" s="18"/>
      <c r="BFH217" s="18"/>
      <c r="BFI217" s="18"/>
      <c r="BFJ217" s="18"/>
      <c r="BFK217" s="18"/>
      <c r="BFL217" s="18"/>
      <c r="BFM217" s="18"/>
      <c r="BFN217" s="18"/>
      <c r="BFO217" s="18"/>
      <c r="BFP217" s="18"/>
      <c r="BFQ217" s="18"/>
      <c r="BFR217" s="18"/>
      <c r="BFS217" s="18"/>
      <c r="BFT217" s="18"/>
      <c r="BFU217" s="18"/>
      <c r="BFV217" s="18"/>
      <c r="BFW217" s="18"/>
      <c r="BFX217" s="18"/>
      <c r="BFY217" s="18"/>
      <c r="BFZ217" s="18"/>
      <c r="BGA217" s="18"/>
      <c r="BGB217" s="18"/>
      <c r="BGC217" s="18"/>
      <c r="BGD217" s="18"/>
      <c r="BGE217" s="18"/>
      <c r="BGF217" s="18"/>
      <c r="BGG217" s="18"/>
      <c r="BGH217" s="18"/>
      <c r="BGI217" s="18"/>
      <c r="BGJ217" s="18"/>
      <c r="BGK217" s="18"/>
      <c r="BGL217" s="18"/>
      <c r="BGM217" s="18"/>
      <c r="BGN217" s="18"/>
      <c r="BGO217" s="18"/>
      <c r="BGP217" s="18"/>
      <c r="BGQ217" s="18"/>
      <c r="BGR217" s="18"/>
      <c r="BGS217" s="18"/>
      <c r="BGT217" s="18"/>
      <c r="BGU217" s="18"/>
      <c r="BGV217" s="18"/>
      <c r="BGW217" s="18"/>
      <c r="BGX217" s="18"/>
      <c r="BGY217" s="18"/>
      <c r="BGZ217" s="18"/>
      <c r="BHA217" s="18"/>
      <c r="BHB217" s="18"/>
      <c r="BHC217" s="18"/>
      <c r="BHD217" s="18"/>
      <c r="BHE217" s="18"/>
      <c r="BHF217" s="18"/>
      <c r="BHG217" s="18"/>
      <c r="BHH217" s="18"/>
      <c r="BHI217" s="18"/>
      <c r="BHJ217" s="18"/>
      <c r="BHK217" s="18"/>
      <c r="BHL217" s="18"/>
      <c r="BHM217" s="18"/>
      <c r="BHN217" s="18"/>
      <c r="BHO217" s="18"/>
      <c r="BHP217" s="18"/>
      <c r="BHQ217" s="18"/>
      <c r="BHR217" s="18"/>
      <c r="BHS217" s="18"/>
      <c r="BHT217" s="18"/>
      <c r="BHU217" s="18"/>
      <c r="BHV217" s="18"/>
      <c r="BHW217" s="18"/>
      <c r="BHX217" s="18"/>
      <c r="BHY217" s="18"/>
      <c r="BHZ217" s="18"/>
      <c r="BIA217" s="18"/>
      <c r="BIB217" s="18"/>
      <c r="BIC217" s="18"/>
      <c r="BID217" s="18"/>
      <c r="BIE217" s="18"/>
      <c r="BIF217" s="18"/>
      <c r="BIG217" s="18"/>
      <c r="BIH217" s="18"/>
      <c r="BII217" s="18"/>
      <c r="BIJ217" s="18"/>
      <c r="BIK217" s="18"/>
      <c r="BIL217" s="18"/>
      <c r="BIM217" s="18"/>
      <c r="BIN217" s="18"/>
      <c r="BIO217" s="18"/>
      <c r="BIP217" s="18"/>
      <c r="BIQ217" s="18"/>
      <c r="BIR217" s="18"/>
      <c r="BIS217" s="18"/>
      <c r="BIT217" s="18"/>
      <c r="BIU217" s="18"/>
      <c r="BIV217" s="18"/>
      <c r="BIW217" s="18"/>
      <c r="BIX217" s="18"/>
      <c r="BIY217" s="18"/>
      <c r="BIZ217" s="18"/>
      <c r="BJA217" s="18"/>
      <c r="BJB217" s="18"/>
      <c r="BJC217" s="18"/>
      <c r="BJD217" s="18"/>
      <c r="BJE217" s="18"/>
      <c r="BJF217" s="18"/>
      <c r="BJG217" s="18"/>
      <c r="BJH217" s="18"/>
      <c r="BJI217" s="18"/>
      <c r="BJJ217" s="18"/>
      <c r="BJK217" s="18"/>
      <c r="BJL217" s="18"/>
      <c r="BJM217" s="18"/>
      <c r="BJN217" s="18"/>
      <c r="BJO217" s="18"/>
      <c r="BJP217" s="18"/>
      <c r="BJQ217" s="18"/>
      <c r="BJR217" s="18"/>
      <c r="BJS217" s="18"/>
      <c r="BJT217" s="18"/>
      <c r="BJU217" s="18"/>
      <c r="BJV217" s="18"/>
      <c r="BJW217" s="18"/>
      <c r="BJX217" s="18"/>
      <c r="BJY217" s="18"/>
      <c r="BJZ217" s="18"/>
      <c r="BKA217" s="18"/>
      <c r="BKB217" s="18"/>
      <c r="BKC217" s="18"/>
      <c r="BKD217" s="18"/>
      <c r="BKE217" s="18"/>
      <c r="BKF217" s="18"/>
      <c r="BKG217" s="18"/>
      <c r="BKH217" s="18"/>
      <c r="BKI217" s="18"/>
      <c r="BKJ217" s="18"/>
      <c r="BKK217" s="18"/>
      <c r="BKL217" s="18"/>
      <c r="BKM217" s="18"/>
      <c r="BKN217" s="18"/>
      <c r="BKO217" s="18"/>
      <c r="BKP217" s="18"/>
      <c r="BKQ217" s="18"/>
      <c r="BKR217" s="18"/>
      <c r="BKS217" s="18"/>
      <c r="BKT217" s="18"/>
      <c r="BKU217" s="18"/>
      <c r="BKV217" s="18"/>
      <c r="BKW217" s="18"/>
      <c r="BKX217" s="18"/>
      <c r="BKY217" s="18"/>
      <c r="BKZ217" s="18"/>
      <c r="BLA217" s="18"/>
      <c r="BLB217" s="18"/>
      <c r="BLC217" s="18"/>
      <c r="BLD217" s="18"/>
      <c r="BLE217" s="18"/>
      <c r="BLF217" s="18"/>
      <c r="BLG217" s="18"/>
      <c r="BLH217" s="18"/>
      <c r="BLI217" s="18"/>
      <c r="BLJ217" s="18"/>
      <c r="BLK217" s="18"/>
      <c r="BLL217" s="18"/>
      <c r="BLM217" s="18"/>
      <c r="BLN217" s="18"/>
      <c r="BLO217" s="18"/>
      <c r="BLP217" s="18"/>
      <c r="BLQ217" s="18"/>
      <c r="BLR217" s="18"/>
      <c r="BLS217" s="18"/>
      <c r="BLT217" s="18"/>
      <c r="BLU217" s="18"/>
      <c r="BLV217" s="18"/>
      <c r="BLW217" s="18"/>
      <c r="BLX217" s="18"/>
      <c r="BLY217" s="18"/>
      <c r="BLZ217" s="18"/>
      <c r="BMA217" s="18"/>
      <c r="BMB217" s="18"/>
      <c r="BMC217" s="18"/>
      <c r="BMD217" s="18"/>
      <c r="BME217" s="18"/>
      <c r="BMF217" s="18"/>
      <c r="BMG217" s="18"/>
      <c r="BMH217" s="18"/>
      <c r="BMI217" s="18"/>
      <c r="BMJ217" s="18"/>
      <c r="BMK217" s="18"/>
      <c r="BML217" s="18"/>
      <c r="BMM217" s="18"/>
      <c r="BMN217" s="18"/>
      <c r="BMO217" s="18"/>
      <c r="BMP217" s="18"/>
      <c r="BMQ217" s="18"/>
      <c r="BMR217" s="18"/>
      <c r="BMS217" s="18"/>
      <c r="BMT217" s="18"/>
      <c r="BMU217" s="18"/>
      <c r="BMV217" s="18"/>
      <c r="BMW217" s="18"/>
      <c r="BMX217" s="18"/>
      <c r="BMY217" s="18"/>
      <c r="BMZ217" s="18"/>
      <c r="BNA217" s="18"/>
      <c r="BNB217" s="18"/>
      <c r="BNC217" s="18"/>
      <c r="BND217" s="18"/>
      <c r="BNE217" s="18"/>
      <c r="BNF217" s="18"/>
      <c r="BNG217" s="18"/>
      <c r="BNH217" s="18"/>
      <c r="BNI217" s="18"/>
      <c r="BNJ217" s="18"/>
      <c r="BNK217" s="18"/>
      <c r="BNL217" s="18"/>
      <c r="BNM217" s="18"/>
      <c r="BNN217" s="18"/>
      <c r="BNO217" s="18"/>
      <c r="BNP217" s="18"/>
      <c r="BNQ217" s="18"/>
      <c r="BNR217" s="18"/>
      <c r="BNS217" s="18"/>
      <c r="BNT217" s="18"/>
      <c r="BNU217" s="18"/>
      <c r="BNV217" s="18"/>
      <c r="BNW217" s="18"/>
      <c r="BNX217" s="18"/>
      <c r="BNY217" s="18"/>
      <c r="BNZ217" s="18"/>
      <c r="BOA217" s="18"/>
      <c r="BOB217" s="18"/>
      <c r="BOC217" s="18"/>
      <c r="BOD217" s="18"/>
      <c r="BOE217" s="18"/>
      <c r="BOF217" s="18"/>
      <c r="BOG217" s="18"/>
      <c r="BOH217" s="18"/>
      <c r="BOI217" s="18"/>
      <c r="BOJ217" s="18"/>
      <c r="BOK217" s="18"/>
      <c r="BOL217" s="18"/>
      <c r="BOM217" s="18"/>
      <c r="BON217" s="18"/>
      <c r="BOO217" s="18"/>
      <c r="BOP217" s="18"/>
      <c r="BOQ217" s="18"/>
      <c r="BOR217" s="18"/>
      <c r="BOS217" s="18"/>
      <c r="BOT217" s="18"/>
      <c r="BOU217" s="18"/>
      <c r="BOV217" s="18"/>
      <c r="BOW217" s="18"/>
      <c r="BOX217" s="18"/>
      <c r="BOY217" s="18"/>
      <c r="BOZ217" s="18"/>
      <c r="BPA217" s="18"/>
      <c r="BPB217" s="18"/>
      <c r="BPC217" s="18"/>
      <c r="BPD217" s="18"/>
      <c r="BPE217" s="18"/>
      <c r="BPF217" s="18"/>
      <c r="BPG217" s="18"/>
      <c r="BPH217" s="18"/>
      <c r="BPI217" s="18"/>
      <c r="BPJ217" s="18"/>
      <c r="BPK217" s="18"/>
      <c r="BPL217" s="18"/>
      <c r="BPM217" s="18"/>
      <c r="BPN217" s="18"/>
      <c r="BPO217" s="18"/>
      <c r="BPP217" s="18"/>
      <c r="BPQ217" s="18"/>
      <c r="BPR217" s="18"/>
      <c r="BPS217" s="18"/>
      <c r="BPT217" s="18"/>
      <c r="BPU217" s="18"/>
      <c r="BPV217" s="18"/>
      <c r="BPW217" s="18"/>
      <c r="BPX217" s="18"/>
      <c r="BPY217" s="18"/>
      <c r="BPZ217" s="18"/>
      <c r="BQA217" s="18"/>
      <c r="BQB217" s="18"/>
      <c r="BQC217" s="18"/>
      <c r="BQD217" s="18"/>
      <c r="BQE217" s="18"/>
      <c r="BQF217" s="18"/>
      <c r="BQG217" s="18"/>
      <c r="BQH217" s="18"/>
      <c r="BQI217" s="18"/>
      <c r="BQJ217" s="18"/>
      <c r="BQK217" s="18"/>
      <c r="BQL217" s="18"/>
      <c r="BQM217" s="18"/>
      <c r="BQN217" s="18"/>
      <c r="BQO217" s="18"/>
      <c r="BQP217" s="18"/>
      <c r="BQQ217" s="18"/>
      <c r="BQR217" s="18"/>
      <c r="BQS217" s="18"/>
      <c r="BQT217" s="18"/>
      <c r="BQU217" s="18"/>
      <c r="BQV217" s="18"/>
      <c r="BQW217" s="18"/>
      <c r="BQX217" s="18"/>
      <c r="BQY217" s="18"/>
      <c r="BQZ217" s="18"/>
      <c r="BRA217" s="18"/>
      <c r="BRB217" s="18"/>
      <c r="BRC217" s="18"/>
      <c r="BRD217" s="18"/>
      <c r="BRE217" s="18"/>
      <c r="BRF217" s="18"/>
      <c r="BRG217" s="18"/>
      <c r="BRH217" s="18"/>
      <c r="BRI217" s="18"/>
      <c r="BRJ217" s="18"/>
      <c r="BRK217" s="18"/>
      <c r="BRL217" s="18"/>
      <c r="BRM217" s="18"/>
      <c r="BRN217" s="18"/>
      <c r="BRO217" s="18"/>
      <c r="BRP217" s="18"/>
      <c r="BRQ217" s="18"/>
      <c r="BRR217" s="18"/>
      <c r="BRS217" s="18"/>
      <c r="BRT217" s="18"/>
      <c r="BRU217" s="18"/>
      <c r="BRV217" s="18"/>
      <c r="BRW217" s="18"/>
      <c r="BRX217" s="18"/>
      <c r="BRY217" s="18"/>
      <c r="BRZ217" s="18"/>
      <c r="BSA217" s="18"/>
      <c r="BSB217" s="18"/>
      <c r="BSC217" s="18"/>
      <c r="BSD217" s="18"/>
      <c r="BSE217" s="18"/>
      <c r="BSF217" s="18"/>
      <c r="BSG217" s="18"/>
      <c r="BSH217" s="18"/>
      <c r="BSI217" s="18"/>
      <c r="BSJ217" s="18"/>
      <c r="BSK217" s="18"/>
      <c r="BSL217" s="18"/>
      <c r="BSM217" s="18"/>
      <c r="BSN217" s="18"/>
      <c r="BSO217" s="18"/>
      <c r="BSP217" s="18"/>
      <c r="BSQ217" s="18"/>
      <c r="BSR217" s="18"/>
      <c r="BSS217" s="18"/>
      <c r="BST217" s="18"/>
      <c r="BSU217" s="18"/>
      <c r="BSV217" s="18"/>
      <c r="BSW217" s="18"/>
      <c r="BSX217" s="18"/>
      <c r="BSY217" s="18"/>
      <c r="BSZ217" s="18"/>
      <c r="BTA217" s="18"/>
      <c r="BTB217" s="18"/>
      <c r="BTC217" s="18"/>
      <c r="BTD217" s="18"/>
      <c r="BTE217" s="18"/>
      <c r="BTF217" s="18"/>
      <c r="BTG217" s="18"/>
      <c r="BTH217" s="18"/>
    </row>
    <row r="218" spans="1:1880" s="396" customFormat="1" ht="110.25" customHeight="1" x14ac:dyDescent="0.3">
      <c r="A218" s="115">
        <v>622</v>
      </c>
      <c r="B218" s="683" t="s">
        <v>304</v>
      </c>
      <c r="C218" s="115" t="s">
        <v>330</v>
      </c>
      <c r="D218" s="114" t="s">
        <v>601</v>
      </c>
      <c r="E218" s="343" t="e">
        <f>INDEX('PY1 Data(H)'!$A$1:$CZ$260,MATCH('Unit Data from Audit Worksheet'!$A218,'PY1 Data(H)'!$A$1:$A$260,0),MATCH('Unit Data from Audit Worksheet'!$D$2,'PY1 Data(H)'!$A$1:$CZ$1,0))</f>
        <v>#N/A</v>
      </c>
      <c r="F218" s="182">
        <v>0</v>
      </c>
      <c r="G218" s="375"/>
      <c r="H218" s="859"/>
      <c r="I218" s="859"/>
      <c r="J218" s="743"/>
      <c r="K218" s="551"/>
      <c r="L218"/>
      <c r="M218" s="18"/>
      <c r="N218" s="183"/>
      <c r="O218" s="18"/>
      <c r="P218" s="18"/>
      <c r="Q218" s="18"/>
      <c r="R218" s="18"/>
      <c r="S218" s="18"/>
      <c r="T218" s="18"/>
      <c r="U218" s="18"/>
      <c r="V218" s="18"/>
      <c r="W218" s="18"/>
      <c r="X218" s="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s="18"/>
      <c r="DT218" s="18"/>
      <c r="DU218" s="18"/>
      <c r="DV218" s="18"/>
      <c r="DW218" s="18"/>
      <c r="DX218" s="18"/>
      <c r="DY218" s="18"/>
      <c r="DZ218" s="18"/>
      <c r="EA218" s="18"/>
      <c r="EB218" s="18"/>
      <c r="EC218" s="18"/>
      <c r="ED218" s="18"/>
      <c r="EE218" s="18"/>
      <c r="EF218" s="18"/>
      <c r="EG218" s="18"/>
      <c r="EH218" s="18"/>
      <c r="EI218" s="18"/>
      <c r="EJ218" s="18"/>
      <c r="EK218" s="18"/>
      <c r="EL218" s="18"/>
      <c r="EM218" s="18"/>
      <c r="EN218" s="18"/>
      <c r="EO218" s="18"/>
      <c r="EP218" s="18"/>
      <c r="EQ218" s="18"/>
      <c r="ER218" s="18"/>
      <c r="ES218" s="18"/>
      <c r="ET218" s="18"/>
      <c r="EU218" s="18"/>
      <c r="EV218" s="18"/>
      <c r="EW218" s="18"/>
      <c r="EX218" s="18"/>
      <c r="EY218" s="18"/>
      <c r="EZ218" s="18"/>
      <c r="FA218" s="18"/>
      <c r="FB218" s="18"/>
      <c r="FC218" s="18"/>
      <c r="FD218" s="18"/>
      <c r="FE218" s="18"/>
      <c r="FF218" s="18"/>
      <c r="FG218" s="18"/>
      <c r="FH218" s="18"/>
      <c r="FI218" s="18"/>
      <c r="FJ218" s="18"/>
      <c r="FK218" s="18"/>
      <c r="FL218" s="18"/>
      <c r="FM218" s="18"/>
      <c r="FN218" s="18"/>
      <c r="FO218" s="18"/>
      <c r="FP218" s="18"/>
      <c r="FQ218" s="18"/>
      <c r="FR218" s="18"/>
      <c r="FS218" s="18"/>
      <c r="FT218" s="18"/>
      <c r="FU218" s="18"/>
      <c r="FV218" s="18"/>
      <c r="FW218" s="18"/>
      <c r="FX218" s="18"/>
      <c r="FY218" s="18"/>
      <c r="FZ218" s="18"/>
      <c r="GA218" s="18"/>
      <c r="GB218" s="18"/>
      <c r="GC218" s="18"/>
      <c r="GD218" s="18"/>
      <c r="GE218" s="18"/>
      <c r="GF218" s="18"/>
      <c r="GG218" s="18"/>
      <c r="GH218" s="18"/>
      <c r="GI218" s="18"/>
      <c r="GJ218" s="18"/>
      <c r="GK218" s="18"/>
      <c r="GL218" s="18"/>
      <c r="GM218" s="18"/>
      <c r="GN218" s="18"/>
      <c r="GO218" s="18"/>
      <c r="GP218" s="18"/>
      <c r="GQ218" s="18"/>
      <c r="GR218" s="18"/>
      <c r="GS218" s="18"/>
      <c r="GT218" s="18"/>
      <c r="GU218" s="18"/>
      <c r="GV218" s="18"/>
      <c r="GW218" s="18"/>
      <c r="GX218" s="18"/>
      <c r="GY218" s="18"/>
      <c r="GZ218" s="18"/>
      <c r="HA218" s="18"/>
      <c r="HB218" s="18"/>
      <c r="HC218" s="18"/>
      <c r="HD218" s="18"/>
      <c r="HE218" s="18"/>
      <c r="HF218" s="18"/>
      <c r="HG218" s="18"/>
      <c r="HH218" s="18"/>
      <c r="HI218" s="18"/>
      <c r="HJ218" s="18"/>
      <c r="HK218" s="18"/>
      <c r="HL218" s="18"/>
      <c r="HM218" s="18"/>
      <c r="HN218" s="18"/>
      <c r="HO218" s="18"/>
      <c r="HP218" s="18"/>
      <c r="HQ218" s="18"/>
      <c r="HR218" s="18"/>
      <c r="HS218" s="18"/>
      <c r="HT218" s="18"/>
      <c r="HU218" s="18"/>
      <c r="HV218" s="18"/>
      <c r="HW218" s="18"/>
      <c r="HX218" s="18"/>
      <c r="HY218" s="18"/>
      <c r="HZ218" s="18"/>
      <c r="IA218" s="18"/>
      <c r="IB218" s="18"/>
      <c r="IC218" s="18"/>
      <c r="ID218" s="18"/>
      <c r="IE218" s="18"/>
      <c r="IF218" s="18"/>
      <c r="IG218" s="18"/>
      <c r="IH218" s="18"/>
      <c r="II218" s="18"/>
      <c r="IJ218" s="18"/>
      <c r="IK218" s="18"/>
      <c r="IL218" s="18"/>
      <c r="IM218" s="18"/>
      <c r="IN218" s="18"/>
      <c r="IO218" s="18"/>
      <c r="IP218" s="18"/>
      <c r="IQ218" s="18"/>
      <c r="IR218" s="18"/>
      <c r="IS218" s="18"/>
      <c r="IT218" s="18"/>
      <c r="IU218" s="18"/>
      <c r="IV218" s="18"/>
      <c r="IW218" s="18"/>
      <c r="IX218" s="18"/>
      <c r="IY218" s="18"/>
      <c r="IZ218" s="18"/>
      <c r="JA218" s="18"/>
      <c r="JB218" s="18"/>
      <c r="JC218" s="18"/>
      <c r="JD218" s="18"/>
      <c r="JE218" s="18"/>
      <c r="JF218" s="18"/>
      <c r="JG218" s="18"/>
      <c r="JH218" s="18"/>
      <c r="JI218" s="18"/>
      <c r="JJ218" s="18"/>
      <c r="JK218" s="18"/>
      <c r="JL218" s="18"/>
      <c r="JM218" s="18"/>
      <c r="JN218" s="18"/>
      <c r="JO218" s="18"/>
      <c r="JP218" s="18"/>
      <c r="JQ218" s="18"/>
      <c r="JR218" s="18"/>
      <c r="JS218" s="18"/>
      <c r="JT218" s="18"/>
      <c r="JU218" s="18"/>
      <c r="JV218" s="18"/>
      <c r="JW218" s="18"/>
      <c r="JX218" s="18"/>
      <c r="JY218" s="18"/>
      <c r="JZ218" s="18"/>
      <c r="KA218" s="18"/>
      <c r="KB218" s="18"/>
      <c r="KC218" s="18"/>
      <c r="KD218" s="18"/>
      <c r="KE218" s="18"/>
      <c r="KF218" s="18"/>
      <c r="KG218" s="18"/>
      <c r="KH218" s="18"/>
      <c r="KI218" s="18"/>
      <c r="KJ218" s="18"/>
      <c r="KK218" s="18"/>
      <c r="KL218" s="18"/>
      <c r="KM218" s="18"/>
      <c r="KN218" s="18"/>
      <c r="KO218" s="18"/>
      <c r="KP218" s="18"/>
      <c r="KQ218" s="18"/>
      <c r="KR218" s="18"/>
      <c r="KS218" s="18"/>
      <c r="KT218" s="18"/>
      <c r="KU218" s="18"/>
      <c r="KV218" s="18"/>
      <c r="KW218" s="18"/>
      <c r="KX218" s="18"/>
      <c r="KY218" s="18"/>
      <c r="KZ218" s="18"/>
      <c r="LA218" s="18"/>
      <c r="LB218" s="18"/>
      <c r="LC218" s="18"/>
      <c r="LD218" s="18"/>
      <c r="LE218" s="18"/>
      <c r="LF218" s="18"/>
      <c r="LG218" s="18"/>
      <c r="LH218" s="18"/>
      <c r="LI218" s="18"/>
      <c r="LJ218" s="18"/>
      <c r="LK218" s="18"/>
      <c r="LL218" s="18"/>
      <c r="LM218" s="18"/>
      <c r="LN218" s="18"/>
      <c r="LO218" s="18"/>
      <c r="LP218" s="18"/>
      <c r="LQ218" s="18"/>
      <c r="LR218" s="18"/>
      <c r="LS218" s="18"/>
      <c r="LT218" s="18"/>
      <c r="LU218" s="18"/>
      <c r="LV218" s="18"/>
      <c r="LW218" s="18"/>
      <c r="LX218" s="18"/>
      <c r="LY218" s="18"/>
      <c r="LZ218" s="18"/>
      <c r="MA218" s="18"/>
      <c r="MB218" s="18"/>
      <c r="MC218" s="18"/>
      <c r="MD218" s="18"/>
      <c r="ME218" s="18"/>
      <c r="MF218" s="18"/>
      <c r="MG218" s="18"/>
      <c r="MH218" s="18"/>
      <c r="MI218" s="18"/>
      <c r="MJ218" s="18"/>
      <c r="MK218" s="18"/>
      <c r="ML218" s="18"/>
      <c r="MM218" s="18"/>
      <c r="MN218" s="18"/>
      <c r="MO218" s="18"/>
      <c r="MP218" s="18"/>
      <c r="MQ218" s="18"/>
      <c r="MR218" s="18"/>
      <c r="MS218" s="18"/>
      <c r="MT218" s="18"/>
      <c r="MU218" s="18"/>
      <c r="MV218" s="18"/>
      <c r="MW218" s="18"/>
      <c r="MX218" s="18"/>
      <c r="MY218" s="18"/>
      <c r="MZ218" s="18"/>
      <c r="NA218" s="18"/>
      <c r="NB218" s="18"/>
      <c r="NC218" s="18"/>
      <c r="ND218" s="18"/>
      <c r="NE218" s="18"/>
      <c r="NF218" s="18"/>
      <c r="NG218" s="18"/>
      <c r="NH218" s="18"/>
      <c r="NI218" s="18"/>
      <c r="NJ218" s="18"/>
      <c r="NK218" s="18"/>
      <c r="NL218" s="18"/>
      <c r="NM218" s="18"/>
      <c r="NN218" s="18"/>
      <c r="NO218" s="18"/>
      <c r="NP218" s="18"/>
      <c r="NQ218" s="18"/>
      <c r="NR218" s="18"/>
      <c r="NS218" s="18"/>
      <c r="NT218" s="18"/>
      <c r="NU218" s="18"/>
      <c r="NV218" s="18"/>
      <c r="NW218" s="18"/>
      <c r="NX218" s="18"/>
      <c r="NY218" s="18"/>
      <c r="NZ218" s="18"/>
      <c r="OA218" s="18"/>
      <c r="OB218" s="18"/>
      <c r="OC218" s="18"/>
      <c r="OD218" s="18"/>
      <c r="OE218" s="18"/>
      <c r="OF218" s="18"/>
      <c r="OG218" s="18"/>
      <c r="OH218" s="18"/>
      <c r="OI218" s="18"/>
      <c r="OJ218" s="18"/>
      <c r="OK218" s="18"/>
      <c r="OL218" s="18"/>
      <c r="OM218" s="18"/>
      <c r="ON218" s="18"/>
      <c r="OO218" s="18"/>
      <c r="OP218" s="18"/>
      <c r="OQ218" s="18"/>
      <c r="OR218" s="18"/>
      <c r="OS218" s="18"/>
      <c r="OT218" s="18"/>
      <c r="OU218" s="18"/>
      <c r="OV218" s="18"/>
      <c r="OW218" s="18"/>
      <c r="OX218" s="18"/>
      <c r="OY218" s="18"/>
      <c r="OZ218" s="18"/>
      <c r="PA218" s="18"/>
      <c r="PB218" s="18"/>
      <c r="PC218" s="18"/>
      <c r="PD218" s="18"/>
      <c r="PE218" s="18"/>
      <c r="PF218" s="18"/>
      <c r="PG218" s="18"/>
      <c r="PH218" s="18"/>
      <c r="PI218" s="18"/>
      <c r="PJ218" s="18"/>
      <c r="PK218" s="18"/>
      <c r="PL218" s="18"/>
      <c r="PM218" s="18"/>
      <c r="PN218" s="18"/>
      <c r="PO218" s="18"/>
      <c r="PP218" s="18"/>
      <c r="PQ218" s="18"/>
      <c r="PR218" s="18"/>
      <c r="PS218" s="18"/>
      <c r="PT218" s="18"/>
      <c r="PU218" s="18"/>
      <c r="PV218" s="18"/>
      <c r="PW218" s="18"/>
      <c r="PX218" s="18"/>
      <c r="PY218" s="18"/>
      <c r="PZ218" s="18"/>
      <c r="QA218" s="18"/>
      <c r="QB218" s="18"/>
      <c r="QC218" s="18"/>
      <c r="QD218" s="18"/>
      <c r="QE218" s="18"/>
      <c r="QF218" s="18"/>
      <c r="QG218" s="18"/>
      <c r="QH218" s="18"/>
      <c r="QI218" s="18"/>
      <c r="QJ218" s="18"/>
      <c r="QK218" s="18"/>
      <c r="QL218" s="18"/>
      <c r="QM218" s="18"/>
      <c r="QN218" s="18"/>
      <c r="QO218" s="18"/>
      <c r="QP218" s="18"/>
      <c r="QQ218" s="18"/>
      <c r="QR218" s="18"/>
      <c r="QS218" s="18"/>
      <c r="QT218" s="18"/>
      <c r="QU218" s="18"/>
      <c r="QV218" s="18"/>
      <c r="QW218" s="18"/>
      <c r="QX218" s="18"/>
      <c r="QY218" s="18"/>
      <c r="QZ218" s="18"/>
      <c r="RA218" s="18"/>
      <c r="RB218" s="18"/>
      <c r="RC218" s="18"/>
      <c r="RD218" s="18"/>
      <c r="RE218" s="18"/>
      <c r="RF218" s="18"/>
      <c r="RG218" s="18"/>
      <c r="RH218" s="18"/>
      <c r="RI218" s="18"/>
      <c r="RJ218" s="18"/>
      <c r="RK218" s="18"/>
      <c r="RL218" s="18"/>
      <c r="RM218" s="18"/>
      <c r="RN218" s="18"/>
      <c r="RO218" s="18"/>
      <c r="RP218" s="18"/>
      <c r="RQ218" s="18"/>
      <c r="RR218" s="18"/>
      <c r="RS218" s="18"/>
      <c r="RT218" s="18"/>
      <c r="RU218" s="18"/>
      <c r="RV218" s="18"/>
      <c r="RW218" s="18"/>
      <c r="RX218" s="18"/>
      <c r="RY218" s="18"/>
      <c r="RZ218" s="18"/>
      <c r="SA218" s="18"/>
      <c r="SB218" s="18"/>
      <c r="SC218" s="18"/>
      <c r="SD218" s="18"/>
      <c r="SE218" s="18"/>
      <c r="SF218" s="18"/>
      <c r="SG218" s="18"/>
      <c r="SH218" s="18"/>
      <c r="SI218" s="18"/>
      <c r="SJ218" s="18"/>
      <c r="SK218" s="18"/>
      <c r="SL218" s="18"/>
      <c r="SM218" s="18"/>
      <c r="SN218" s="18"/>
      <c r="SO218" s="18"/>
      <c r="SP218" s="18"/>
      <c r="SQ218" s="18"/>
      <c r="SR218" s="18"/>
      <c r="SS218" s="18"/>
      <c r="ST218" s="18"/>
      <c r="SU218" s="18"/>
      <c r="SV218" s="18"/>
      <c r="SW218" s="18"/>
      <c r="SX218" s="18"/>
      <c r="SY218" s="18"/>
      <c r="SZ218" s="18"/>
      <c r="TA218" s="18"/>
      <c r="TB218" s="18"/>
      <c r="TC218" s="18"/>
      <c r="TD218" s="18"/>
      <c r="TE218" s="18"/>
      <c r="TF218" s="18"/>
      <c r="TG218" s="18"/>
      <c r="TH218" s="18"/>
      <c r="TI218" s="18"/>
      <c r="TJ218" s="18"/>
      <c r="TK218" s="18"/>
      <c r="TL218" s="18"/>
      <c r="TM218" s="18"/>
      <c r="TN218" s="18"/>
      <c r="TO218" s="18"/>
      <c r="TP218" s="18"/>
      <c r="TQ218" s="18"/>
      <c r="TR218" s="18"/>
      <c r="TS218" s="18"/>
      <c r="TT218" s="18"/>
      <c r="TU218" s="18"/>
      <c r="TV218" s="18"/>
      <c r="TW218" s="18"/>
      <c r="TX218" s="18"/>
      <c r="TY218" s="18"/>
      <c r="TZ218" s="18"/>
      <c r="UA218" s="18"/>
      <c r="UB218" s="18"/>
      <c r="UC218" s="18"/>
      <c r="UD218" s="18"/>
      <c r="UE218" s="18"/>
      <c r="UF218" s="18"/>
      <c r="UG218" s="18"/>
      <c r="UH218" s="18"/>
      <c r="UI218" s="18"/>
      <c r="UJ218" s="18"/>
      <c r="UK218" s="18"/>
      <c r="UL218" s="18"/>
      <c r="UM218" s="18"/>
      <c r="UN218" s="18"/>
      <c r="UO218" s="18"/>
      <c r="UP218" s="18"/>
      <c r="UQ218" s="18"/>
      <c r="UR218" s="18"/>
      <c r="US218" s="18"/>
      <c r="UT218" s="18"/>
      <c r="UU218" s="18"/>
      <c r="UV218" s="18"/>
      <c r="UW218" s="18"/>
      <c r="UX218" s="18"/>
      <c r="UY218" s="18"/>
      <c r="UZ218" s="18"/>
      <c r="VA218" s="18"/>
      <c r="VB218" s="18"/>
      <c r="VC218" s="18"/>
      <c r="VD218" s="18"/>
      <c r="VE218" s="18"/>
      <c r="VF218" s="18"/>
      <c r="VG218" s="18"/>
      <c r="VH218" s="18"/>
      <c r="VI218" s="18"/>
      <c r="VJ218" s="18"/>
      <c r="VK218" s="18"/>
      <c r="VL218" s="18"/>
      <c r="VM218" s="18"/>
      <c r="VN218" s="18"/>
      <c r="VO218" s="18"/>
      <c r="VP218" s="18"/>
      <c r="VQ218" s="18"/>
      <c r="VR218" s="18"/>
      <c r="VS218" s="18"/>
      <c r="VT218" s="18"/>
      <c r="VU218" s="18"/>
      <c r="VV218" s="18"/>
      <c r="VW218" s="18"/>
      <c r="VX218" s="18"/>
      <c r="VY218" s="18"/>
      <c r="VZ218" s="18"/>
      <c r="WA218" s="18"/>
      <c r="WB218" s="18"/>
      <c r="WC218" s="18"/>
      <c r="WD218" s="18"/>
      <c r="WE218" s="18"/>
      <c r="WF218" s="18"/>
      <c r="WG218" s="18"/>
      <c r="WH218" s="18"/>
      <c r="WI218" s="18"/>
      <c r="WJ218" s="18"/>
      <c r="WK218" s="18"/>
      <c r="WL218" s="18"/>
      <c r="WM218" s="18"/>
      <c r="WN218" s="18"/>
      <c r="WO218" s="18"/>
      <c r="WP218" s="18"/>
      <c r="WQ218" s="18"/>
      <c r="WR218" s="18"/>
      <c r="WS218" s="18"/>
      <c r="WT218" s="18"/>
      <c r="WU218" s="18"/>
      <c r="WV218" s="18"/>
      <c r="WW218" s="18"/>
      <c r="WX218" s="18"/>
      <c r="WY218" s="18"/>
      <c r="WZ218" s="18"/>
      <c r="XA218" s="18"/>
      <c r="XB218" s="18"/>
      <c r="XC218" s="18"/>
      <c r="XD218" s="18"/>
      <c r="XE218" s="18"/>
      <c r="XF218" s="18"/>
      <c r="XG218" s="18"/>
      <c r="XH218" s="18"/>
      <c r="XI218" s="18"/>
      <c r="XJ218" s="18"/>
      <c r="XK218" s="18"/>
      <c r="XL218" s="18"/>
      <c r="XM218" s="18"/>
      <c r="XN218" s="18"/>
      <c r="XO218" s="18"/>
      <c r="XP218" s="18"/>
      <c r="XQ218" s="18"/>
      <c r="XR218" s="18"/>
      <c r="XS218" s="18"/>
      <c r="XT218" s="18"/>
      <c r="XU218" s="18"/>
      <c r="XV218" s="18"/>
      <c r="XW218" s="18"/>
      <c r="XX218" s="18"/>
      <c r="XY218" s="18"/>
      <c r="XZ218" s="18"/>
      <c r="YA218" s="18"/>
      <c r="YB218" s="18"/>
      <c r="YC218" s="18"/>
      <c r="YD218" s="18"/>
      <c r="YE218" s="18"/>
      <c r="YF218" s="18"/>
      <c r="YG218" s="18"/>
      <c r="YH218" s="18"/>
      <c r="YI218" s="18"/>
      <c r="YJ218" s="18"/>
      <c r="YK218" s="18"/>
      <c r="YL218" s="18"/>
      <c r="YM218" s="18"/>
      <c r="YN218" s="18"/>
      <c r="YO218" s="18"/>
      <c r="YP218" s="18"/>
      <c r="YQ218" s="18"/>
      <c r="YR218" s="18"/>
      <c r="YS218" s="18"/>
      <c r="YT218" s="18"/>
      <c r="YU218" s="18"/>
      <c r="YV218" s="18"/>
      <c r="YW218" s="18"/>
      <c r="YX218" s="18"/>
      <c r="YY218" s="18"/>
      <c r="YZ218" s="18"/>
      <c r="ZA218" s="18"/>
      <c r="ZB218" s="18"/>
      <c r="ZC218" s="18"/>
      <c r="ZD218" s="18"/>
      <c r="ZE218" s="18"/>
      <c r="ZF218" s="18"/>
      <c r="ZG218" s="18"/>
      <c r="ZH218" s="18"/>
      <c r="ZI218" s="18"/>
      <c r="ZJ218" s="18"/>
      <c r="ZK218" s="18"/>
      <c r="ZL218" s="18"/>
      <c r="ZM218" s="18"/>
      <c r="ZN218" s="18"/>
      <c r="ZO218" s="18"/>
      <c r="ZP218" s="18"/>
      <c r="ZQ218" s="18"/>
      <c r="ZR218" s="18"/>
      <c r="ZS218" s="18"/>
      <c r="ZT218" s="18"/>
      <c r="ZU218" s="18"/>
      <c r="ZV218" s="18"/>
      <c r="ZW218" s="18"/>
      <c r="ZX218" s="18"/>
      <c r="ZY218" s="18"/>
      <c r="ZZ218" s="18"/>
      <c r="AAA218" s="18"/>
      <c r="AAB218" s="18"/>
      <c r="AAC218" s="18"/>
      <c r="AAD218" s="18"/>
      <c r="AAE218" s="18"/>
      <c r="AAF218" s="18"/>
      <c r="AAG218" s="18"/>
      <c r="AAH218" s="18"/>
      <c r="AAI218" s="18"/>
      <c r="AAJ218" s="18"/>
      <c r="AAK218" s="18"/>
      <c r="AAL218" s="18"/>
      <c r="AAM218" s="18"/>
      <c r="AAN218" s="18"/>
      <c r="AAO218" s="18"/>
      <c r="AAP218" s="18"/>
      <c r="AAQ218" s="18"/>
      <c r="AAR218" s="18"/>
      <c r="AAS218" s="18"/>
      <c r="AAT218" s="18"/>
      <c r="AAU218" s="18"/>
      <c r="AAV218" s="18"/>
      <c r="AAW218" s="18"/>
      <c r="AAX218" s="18"/>
      <c r="AAY218" s="18"/>
      <c r="AAZ218" s="18"/>
      <c r="ABA218" s="18"/>
      <c r="ABB218" s="18"/>
      <c r="ABC218" s="18"/>
      <c r="ABD218" s="18"/>
      <c r="ABE218" s="18"/>
      <c r="ABF218" s="18"/>
      <c r="ABG218" s="18"/>
      <c r="ABH218" s="18"/>
      <c r="ABI218" s="18"/>
      <c r="ABJ218" s="18"/>
      <c r="ABK218" s="18"/>
      <c r="ABL218" s="18"/>
      <c r="ABM218" s="18"/>
      <c r="ABN218" s="18"/>
      <c r="ABO218" s="18"/>
      <c r="ABP218" s="18"/>
      <c r="ABQ218" s="18"/>
      <c r="ABR218" s="18"/>
      <c r="ABS218" s="18"/>
      <c r="ABT218" s="18"/>
      <c r="ABU218" s="18"/>
      <c r="ABV218" s="18"/>
      <c r="ABW218" s="18"/>
      <c r="ABX218" s="18"/>
      <c r="ABY218" s="18"/>
      <c r="ABZ218" s="18"/>
      <c r="ACA218" s="18"/>
      <c r="ACB218" s="18"/>
      <c r="ACC218" s="18"/>
      <c r="ACD218" s="18"/>
      <c r="ACE218" s="18"/>
      <c r="ACF218" s="18"/>
      <c r="ACG218" s="18"/>
      <c r="ACH218" s="18"/>
      <c r="ACI218" s="18"/>
      <c r="ACJ218" s="18"/>
      <c r="ACK218" s="18"/>
      <c r="ACL218" s="18"/>
      <c r="ACM218" s="18"/>
      <c r="ACN218" s="18"/>
      <c r="ACO218" s="18"/>
      <c r="ACP218" s="18"/>
      <c r="ACQ218" s="18"/>
      <c r="ACR218" s="18"/>
      <c r="ACS218" s="18"/>
      <c r="ACT218" s="18"/>
      <c r="ACU218" s="18"/>
      <c r="ACV218" s="18"/>
      <c r="ACW218" s="18"/>
      <c r="ACX218" s="18"/>
      <c r="ACY218" s="18"/>
      <c r="ACZ218" s="18"/>
      <c r="ADA218" s="18"/>
      <c r="ADB218" s="18"/>
      <c r="ADC218" s="18"/>
      <c r="ADD218" s="18"/>
      <c r="ADE218" s="18"/>
      <c r="ADF218" s="18"/>
      <c r="ADG218" s="18"/>
      <c r="ADH218" s="18"/>
      <c r="ADI218" s="18"/>
      <c r="ADJ218" s="18"/>
      <c r="ADK218" s="18"/>
      <c r="ADL218" s="18"/>
      <c r="ADM218" s="18"/>
      <c r="ADN218" s="18"/>
      <c r="ADO218" s="18"/>
      <c r="ADP218" s="18"/>
      <c r="ADQ218" s="18"/>
      <c r="ADR218" s="18"/>
      <c r="ADS218" s="18"/>
      <c r="ADT218" s="18"/>
      <c r="ADU218" s="18"/>
      <c r="ADV218" s="18"/>
      <c r="ADW218" s="18"/>
      <c r="ADX218" s="18"/>
      <c r="ADY218" s="18"/>
      <c r="ADZ218" s="18"/>
      <c r="AEA218" s="18"/>
      <c r="AEB218" s="18"/>
      <c r="AEC218" s="18"/>
      <c r="AED218" s="18"/>
      <c r="AEE218" s="18"/>
      <c r="AEF218" s="18"/>
      <c r="AEG218" s="18"/>
      <c r="AEH218" s="18"/>
      <c r="AEI218" s="18"/>
      <c r="AEJ218" s="18"/>
      <c r="AEK218" s="18"/>
      <c r="AEL218" s="18"/>
      <c r="AEM218" s="18"/>
      <c r="AEN218" s="18"/>
      <c r="AEO218" s="18"/>
      <c r="AEP218" s="18"/>
      <c r="AEQ218" s="18"/>
      <c r="AER218" s="18"/>
      <c r="AES218" s="18"/>
      <c r="AET218" s="18"/>
      <c r="AEU218" s="18"/>
      <c r="AEV218" s="18"/>
      <c r="AEW218" s="18"/>
      <c r="AEX218" s="18"/>
      <c r="AEY218" s="18"/>
      <c r="AEZ218" s="18"/>
      <c r="AFA218" s="18"/>
      <c r="AFB218" s="18"/>
      <c r="AFC218" s="18"/>
      <c r="AFD218" s="18"/>
      <c r="AFE218" s="18"/>
      <c r="AFF218" s="18"/>
      <c r="AFG218" s="18"/>
      <c r="AFH218" s="18"/>
      <c r="AFI218" s="18"/>
      <c r="AFJ218" s="18"/>
      <c r="AFK218" s="18"/>
      <c r="AFL218" s="18"/>
      <c r="AFM218" s="18"/>
      <c r="AFN218" s="18"/>
      <c r="AFO218" s="18"/>
      <c r="AFP218" s="18"/>
      <c r="AFQ218" s="18"/>
      <c r="AFR218" s="18"/>
      <c r="AFS218" s="18"/>
      <c r="AFT218" s="18"/>
      <c r="AFU218" s="18"/>
      <c r="AFV218" s="18"/>
      <c r="AFW218" s="18"/>
      <c r="AFX218" s="18"/>
      <c r="AFY218" s="18"/>
      <c r="AFZ218" s="18"/>
      <c r="AGA218" s="18"/>
      <c r="AGB218" s="18"/>
      <c r="AGC218" s="18"/>
      <c r="AGD218" s="18"/>
      <c r="AGE218" s="18"/>
      <c r="AGF218" s="18"/>
      <c r="AGG218" s="18"/>
      <c r="AGH218" s="18"/>
      <c r="AGI218" s="18"/>
      <c r="AGJ218" s="18"/>
      <c r="AGK218" s="18"/>
      <c r="AGL218" s="18"/>
      <c r="AGM218" s="18"/>
      <c r="AGN218" s="18"/>
      <c r="AGO218" s="18"/>
      <c r="AGP218" s="18"/>
      <c r="AGQ218" s="18"/>
      <c r="AGR218" s="18"/>
      <c r="AGS218" s="18"/>
      <c r="AGT218" s="18"/>
      <c r="AGU218" s="18"/>
      <c r="AGV218" s="18"/>
      <c r="AGW218" s="18"/>
      <c r="AGX218" s="18"/>
      <c r="AGY218" s="18"/>
      <c r="AGZ218" s="18"/>
      <c r="AHA218" s="18"/>
      <c r="AHB218" s="18"/>
      <c r="AHC218" s="18"/>
      <c r="AHD218" s="18"/>
      <c r="AHE218" s="18"/>
      <c r="AHF218" s="18"/>
      <c r="AHG218" s="18"/>
      <c r="AHH218" s="18"/>
      <c r="AHI218" s="18"/>
      <c r="AHJ218" s="18"/>
      <c r="AHK218" s="18"/>
      <c r="AHL218" s="18"/>
      <c r="AHM218" s="18"/>
      <c r="AHN218" s="18"/>
      <c r="AHO218" s="18"/>
      <c r="AHP218" s="18"/>
      <c r="AHQ218" s="18"/>
      <c r="AHR218" s="18"/>
      <c r="AHS218" s="18"/>
      <c r="AHT218" s="18"/>
      <c r="AHU218" s="18"/>
      <c r="AHV218" s="18"/>
      <c r="AHW218" s="18"/>
      <c r="AHX218" s="18"/>
      <c r="AHY218" s="18"/>
      <c r="AHZ218" s="18"/>
      <c r="AIA218" s="18"/>
      <c r="AIB218" s="18"/>
      <c r="AIC218" s="18"/>
      <c r="AID218" s="18"/>
      <c r="AIE218" s="18"/>
      <c r="AIF218" s="18"/>
      <c r="AIG218" s="18"/>
      <c r="AIH218" s="18"/>
      <c r="AII218" s="18"/>
      <c r="AIJ218" s="18"/>
      <c r="AIK218" s="18"/>
      <c r="AIL218" s="18"/>
      <c r="AIM218" s="18"/>
      <c r="AIN218" s="18"/>
      <c r="AIO218" s="18"/>
      <c r="AIP218" s="18"/>
      <c r="AIQ218" s="18"/>
      <c r="AIR218" s="18"/>
      <c r="AIS218" s="18"/>
      <c r="AIT218" s="18"/>
      <c r="AIU218" s="18"/>
      <c r="AIV218" s="18"/>
      <c r="AIW218" s="18"/>
      <c r="AIX218" s="18"/>
      <c r="AIY218" s="18"/>
      <c r="AIZ218" s="18"/>
      <c r="AJA218" s="18"/>
      <c r="AJB218" s="18"/>
      <c r="AJC218" s="18"/>
      <c r="AJD218" s="18"/>
      <c r="AJE218" s="18"/>
      <c r="AJF218" s="18"/>
      <c r="AJG218" s="18"/>
      <c r="AJH218" s="18"/>
      <c r="AJI218" s="18"/>
      <c r="AJJ218" s="18"/>
      <c r="AJK218" s="18"/>
      <c r="AJL218" s="18"/>
      <c r="AJM218" s="18"/>
      <c r="AJN218" s="18"/>
      <c r="AJO218" s="18"/>
      <c r="AJP218" s="18"/>
      <c r="AJQ218" s="18"/>
      <c r="AJR218" s="18"/>
      <c r="AJS218" s="18"/>
      <c r="AJT218" s="18"/>
      <c r="AJU218" s="18"/>
      <c r="AJV218" s="18"/>
      <c r="AJW218" s="18"/>
      <c r="AJX218" s="18"/>
      <c r="AJY218" s="18"/>
      <c r="AJZ218" s="18"/>
      <c r="AKA218" s="18"/>
      <c r="AKB218" s="18"/>
      <c r="AKC218" s="18"/>
      <c r="AKD218" s="18"/>
      <c r="AKE218" s="18"/>
      <c r="AKF218" s="18"/>
      <c r="AKG218" s="18"/>
      <c r="AKH218" s="18"/>
      <c r="AKI218" s="18"/>
      <c r="AKJ218" s="18"/>
      <c r="AKK218" s="18"/>
      <c r="AKL218" s="18"/>
      <c r="AKM218" s="18"/>
      <c r="AKN218" s="18"/>
      <c r="AKO218" s="18"/>
      <c r="AKP218" s="18"/>
      <c r="AKQ218" s="18"/>
      <c r="AKR218" s="18"/>
      <c r="AKS218" s="18"/>
      <c r="AKT218" s="18"/>
      <c r="AKU218" s="18"/>
      <c r="AKV218" s="18"/>
      <c r="AKW218" s="18"/>
      <c r="AKX218" s="18"/>
      <c r="AKY218" s="18"/>
      <c r="AKZ218" s="18"/>
      <c r="ALA218" s="18"/>
      <c r="ALB218" s="18"/>
      <c r="ALC218" s="18"/>
      <c r="ALD218" s="18"/>
      <c r="ALE218" s="18"/>
      <c r="ALF218" s="18"/>
      <c r="ALG218" s="18"/>
      <c r="ALH218" s="18"/>
      <c r="ALI218" s="18"/>
      <c r="ALJ218" s="18"/>
      <c r="ALK218" s="18"/>
      <c r="ALL218" s="18"/>
      <c r="ALM218" s="18"/>
      <c r="ALN218" s="18"/>
      <c r="ALO218" s="18"/>
      <c r="ALP218" s="18"/>
      <c r="ALQ218" s="18"/>
      <c r="ALR218" s="18"/>
      <c r="ALS218" s="18"/>
      <c r="ALT218" s="18"/>
      <c r="ALU218" s="18"/>
      <c r="ALV218" s="18"/>
      <c r="ALW218" s="18"/>
      <c r="ALX218" s="18"/>
      <c r="ALY218" s="18"/>
      <c r="ALZ218" s="18"/>
      <c r="AMA218" s="18"/>
      <c r="AMB218" s="18"/>
      <c r="AMC218" s="18"/>
      <c r="AMD218" s="18"/>
      <c r="AME218" s="18"/>
      <c r="AMF218" s="18"/>
      <c r="AMG218" s="18"/>
      <c r="AMH218" s="18"/>
      <c r="AMI218" s="18"/>
      <c r="AMJ218" s="18"/>
      <c r="AMK218" s="18"/>
      <c r="AML218" s="18"/>
      <c r="AMM218" s="18"/>
      <c r="AMN218" s="18"/>
      <c r="AMO218" s="18"/>
      <c r="AMP218" s="18"/>
      <c r="AMQ218" s="18"/>
      <c r="AMR218" s="18"/>
      <c r="AMS218" s="18"/>
      <c r="AMT218" s="18"/>
      <c r="AMU218" s="18"/>
      <c r="AMV218" s="18"/>
      <c r="AMW218" s="18"/>
      <c r="AMX218" s="18"/>
      <c r="AMY218" s="18"/>
      <c r="AMZ218" s="18"/>
      <c r="ANA218" s="18"/>
      <c r="ANB218" s="18"/>
      <c r="ANC218" s="18"/>
      <c r="AND218" s="18"/>
      <c r="ANE218" s="18"/>
      <c r="ANF218" s="18"/>
      <c r="ANG218" s="18"/>
      <c r="ANH218" s="18"/>
      <c r="ANI218" s="18"/>
      <c r="ANJ218" s="18"/>
      <c r="ANK218" s="18"/>
      <c r="ANL218" s="18"/>
      <c r="ANM218" s="18"/>
      <c r="ANN218" s="18"/>
      <c r="ANO218" s="18"/>
      <c r="ANP218" s="18"/>
      <c r="ANQ218" s="18"/>
      <c r="ANR218" s="18"/>
      <c r="ANS218" s="18"/>
      <c r="ANT218" s="18"/>
      <c r="ANU218" s="18"/>
      <c r="ANV218" s="18"/>
      <c r="ANW218" s="18"/>
      <c r="ANX218" s="18"/>
      <c r="ANY218" s="18"/>
      <c r="ANZ218" s="18"/>
      <c r="AOA218" s="18"/>
      <c r="AOB218" s="18"/>
      <c r="AOC218" s="18"/>
      <c r="AOD218" s="18"/>
      <c r="AOE218" s="18"/>
      <c r="AOF218" s="18"/>
      <c r="AOG218" s="18"/>
      <c r="AOH218" s="18"/>
      <c r="AOI218" s="18"/>
      <c r="AOJ218" s="18"/>
      <c r="AOK218" s="18"/>
      <c r="AOL218" s="18"/>
      <c r="AOM218" s="18"/>
      <c r="AON218" s="18"/>
      <c r="AOO218" s="18"/>
      <c r="AOP218" s="18"/>
      <c r="AOQ218" s="18"/>
      <c r="AOR218" s="18"/>
      <c r="AOS218" s="18"/>
      <c r="AOT218" s="18"/>
      <c r="AOU218" s="18"/>
      <c r="AOV218" s="18"/>
      <c r="AOW218" s="18"/>
      <c r="AOX218" s="18"/>
      <c r="AOY218" s="18"/>
      <c r="AOZ218" s="18"/>
      <c r="APA218" s="18"/>
      <c r="APB218" s="18"/>
      <c r="APC218" s="18"/>
      <c r="APD218" s="18"/>
      <c r="APE218" s="18"/>
      <c r="APF218" s="18"/>
      <c r="APG218" s="18"/>
      <c r="APH218" s="18"/>
      <c r="API218" s="18"/>
      <c r="APJ218" s="18"/>
      <c r="APK218" s="18"/>
      <c r="APL218" s="18"/>
      <c r="APM218" s="18"/>
      <c r="APN218" s="18"/>
      <c r="APO218" s="18"/>
      <c r="APP218" s="18"/>
      <c r="APQ218" s="18"/>
      <c r="APR218" s="18"/>
      <c r="APS218" s="18"/>
      <c r="APT218" s="18"/>
      <c r="APU218" s="18"/>
      <c r="APV218" s="18"/>
      <c r="APW218" s="18"/>
      <c r="APX218" s="18"/>
      <c r="APY218" s="18"/>
      <c r="APZ218" s="18"/>
      <c r="AQA218" s="18"/>
      <c r="AQB218" s="18"/>
      <c r="AQC218" s="18"/>
      <c r="AQD218" s="18"/>
      <c r="AQE218" s="18"/>
      <c r="AQF218" s="18"/>
      <c r="AQG218" s="18"/>
      <c r="AQH218" s="18"/>
      <c r="AQI218" s="18"/>
      <c r="AQJ218" s="18"/>
      <c r="AQK218" s="18"/>
      <c r="AQL218" s="18"/>
      <c r="AQM218" s="18"/>
      <c r="AQN218" s="18"/>
      <c r="AQO218" s="18"/>
      <c r="AQP218" s="18"/>
      <c r="AQQ218" s="18"/>
      <c r="AQR218" s="18"/>
      <c r="AQS218" s="18"/>
      <c r="AQT218" s="18"/>
      <c r="AQU218" s="18"/>
      <c r="AQV218" s="18"/>
      <c r="AQW218" s="18"/>
      <c r="AQX218" s="18"/>
      <c r="AQY218" s="18"/>
      <c r="AQZ218" s="18"/>
      <c r="ARA218" s="18"/>
      <c r="ARB218" s="18"/>
      <c r="ARC218" s="18"/>
      <c r="ARD218" s="18"/>
      <c r="ARE218" s="18"/>
      <c r="ARF218" s="18"/>
      <c r="ARG218" s="18"/>
      <c r="ARH218" s="18"/>
      <c r="ARI218" s="18"/>
      <c r="ARJ218" s="18"/>
      <c r="ARK218" s="18"/>
      <c r="ARL218" s="18"/>
      <c r="ARM218" s="18"/>
      <c r="ARN218" s="18"/>
      <c r="ARO218" s="18"/>
      <c r="ARP218" s="18"/>
      <c r="ARQ218" s="18"/>
      <c r="ARR218" s="18"/>
      <c r="ARS218" s="18"/>
      <c r="ART218" s="18"/>
      <c r="ARU218" s="18"/>
      <c r="ARV218" s="18"/>
      <c r="ARW218" s="18"/>
      <c r="ARX218" s="18"/>
      <c r="ARY218" s="18"/>
      <c r="ARZ218" s="18"/>
      <c r="ASA218" s="18"/>
      <c r="ASB218" s="18"/>
      <c r="ASC218" s="18"/>
      <c r="ASD218" s="18"/>
      <c r="ASE218" s="18"/>
      <c r="ASF218" s="18"/>
      <c r="ASG218" s="18"/>
      <c r="ASH218" s="18"/>
      <c r="ASI218" s="18"/>
      <c r="ASJ218" s="18"/>
      <c r="ASK218" s="18"/>
      <c r="ASL218" s="18"/>
      <c r="ASM218" s="18"/>
      <c r="ASN218" s="18"/>
      <c r="ASO218" s="18"/>
      <c r="ASP218" s="18"/>
      <c r="ASQ218" s="18"/>
      <c r="ASR218" s="18"/>
      <c r="ASS218" s="18"/>
      <c r="AST218" s="18"/>
      <c r="ASU218" s="18"/>
      <c r="ASV218" s="18"/>
      <c r="ASW218" s="18"/>
      <c r="ASX218" s="18"/>
      <c r="ASY218" s="18"/>
      <c r="ASZ218" s="18"/>
      <c r="ATA218" s="18"/>
      <c r="ATB218" s="18"/>
      <c r="ATC218" s="18"/>
      <c r="ATD218" s="18"/>
      <c r="ATE218" s="18"/>
      <c r="ATF218" s="18"/>
      <c r="ATG218" s="18"/>
      <c r="ATH218" s="18"/>
      <c r="ATI218" s="18"/>
      <c r="ATJ218" s="18"/>
      <c r="ATK218" s="18"/>
      <c r="ATL218" s="18"/>
      <c r="ATM218" s="18"/>
      <c r="ATN218" s="18"/>
      <c r="ATO218" s="18"/>
      <c r="ATP218" s="18"/>
      <c r="ATQ218" s="18"/>
      <c r="ATR218" s="18"/>
      <c r="ATS218" s="18"/>
      <c r="ATT218" s="18"/>
      <c r="ATU218" s="18"/>
      <c r="ATV218" s="18"/>
      <c r="ATW218" s="18"/>
      <c r="ATX218" s="18"/>
      <c r="ATY218" s="18"/>
      <c r="ATZ218" s="18"/>
      <c r="AUA218" s="18"/>
      <c r="AUB218" s="18"/>
      <c r="AUC218" s="18"/>
      <c r="AUD218" s="18"/>
      <c r="AUE218" s="18"/>
      <c r="AUF218" s="18"/>
      <c r="AUG218" s="18"/>
      <c r="AUH218" s="18"/>
      <c r="AUI218" s="18"/>
      <c r="AUJ218" s="18"/>
      <c r="AUK218" s="18"/>
      <c r="AUL218" s="18"/>
      <c r="AUM218" s="18"/>
      <c r="AUN218" s="18"/>
      <c r="AUO218" s="18"/>
      <c r="AUP218" s="18"/>
      <c r="AUQ218" s="18"/>
      <c r="AUR218" s="18"/>
      <c r="AUS218" s="18"/>
      <c r="AUT218" s="18"/>
      <c r="AUU218" s="18"/>
      <c r="AUV218" s="18"/>
      <c r="AUW218" s="18"/>
      <c r="AUX218" s="18"/>
      <c r="AUY218" s="18"/>
      <c r="AUZ218" s="18"/>
      <c r="AVA218" s="18"/>
      <c r="AVB218" s="18"/>
      <c r="AVC218" s="18"/>
      <c r="AVD218" s="18"/>
      <c r="AVE218" s="18"/>
      <c r="AVF218" s="18"/>
      <c r="AVG218" s="18"/>
      <c r="AVH218" s="18"/>
      <c r="AVI218" s="18"/>
      <c r="AVJ218" s="18"/>
      <c r="AVK218" s="18"/>
      <c r="AVL218" s="18"/>
      <c r="AVM218" s="18"/>
      <c r="AVN218" s="18"/>
      <c r="AVO218" s="18"/>
      <c r="AVP218" s="18"/>
      <c r="AVQ218" s="18"/>
      <c r="AVR218" s="18"/>
      <c r="AVS218" s="18"/>
      <c r="AVT218" s="18"/>
      <c r="AVU218" s="18"/>
      <c r="AVV218" s="18"/>
      <c r="AVW218" s="18"/>
      <c r="AVX218" s="18"/>
      <c r="AVY218" s="18"/>
      <c r="AVZ218" s="18"/>
      <c r="AWA218" s="18"/>
      <c r="AWB218" s="18"/>
      <c r="AWC218" s="18"/>
      <c r="AWD218" s="18"/>
      <c r="AWE218" s="18"/>
      <c r="AWF218" s="18"/>
      <c r="AWG218" s="18"/>
      <c r="AWH218" s="18"/>
      <c r="AWI218" s="18"/>
      <c r="AWJ218" s="18"/>
      <c r="AWK218" s="18"/>
      <c r="AWL218" s="18"/>
      <c r="AWM218" s="18"/>
      <c r="AWN218" s="18"/>
      <c r="AWO218" s="18"/>
      <c r="AWP218" s="18"/>
      <c r="AWQ218" s="18"/>
      <c r="AWR218" s="18"/>
      <c r="AWS218" s="18"/>
      <c r="AWT218" s="18"/>
      <c r="AWU218" s="18"/>
      <c r="AWV218" s="18"/>
      <c r="AWW218" s="18"/>
      <c r="AWX218" s="18"/>
      <c r="AWY218" s="18"/>
      <c r="AWZ218" s="18"/>
      <c r="AXA218" s="18"/>
      <c r="AXB218" s="18"/>
      <c r="AXC218" s="18"/>
      <c r="AXD218" s="18"/>
      <c r="AXE218" s="18"/>
      <c r="AXF218" s="18"/>
      <c r="AXG218" s="18"/>
      <c r="AXH218" s="18"/>
      <c r="AXI218" s="18"/>
      <c r="AXJ218" s="18"/>
      <c r="AXK218" s="18"/>
      <c r="AXL218" s="18"/>
      <c r="AXM218" s="18"/>
      <c r="AXN218" s="18"/>
      <c r="AXO218" s="18"/>
      <c r="AXP218" s="18"/>
      <c r="AXQ218" s="18"/>
      <c r="AXR218" s="18"/>
      <c r="AXS218" s="18"/>
      <c r="AXT218" s="18"/>
      <c r="AXU218" s="18"/>
      <c r="AXV218" s="18"/>
      <c r="AXW218" s="18"/>
      <c r="AXX218" s="18"/>
      <c r="AXY218" s="18"/>
      <c r="AXZ218" s="18"/>
      <c r="AYA218" s="18"/>
      <c r="AYB218" s="18"/>
      <c r="AYC218" s="18"/>
      <c r="AYD218" s="18"/>
      <c r="AYE218" s="18"/>
      <c r="AYF218" s="18"/>
      <c r="AYG218" s="18"/>
      <c r="AYH218" s="18"/>
      <c r="AYI218" s="18"/>
      <c r="AYJ218" s="18"/>
      <c r="AYK218" s="18"/>
      <c r="AYL218" s="18"/>
      <c r="AYM218" s="18"/>
      <c r="AYN218" s="18"/>
      <c r="AYO218" s="18"/>
      <c r="AYP218" s="18"/>
      <c r="AYQ218" s="18"/>
      <c r="AYR218" s="18"/>
      <c r="AYS218" s="18"/>
      <c r="AYT218" s="18"/>
      <c r="AYU218" s="18"/>
      <c r="AYV218" s="18"/>
      <c r="AYW218" s="18"/>
      <c r="AYX218" s="18"/>
      <c r="AYY218" s="18"/>
      <c r="AYZ218" s="18"/>
      <c r="AZA218" s="18"/>
      <c r="AZB218" s="18"/>
      <c r="AZC218" s="18"/>
      <c r="AZD218" s="18"/>
      <c r="AZE218" s="18"/>
      <c r="AZF218" s="18"/>
      <c r="AZG218" s="18"/>
      <c r="AZH218" s="18"/>
      <c r="AZI218" s="18"/>
      <c r="AZJ218" s="18"/>
      <c r="AZK218" s="18"/>
      <c r="AZL218" s="18"/>
      <c r="AZM218" s="18"/>
      <c r="AZN218" s="18"/>
      <c r="AZO218" s="18"/>
      <c r="AZP218" s="18"/>
      <c r="AZQ218" s="18"/>
      <c r="AZR218" s="18"/>
      <c r="AZS218" s="18"/>
      <c r="AZT218" s="18"/>
      <c r="AZU218" s="18"/>
      <c r="AZV218" s="18"/>
      <c r="AZW218" s="18"/>
      <c r="AZX218" s="18"/>
      <c r="AZY218" s="18"/>
      <c r="AZZ218" s="18"/>
      <c r="BAA218" s="18"/>
      <c r="BAB218" s="18"/>
      <c r="BAC218" s="18"/>
      <c r="BAD218" s="18"/>
      <c r="BAE218" s="18"/>
      <c r="BAF218" s="18"/>
      <c r="BAG218" s="18"/>
      <c r="BAH218" s="18"/>
      <c r="BAI218" s="18"/>
      <c r="BAJ218" s="18"/>
      <c r="BAK218" s="18"/>
      <c r="BAL218" s="18"/>
      <c r="BAM218" s="18"/>
      <c r="BAN218" s="18"/>
      <c r="BAO218" s="18"/>
      <c r="BAP218" s="18"/>
      <c r="BAQ218" s="18"/>
      <c r="BAR218" s="18"/>
      <c r="BAS218" s="18"/>
      <c r="BAT218" s="18"/>
      <c r="BAU218" s="18"/>
      <c r="BAV218" s="18"/>
      <c r="BAW218" s="18"/>
      <c r="BAX218" s="18"/>
      <c r="BAY218" s="18"/>
      <c r="BAZ218" s="18"/>
      <c r="BBA218" s="18"/>
      <c r="BBB218" s="18"/>
      <c r="BBC218" s="18"/>
      <c r="BBD218" s="18"/>
      <c r="BBE218" s="18"/>
      <c r="BBF218" s="18"/>
      <c r="BBG218" s="18"/>
      <c r="BBH218" s="18"/>
      <c r="BBI218" s="18"/>
      <c r="BBJ218" s="18"/>
      <c r="BBK218" s="18"/>
      <c r="BBL218" s="18"/>
      <c r="BBM218" s="18"/>
      <c r="BBN218" s="18"/>
      <c r="BBO218" s="18"/>
      <c r="BBP218" s="18"/>
      <c r="BBQ218" s="18"/>
      <c r="BBR218" s="18"/>
      <c r="BBS218" s="18"/>
      <c r="BBT218" s="18"/>
      <c r="BBU218" s="18"/>
      <c r="BBV218" s="18"/>
      <c r="BBW218" s="18"/>
      <c r="BBX218" s="18"/>
      <c r="BBY218" s="18"/>
      <c r="BBZ218" s="18"/>
      <c r="BCA218" s="18"/>
      <c r="BCB218" s="18"/>
      <c r="BCC218" s="18"/>
      <c r="BCD218" s="18"/>
      <c r="BCE218" s="18"/>
      <c r="BCF218" s="18"/>
      <c r="BCG218" s="18"/>
      <c r="BCH218" s="18"/>
      <c r="BCI218" s="18"/>
      <c r="BCJ218" s="18"/>
      <c r="BCK218" s="18"/>
      <c r="BCL218" s="18"/>
      <c r="BCM218" s="18"/>
      <c r="BCN218" s="18"/>
      <c r="BCO218" s="18"/>
      <c r="BCP218" s="18"/>
      <c r="BCQ218" s="18"/>
      <c r="BCR218" s="18"/>
      <c r="BCS218" s="18"/>
      <c r="BCT218" s="18"/>
      <c r="BCU218" s="18"/>
      <c r="BCV218" s="18"/>
      <c r="BCW218" s="18"/>
      <c r="BCX218" s="18"/>
      <c r="BCY218" s="18"/>
      <c r="BCZ218" s="18"/>
      <c r="BDA218" s="18"/>
      <c r="BDB218" s="18"/>
      <c r="BDC218" s="18"/>
      <c r="BDD218" s="18"/>
      <c r="BDE218" s="18"/>
      <c r="BDF218" s="18"/>
      <c r="BDG218" s="18"/>
      <c r="BDH218" s="18"/>
      <c r="BDI218" s="18"/>
      <c r="BDJ218" s="18"/>
      <c r="BDK218" s="18"/>
      <c r="BDL218" s="18"/>
      <c r="BDM218" s="18"/>
      <c r="BDN218" s="18"/>
      <c r="BDO218" s="18"/>
      <c r="BDP218" s="18"/>
      <c r="BDQ218" s="18"/>
      <c r="BDR218" s="18"/>
      <c r="BDS218" s="18"/>
      <c r="BDT218" s="18"/>
      <c r="BDU218" s="18"/>
      <c r="BDV218" s="18"/>
      <c r="BDW218" s="18"/>
      <c r="BDX218" s="18"/>
      <c r="BDY218" s="18"/>
      <c r="BDZ218" s="18"/>
      <c r="BEA218" s="18"/>
      <c r="BEB218" s="18"/>
      <c r="BEC218" s="18"/>
      <c r="BED218" s="18"/>
      <c r="BEE218" s="18"/>
      <c r="BEF218" s="18"/>
      <c r="BEG218" s="18"/>
      <c r="BEH218" s="18"/>
      <c r="BEI218" s="18"/>
      <c r="BEJ218" s="18"/>
      <c r="BEK218" s="18"/>
      <c r="BEL218" s="18"/>
      <c r="BEM218" s="18"/>
      <c r="BEN218" s="18"/>
      <c r="BEO218" s="18"/>
      <c r="BEP218" s="18"/>
      <c r="BEQ218" s="18"/>
      <c r="BER218" s="18"/>
      <c r="BES218" s="18"/>
      <c r="BET218" s="18"/>
      <c r="BEU218" s="18"/>
      <c r="BEV218" s="18"/>
      <c r="BEW218" s="18"/>
      <c r="BEX218" s="18"/>
      <c r="BEY218" s="18"/>
      <c r="BEZ218" s="18"/>
      <c r="BFA218" s="18"/>
      <c r="BFB218" s="18"/>
      <c r="BFC218" s="18"/>
      <c r="BFD218" s="18"/>
      <c r="BFE218" s="18"/>
      <c r="BFF218" s="18"/>
      <c r="BFG218" s="18"/>
      <c r="BFH218" s="18"/>
      <c r="BFI218" s="18"/>
      <c r="BFJ218" s="18"/>
      <c r="BFK218" s="18"/>
      <c r="BFL218" s="18"/>
      <c r="BFM218" s="18"/>
      <c r="BFN218" s="18"/>
      <c r="BFO218" s="18"/>
      <c r="BFP218" s="18"/>
      <c r="BFQ218" s="18"/>
      <c r="BFR218" s="18"/>
      <c r="BFS218" s="18"/>
      <c r="BFT218" s="18"/>
      <c r="BFU218" s="18"/>
      <c r="BFV218" s="18"/>
      <c r="BFW218" s="18"/>
      <c r="BFX218" s="18"/>
      <c r="BFY218" s="18"/>
      <c r="BFZ218" s="18"/>
      <c r="BGA218" s="18"/>
      <c r="BGB218" s="18"/>
      <c r="BGC218" s="18"/>
      <c r="BGD218" s="18"/>
      <c r="BGE218" s="18"/>
      <c r="BGF218" s="18"/>
      <c r="BGG218" s="18"/>
      <c r="BGH218" s="18"/>
      <c r="BGI218" s="18"/>
      <c r="BGJ218" s="18"/>
      <c r="BGK218" s="18"/>
      <c r="BGL218" s="18"/>
      <c r="BGM218" s="18"/>
      <c r="BGN218" s="18"/>
      <c r="BGO218" s="18"/>
      <c r="BGP218" s="18"/>
      <c r="BGQ218" s="18"/>
      <c r="BGR218" s="18"/>
      <c r="BGS218" s="18"/>
      <c r="BGT218" s="18"/>
      <c r="BGU218" s="18"/>
      <c r="BGV218" s="18"/>
      <c r="BGW218" s="18"/>
      <c r="BGX218" s="18"/>
      <c r="BGY218" s="18"/>
      <c r="BGZ218" s="18"/>
      <c r="BHA218" s="18"/>
      <c r="BHB218" s="18"/>
      <c r="BHC218" s="18"/>
      <c r="BHD218" s="18"/>
      <c r="BHE218" s="18"/>
      <c r="BHF218" s="18"/>
      <c r="BHG218" s="18"/>
      <c r="BHH218" s="18"/>
      <c r="BHI218" s="18"/>
      <c r="BHJ218" s="18"/>
      <c r="BHK218" s="18"/>
      <c r="BHL218" s="18"/>
      <c r="BHM218" s="18"/>
      <c r="BHN218" s="18"/>
      <c r="BHO218" s="18"/>
      <c r="BHP218" s="18"/>
      <c r="BHQ218" s="18"/>
      <c r="BHR218" s="18"/>
      <c r="BHS218" s="18"/>
      <c r="BHT218" s="18"/>
      <c r="BHU218" s="18"/>
      <c r="BHV218" s="18"/>
      <c r="BHW218" s="18"/>
      <c r="BHX218" s="18"/>
      <c r="BHY218" s="18"/>
      <c r="BHZ218" s="18"/>
      <c r="BIA218" s="18"/>
      <c r="BIB218" s="18"/>
      <c r="BIC218" s="18"/>
      <c r="BID218" s="18"/>
      <c r="BIE218" s="18"/>
      <c r="BIF218" s="18"/>
      <c r="BIG218" s="18"/>
      <c r="BIH218" s="18"/>
      <c r="BII218" s="18"/>
      <c r="BIJ218" s="18"/>
      <c r="BIK218" s="18"/>
      <c r="BIL218" s="18"/>
      <c r="BIM218" s="18"/>
      <c r="BIN218" s="18"/>
      <c r="BIO218" s="18"/>
      <c r="BIP218" s="18"/>
      <c r="BIQ218" s="18"/>
      <c r="BIR218" s="18"/>
      <c r="BIS218" s="18"/>
      <c r="BIT218" s="18"/>
      <c r="BIU218" s="18"/>
      <c r="BIV218" s="18"/>
      <c r="BIW218" s="18"/>
      <c r="BIX218" s="18"/>
      <c r="BIY218" s="18"/>
      <c r="BIZ218" s="18"/>
      <c r="BJA218" s="18"/>
      <c r="BJB218" s="18"/>
      <c r="BJC218" s="18"/>
      <c r="BJD218" s="18"/>
      <c r="BJE218" s="18"/>
      <c r="BJF218" s="18"/>
      <c r="BJG218" s="18"/>
      <c r="BJH218" s="18"/>
      <c r="BJI218" s="18"/>
      <c r="BJJ218" s="18"/>
      <c r="BJK218" s="18"/>
      <c r="BJL218" s="18"/>
      <c r="BJM218" s="18"/>
      <c r="BJN218" s="18"/>
      <c r="BJO218" s="18"/>
      <c r="BJP218" s="18"/>
      <c r="BJQ218" s="18"/>
      <c r="BJR218" s="18"/>
      <c r="BJS218" s="18"/>
      <c r="BJT218" s="18"/>
      <c r="BJU218" s="18"/>
      <c r="BJV218" s="18"/>
      <c r="BJW218" s="18"/>
      <c r="BJX218" s="18"/>
      <c r="BJY218" s="18"/>
      <c r="BJZ218" s="18"/>
      <c r="BKA218" s="18"/>
      <c r="BKB218" s="18"/>
      <c r="BKC218" s="18"/>
      <c r="BKD218" s="18"/>
      <c r="BKE218" s="18"/>
      <c r="BKF218" s="18"/>
      <c r="BKG218" s="18"/>
      <c r="BKH218" s="18"/>
      <c r="BKI218" s="18"/>
      <c r="BKJ218" s="18"/>
      <c r="BKK218" s="18"/>
      <c r="BKL218" s="18"/>
      <c r="BKM218" s="18"/>
      <c r="BKN218" s="18"/>
      <c r="BKO218" s="18"/>
      <c r="BKP218" s="18"/>
      <c r="BKQ218" s="18"/>
      <c r="BKR218" s="18"/>
      <c r="BKS218" s="18"/>
      <c r="BKT218" s="18"/>
      <c r="BKU218" s="18"/>
      <c r="BKV218" s="18"/>
      <c r="BKW218" s="18"/>
      <c r="BKX218" s="18"/>
      <c r="BKY218" s="18"/>
      <c r="BKZ218" s="18"/>
      <c r="BLA218" s="18"/>
      <c r="BLB218" s="18"/>
      <c r="BLC218" s="18"/>
      <c r="BLD218" s="18"/>
      <c r="BLE218" s="18"/>
      <c r="BLF218" s="18"/>
      <c r="BLG218" s="18"/>
      <c r="BLH218" s="18"/>
      <c r="BLI218" s="18"/>
      <c r="BLJ218" s="18"/>
      <c r="BLK218" s="18"/>
      <c r="BLL218" s="18"/>
      <c r="BLM218" s="18"/>
      <c r="BLN218" s="18"/>
      <c r="BLO218" s="18"/>
      <c r="BLP218" s="18"/>
      <c r="BLQ218" s="18"/>
      <c r="BLR218" s="18"/>
      <c r="BLS218" s="18"/>
      <c r="BLT218" s="18"/>
      <c r="BLU218" s="18"/>
      <c r="BLV218" s="18"/>
      <c r="BLW218" s="18"/>
      <c r="BLX218" s="18"/>
      <c r="BLY218" s="18"/>
      <c r="BLZ218" s="18"/>
      <c r="BMA218" s="18"/>
      <c r="BMB218" s="18"/>
      <c r="BMC218" s="18"/>
      <c r="BMD218" s="18"/>
      <c r="BME218" s="18"/>
      <c r="BMF218" s="18"/>
      <c r="BMG218" s="18"/>
      <c r="BMH218" s="18"/>
      <c r="BMI218" s="18"/>
      <c r="BMJ218" s="18"/>
      <c r="BMK218" s="18"/>
      <c r="BML218" s="18"/>
      <c r="BMM218" s="18"/>
      <c r="BMN218" s="18"/>
      <c r="BMO218" s="18"/>
      <c r="BMP218" s="18"/>
      <c r="BMQ218" s="18"/>
      <c r="BMR218" s="18"/>
      <c r="BMS218" s="18"/>
      <c r="BMT218" s="18"/>
      <c r="BMU218" s="18"/>
      <c r="BMV218" s="18"/>
      <c r="BMW218" s="18"/>
      <c r="BMX218" s="18"/>
      <c r="BMY218" s="18"/>
      <c r="BMZ218" s="18"/>
      <c r="BNA218" s="18"/>
      <c r="BNB218" s="18"/>
      <c r="BNC218" s="18"/>
      <c r="BND218" s="18"/>
      <c r="BNE218" s="18"/>
      <c r="BNF218" s="18"/>
      <c r="BNG218" s="18"/>
      <c r="BNH218" s="18"/>
      <c r="BNI218" s="18"/>
      <c r="BNJ218" s="18"/>
      <c r="BNK218" s="18"/>
      <c r="BNL218" s="18"/>
      <c r="BNM218" s="18"/>
      <c r="BNN218" s="18"/>
      <c r="BNO218" s="18"/>
      <c r="BNP218" s="18"/>
      <c r="BNQ218" s="18"/>
      <c r="BNR218" s="18"/>
      <c r="BNS218" s="18"/>
      <c r="BNT218" s="18"/>
      <c r="BNU218" s="18"/>
      <c r="BNV218" s="18"/>
      <c r="BNW218" s="18"/>
      <c r="BNX218" s="18"/>
      <c r="BNY218" s="18"/>
      <c r="BNZ218" s="18"/>
      <c r="BOA218" s="18"/>
      <c r="BOB218" s="18"/>
      <c r="BOC218" s="18"/>
      <c r="BOD218" s="18"/>
      <c r="BOE218" s="18"/>
      <c r="BOF218" s="18"/>
      <c r="BOG218" s="18"/>
      <c r="BOH218" s="18"/>
      <c r="BOI218" s="18"/>
      <c r="BOJ218" s="18"/>
      <c r="BOK218" s="18"/>
      <c r="BOL218" s="18"/>
      <c r="BOM218" s="18"/>
      <c r="BON218" s="18"/>
      <c r="BOO218" s="18"/>
      <c r="BOP218" s="18"/>
      <c r="BOQ218" s="18"/>
      <c r="BOR218" s="18"/>
      <c r="BOS218" s="18"/>
      <c r="BOT218" s="18"/>
      <c r="BOU218" s="18"/>
      <c r="BOV218" s="18"/>
      <c r="BOW218" s="18"/>
      <c r="BOX218" s="18"/>
      <c r="BOY218" s="18"/>
      <c r="BOZ218" s="18"/>
      <c r="BPA218" s="18"/>
      <c r="BPB218" s="18"/>
      <c r="BPC218" s="18"/>
      <c r="BPD218" s="18"/>
      <c r="BPE218" s="18"/>
      <c r="BPF218" s="18"/>
      <c r="BPG218" s="18"/>
      <c r="BPH218" s="18"/>
      <c r="BPI218" s="18"/>
      <c r="BPJ218" s="18"/>
      <c r="BPK218" s="18"/>
      <c r="BPL218" s="18"/>
      <c r="BPM218" s="18"/>
      <c r="BPN218" s="18"/>
      <c r="BPO218" s="18"/>
      <c r="BPP218" s="18"/>
      <c r="BPQ218" s="18"/>
      <c r="BPR218" s="18"/>
      <c r="BPS218" s="18"/>
      <c r="BPT218" s="18"/>
      <c r="BPU218" s="18"/>
      <c r="BPV218" s="18"/>
      <c r="BPW218" s="18"/>
      <c r="BPX218" s="18"/>
      <c r="BPY218" s="18"/>
      <c r="BPZ218" s="18"/>
      <c r="BQA218" s="18"/>
      <c r="BQB218" s="18"/>
      <c r="BQC218" s="18"/>
      <c r="BQD218" s="18"/>
      <c r="BQE218" s="18"/>
      <c r="BQF218" s="18"/>
      <c r="BQG218" s="18"/>
      <c r="BQH218" s="18"/>
      <c r="BQI218" s="18"/>
      <c r="BQJ218" s="18"/>
      <c r="BQK218" s="18"/>
      <c r="BQL218" s="18"/>
      <c r="BQM218" s="18"/>
      <c r="BQN218" s="18"/>
      <c r="BQO218" s="18"/>
      <c r="BQP218" s="18"/>
      <c r="BQQ218" s="18"/>
      <c r="BQR218" s="18"/>
      <c r="BQS218" s="18"/>
      <c r="BQT218" s="18"/>
      <c r="BQU218" s="18"/>
      <c r="BQV218" s="18"/>
      <c r="BQW218" s="18"/>
      <c r="BQX218" s="18"/>
      <c r="BQY218" s="18"/>
      <c r="BQZ218" s="18"/>
      <c r="BRA218" s="18"/>
      <c r="BRB218" s="18"/>
      <c r="BRC218" s="18"/>
      <c r="BRD218" s="18"/>
      <c r="BRE218" s="18"/>
      <c r="BRF218" s="18"/>
      <c r="BRG218" s="18"/>
      <c r="BRH218" s="18"/>
      <c r="BRI218" s="18"/>
      <c r="BRJ218" s="18"/>
      <c r="BRK218" s="18"/>
      <c r="BRL218" s="18"/>
      <c r="BRM218" s="18"/>
      <c r="BRN218" s="18"/>
      <c r="BRO218" s="18"/>
      <c r="BRP218" s="18"/>
      <c r="BRQ218" s="18"/>
      <c r="BRR218" s="18"/>
      <c r="BRS218" s="18"/>
      <c r="BRT218" s="18"/>
      <c r="BRU218" s="18"/>
      <c r="BRV218" s="18"/>
      <c r="BRW218" s="18"/>
      <c r="BRX218" s="18"/>
      <c r="BRY218" s="18"/>
      <c r="BRZ218" s="18"/>
      <c r="BSA218" s="18"/>
      <c r="BSB218" s="18"/>
      <c r="BSC218" s="18"/>
      <c r="BSD218" s="18"/>
      <c r="BSE218" s="18"/>
      <c r="BSF218" s="18"/>
      <c r="BSG218" s="18"/>
      <c r="BSH218" s="18"/>
      <c r="BSI218" s="18"/>
      <c r="BSJ218" s="18"/>
      <c r="BSK218" s="18"/>
      <c r="BSL218" s="18"/>
      <c r="BSM218" s="18"/>
      <c r="BSN218" s="18"/>
      <c r="BSO218" s="18"/>
      <c r="BSP218" s="18"/>
      <c r="BSQ218" s="18"/>
      <c r="BSR218" s="18"/>
      <c r="BSS218" s="18"/>
      <c r="BST218" s="18"/>
      <c r="BSU218" s="18"/>
      <c r="BSV218" s="18"/>
      <c r="BSW218" s="18"/>
      <c r="BSX218" s="18"/>
      <c r="BSY218" s="18"/>
      <c r="BSZ218" s="18"/>
      <c r="BTA218" s="18"/>
      <c r="BTB218" s="18"/>
      <c r="BTC218" s="18"/>
      <c r="BTD218" s="18"/>
      <c r="BTE218" s="18"/>
      <c r="BTF218" s="18"/>
      <c r="BTG218" s="18"/>
      <c r="BTH218" s="18"/>
    </row>
    <row r="219" spans="1:1880" s="396" customFormat="1" ht="189.6" customHeight="1" x14ac:dyDescent="0.3">
      <c r="A219" s="98">
        <v>577</v>
      </c>
      <c r="B219" s="345"/>
      <c r="C219" s="345" t="s">
        <v>274</v>
      </c>
      <c r="D219" s="223" t="s">
        <v>1357</v>
      </c>
      <c r="E219" s="532"/>
      <c r="F219" s="181"/>
      <c r="G219" s="534" t="str">
        <f>IF(F219="Yes","In this cell - Please include the name of the plan, a brief description of the benefit and the population group that received the benefits."," ")</f>
        <v xml:space="preserve"> </v>
      </c>
      <c r="H219" s="859"/>
      <c r="I219" s="859"/>
      <c r="J219" s="173"/>
      <c r="K219" s="551"/>
      <c r="L219"/>
      <c r="M219" s="18"/>
      <c r="N219" s="183"/>
      <c r="O219" s="18"/>
      <c r="P219" s="18"/>
      <c r="Q219" s="18"/>
      <c r="R219" s="18"/>
      <c r="S219" s="18"/>
      <c r="T219" s="18"/>
      <c r="U219" s="18"/>
      <c r="V219" s="18"/>
      <c r="W219" s="18"/>
      <c r="X219" s="18"/>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s="18"/>
      <c r="DT219" s="18"/>
      <c r="DU219" s="18"/>
      <c r="DV219" s="18"/>
      <c r="DW219" s="18"/>
      <c r="DX219" s="18"/>
      <c r="DY219" s="18"/>
      <c r="DZ219" s="18"/>
      <c r="EA219" s="18"/>
      <c r="EB219" s="18"/>
      <c r="EC219" s="18"/>
      <c r="ED219" s="18"/>
      <c r="EE219" s="18"/>
      <c r="EF219" s="18"/>
      <c r="EG219" s="18"/>
      <c r="EH219" s="18"/>
      <c r="EI219" s="18"/>
      <c r="EJ219" s="18"/>
      <c r="EK219" s="18"/>
      <c r="EL219" s="18"/>
      <c r="EM219" s="18"/>
      <c r="EN219" s="18"/>
      <c r="EO219" s="18"/>
      <c r="EP219" s="18"/>
      <c r="EQ219" s="18"/>
      <c r="ER219" s="18"/>
      <c r="ES219" s="18"/>
      <c r="ET219" s="18"/>
      <c r="EU219" s="18"/>
      <c r="EV219" s="18"/>
      <c r="EW219" s="18"/>
      <c r="EX219" s="18"/>
      <c r="EY219" s="18"/>
      <c r="EZ219" s="18"/>
      <c r="FA219" s="18"/>
      <c r="FB219" s="18"/>
      <c r="FC219" s="18"/>
      <c r="FD219" s="18"/>
      <c r="FE219" s="18"/>
      <c r="FF219" s="18"/>
      <c r="FG219" s="18"/>
      <c r="FH219" s="18"/>
      <c r="FI219" s="18"/>
      <c r="FJ219" s="18"/>
      <c r="FK219" s="18"/>
      <c r="FL219" s="18"/>
      <c r="FM219" s="18"/>
      <c r="FN219" s="18"/>
      <c r="FO219" s="18"/>
      <c r="FP219" s="18"/>
      <c r="FQ219" s="18"/>
      <c r="FR219" s="18"/>
      <c r="FS219" s="18"/>
      <c r="FT219" s="18"/>
      <c r="FU219" s="18"/>
      <c r="FV219" s="18"/>
      <c r="FW219" s="18"/>
      <c r="FX219" s="18"/>
      <c r="FY219" s="18"/>
      <c r="FZ219" s="18"/>
      <c r="GA219" s="18"/>
      <c r="GB219" s="18"/>
      <c r="GC219" s="18"/>
      <c r="GD219" s="18"/>
      <c r="GE219" s="18"/>
      <c r="GF219" s="18"/>
      <c r="GG219" s="18"/>
      <c r="GH219" s="18"/>
      <c r="GI219" s="18"/>
      <c r="GJ219" s="18"/>
      <c r="GK219" s="18"/>
      <c r="GL219" s="18"/>
      <c r="GM219" s="18"/>
      <c r="GN219" s="18"/>
      <c r="GO219" s="18"/>
      <c r="GP219" s="18"/>
      <c r="GQ219" s="18"/>
      <c r="GR219" s="18"/>
      <c r="GS219" s="18"/>
      <c r="GT219" s="18"/>
      <c r="GU219" s="18"/>
      <c r="GV219" s="18"/>
      <c r="GW219" s="18"/>
      <c r="GX219" s="18"/>
      <c r="GY219" s="18"/>
      <c r="GZ219" s="18"/>
      <c r="HA219" s="18"/>
      <c r="HB219" s="18"/>
      <c r="HC219" s="18"/>
      <c r="HD219" s="18"/>
      <c r="HE219" s="18"/>
      <c r="HF219" s="18"/>
      <c r="HG219" s="18"/>
      <c r="HH219" s="18"/>
      <c r="HI219" s="18"/>
      <c r="HJ219" s="18"/>
      <c r="HK219" s="18"/>
      <c r="HL219" s="18"/>
      <c r="HM219" s="18"/>
      <c r="HN219" s="18"/>
      <c r="HO219" s="18"/>
      <c r="HP219" s="18"/>
      <c r="HQ219" s="18"/>
      <c r="HR219" s="18"/>
      <c r="HS219" s="18"/>
      <c r="HT219" s="18"/>
      <c r="HU219" s="18"/>
      <c r="HV219" s="18"/>
      <c r="HW219" s="18"/>
      <c r="HX219" s="18"/>
      <c r="HY219" s="18"/>
      <c r="HZ219" s="18"/>
      <c r="IA219" s="18"/>
      <c r="IB219" s="18"/>
      <c r="IC219" s="18"/>
      <c r="ID219" s="18"/>
      <c r="IE219" s="18"/>
      <c r="IF219" s="18"/>
      <c r="IG219" s="18"/>
      <c r="IH219" s="18"/>
      <c r="II219" s="18"/>
      <c r="IJ219" s="18"/>
      <c r="IK219" s="18"/>
      <c r="IL219" s="18"/>
      <c r="IM219" s="18"/>
      <c r="IN219" s="18"/>
      <c r="IO219" s="18"/>
      <c r="IP219" s="18"/>
      <c r="IQ219" s="18"/>
      <c r="IR219" s="18"/>
      <c r="IS219" s="18"/>
      <c r="IT219" s="18"/>
      <c r="IU219" s="18"/>
      <c r="IV219" s="18"/>
      <c r="IW219" s="18"/>
      <c r="IX219" s="18"/>
      <c r="IY219" s="18"/>
      <c r="IZ219" s="18"/>
      <c r="JA219" s="18"/>
      <c r="JB219" s="18"/>
      <c r="JC219" s="18"/>
      <c r="JD219" s="18"/>
      <c r="JE219" s="18"/>
      <c r="JF219" s="18"/>
      <c r="JG219" s="18"/>
      <c r="JH219" s="18"/>
      <c r="JI219" s="18"/>
      <c r="JJ219" s="18"/>
      <c r="JK219" s="18"/>
      <c r="JL219" s="18"/>
      <c r="JM219" s="18"/>
      <c r="JN219" s="18"/>
      <c r="JO219" s="18"/>
      <c r="JP219" s="18"/>
      <c r="JQ219" s="18"/>
      <c r="JR219" s="18"/>
      <c r="JS219" s="18"/>
      <c r="JT219" s="18"/>
      <c r="JU219" s="18"/>
      <c r="JV219" s="18"/>
      <c r="JW219" s="18"/>
      <c r="JX219" s="18"/>
      <c r="JY219" s="18"/>
      <c r="JZ219" s="18"/>
      <c r="KA219" s="18"/>
      <c r="KB219" s="18"/>
      <c r="KC219" s="18"/>
      <c r="KD219" s="18"/>
      <c r="KE219" s="18"/>
      <c r="KF219" s="18"/>
      <c r="KG219" s="18"/>
      <c r="KH219" s="18"/>
      <c r="KI219" s="18"/>
      <c r="KJ219" s="18"/>
      <c r="KK219" s="18"/>
      <c r="KL219" s="18"/>
      <c r="KM219" s="18"/>
      <c r="KN219" s="18"/>
      <c r="KO219" s="18"/>
      <c r="KP219" s="18"/>
      <c r="KQ219" s="18"/>
      <c r="KR219" s="18"/>
      <c r="KS219" s="18"/>
      <c r="KT219" s="18"/>
      <c r="KU219" s="18"/>
      <c r="KV219" s="18"/>
      <c r="KW219" s="18"/>
      <c r="KX219" s="18"/>
      <c r="KY219" s="18"/>
      <c r="KZ219" s="18"/>
      <c r="LA219" s="18"/>
      <c r="LB219" s="18"/>
      <c r="LC219" s="18"/>
      <c r="LD219" s="18"/>
      <c r="LE219" s="18"/>
      <c r="LF219" s="18"/>
      <c r="LG219" s="18"/>
      <c r="LH219" s="18"/>
      <c r="LI219" s="18"/>
      <c r="LJ219" s="18"/>
      <c r="LK219" s="18"/>
      <c r="LL219" s="18"/>
      <c r="LM219" s="18"/>
      <c r="LN219" s="18"/>
      <c r="LO219" s="18"/>
      <c r="LP219" s="18"/>
      <c r="LQ219" s="18"/>
      <c r="LR219" s="18"/>
      <c r="LS219" s="18"/>
      <c r="LT219" s="18"/>
      <c r="LU219" s="18"/>
      <c r="LV219" s="18"/>
      <c r="LW219" s="18"/>
      <c r="LX219" s="18"/>
      <c r="LY219" s="18"/>
      <c r="LZ219" s="18"/>
      <c r="MA219" s="18"/>
      <c r="MB219" s="18"/>
      <c r="MC219" s="18"/>
      <c r="MD219" s="18"/>
      <c r="ME219" s="18"/>
      <c r="MF219" s="18"/>
      <c r="MG219" s="18"/>
      <c r="MH219" s="18"/>
      <c r="MI219" s="18"/>
      <c r="MJ219" s="18"/>
      <c r="MK219" s="18"/>
      <c r="ML219" s="18"/>
      <c r="MM219" s="18"/>
      <c r="MN219" s="18"/>
      <c r="MO219" s="18"/>
      <c r="MP219" s="18"/>
      <c r="MQ219" s="18"/>
      <c r="MR219" s="18"/>
      <c r="MS219" s="18"/>
      <c r="MT219" s="18"/>
      <c r="MU219" s="18"/>
      <c r="MV219" s="18"/>
      <c r="MW219" s="18"/>
      <c r="MX219" s="18"/>
      <c r="MY219" s="18"/>
      <c r="MZ219" s="18"/>
      <c r="NA219" s="18"/>
      <c r="NB219" s="18"/>
      <c r="NC219" s="18"/>
      <c r="ND219" s="18"/>
      <c r="NE219" s="18"/>
      <c r="NF219" s="18"/>
      <c r="NG219" s="18"/>
      <c r="NH219" s="18"/>
      <c r="NI219" s="18"/>
      <c r="NJ219" s="18"/>
      <c r="NK219" s="18"/>
      <c r="NL219" s="18"/>
      <c r="NM219" s="18"/>
      <c r="NN219" s="18"/>
      <c r="NO219" s="18"/>
      <c r="NP219" s="18"/>
      <c r="NQ219" s="18"/>
      <c r="NR219" s="18"/>
      <c r="NS219" s="18"/>
      <c r="NT219" s="18"/>
      <c r="NU219" s="18"/>
      <c r="NV219" s="18"/>
      <c r="NW219" s="18"/>
      <c r="NX219" s="18"/>
      <c r="NY219" s="18"/>
      <c r="NZ219" s="18"/>
      <c r="OA219" s="18"/>
      <c r="OB219" s="18"/>
      <c r="OC219" s="18"/>
      <c r="OD219" s="18"/>
      <c r="OE219" s="18"/>
      <c r="OF219" s="18"/>
      <c r="OG219" s="18"/>
      <c r="OH219" s="18"/>
      <c r="OI219" s="18"/>
      <c r="OJ219" s="18"/>
      <c r="OK219" s="18"/>
      <c r="OL219" s="18"/>
      <c r="OM219" s="18"/>
      <c r="ON219" s="18"/>
      <c r="OO219" s="18"/>
      <c r="OP219" s="18"/>
      <c r="OQ219" s="18"/>
      <c r="OR219" s="18"/>
      <c r="OS219" s="18"/>
      <c r="OT219" s="18"/>
      <c r="OU219" s="18"/>
      <c r="OV219" s="18"/>
      <c r="OW219" s="18"/>
      <c r="OX219" s="18"/>
      <c r="OY219" s="18"/>
      <c r="OZ219" s="18"/>
      <c r="PA219" s="18"/>
      <c r="PB219" s="18"/>
      <c r="PC219" s="18"/>
      <c r="PD219" s="18"/>
      <c r="PE219" s="18"/>
      <c r="PF219" s="18"/>
      <c r="PG219" s="18"/>
      <c r="PH219" s="18"/>
      <c r="PI219" s="18"/>
      <c r="PJ219" s="18"/>
      <c r="PK219" s="18"/>
      <c r="PL219" s="18"/>
      <c r="PM219" s="18"/>
      <c r="PN219" s="18"/>
      <c r="PO219" s="18"/>
      <c r="PP219" s="18"/>
      <c r="PQ219" s="18"/>
      <c r="PR219" s="18"/>
      <c r="PS219" s="18"/>
      <c r="PT219" s="18"/>
      <c r="PU219" s="18"/>
      <c r="PV219" s="18"/>
      <c r="PW219" s="18"/>
      <c r="PX219" s="18"/>
      <c r="PY219" s="18"/>
      <c r="PZ219" s="18"/>
      <c r="QA219" s="18"/>
      <c r="QB219" s="18"/>
      <c r="QC219" s="18"/>
      <c r="QD219" s="18"/>
      <c r="QE219" s="18"/>
      <c r="QF219" s="18"/>
      <c r="QG219" s="18"/>
      <c r="QH219" s="18"/>
      <c r="QI219" s="18"/>
      <c r="QJ219" s="18"/>
      <c r="QK219" s="18"/>
      <c r="QL219" s="18"/>
      <c r="QM219" s="18"/>
      <c r="QN219" s="18"/>
      <c r="QO219" s="18"/>
      <c r="QP219" s="18"/>
      <c r="QQ219" s="18"/>
      <c r="QR219" s="18"/>
      <c r="QS219" s="18"/>
      <c r="QT219" s="18"/>
      <c r="QU219" s="18"/>
      <c r="QV219" s="18"/>
      <c r="QW219" s="18"/>
      <c r="QX219" s="18"/>
      <c r="QY219" s="18"/>
      <c r="QZ219" s="18"/>
      <c r="RA219" s="18"/>
      <c r="RB219" s="18"/>
      <c r="RC219" s="18"/>
      <c r="RD219" s="18"/>
      <c r="RE219" s="18"/>
      <c r="RF219" s="18"/>
      <c r="RG219" s="18"/>
      <c r="RH219" s="18"/>
      <c r="RI219" s="18"/>
      <c r="RJ219" s="18"/>
      <c r="RK219" s="18"/>
      <c r="RL219" s="18"/>
      <c r="RM219" s="18"/>
      <c r="RN219" s="18"/>
      <c r="RO219" s="18"/>
      <c r="RP219" s="18"/>
      <c r="RQ219" s="18"/>
      <c r="RR219" s="18"/>
      <c r="RS219" s="18"/>
      <c r="RT219" s="18"/>
      <c r="RU219" s="18"/>
      <c r="RV219" s="18"/>
      <c r="RW219" s="18"/>
      <c r="RX219" s="18"/>
      <c r="RY219" s="18"/>
      <c r="RZ219" s="18"/>
      <c r="SA219" s="18"/>
      <c r="SB219" s="18"/>
      <c r="SC219" s="18"/>
      <c r="SD219" s="18"/>
      <c r="SE219" s="18"/>
      <c r="SF219" s="18"/>
      <c r="SG219" s="18"/>
      <c r="SH219" s="18"/>
      <c r="SI219" s="18"/>
      <c r="SJ219" s="18"/>
      <c r="SK219" s="18"/>
      <c r="SL219" s="18"/>
      <c r="SM219" s="18"/>
      <c r="SN219" s="18"/>
      <c r="SO219" s="18"/>
      <c r="SP219" s="18"/>
      <c r="SQ219" s="18"/>
      <c r="SR219" s="18"/>
      <c r="SS219" s="18"/>
      <c r="ST219" s="18"/>
      <c r="SU219" s="18"/>
      <c r="SV219" s="18"/>
      <c r="SW219" s="18"/>
      <c r="SX219" s="18"/>
      <c r="SY219" s="18"/>
      <c r="SZ219" s="18"/>
      <c r="TA219" s="18"/>
      <c r="TB219" s="18"/>
      <c r="TC219" s="18"/>
      <c r="TD219" s="18"/>
      <c r="TE219" s="18"/>
      <c r="TF219" s="18"/>
      <c r="TG219" s="18"/>
      <c r="TH219" s="18"/>
      <c r="TI219" s="18"/>
      <c r="TJ219" s="18"/>
      <c r="TK219" s="18"/>
      <c r="TL219" s="18"/>
      <c r="TM219" s="18"/>
      <c r="TN219" s="18"/>
      <c r="TO219" s="18"/>
      <c r="TP219" s="18"/>
      <c r="TQ219" s="18"/>
      <c r="TR219" s="18"/>
      <c r="TS219" s="18"/>
      <c r="TT219" s="18"/>
      <c r="TU219" s="18"/>
      <c r="TV219" s="18"/>
      <c r="TW219" s="18"/>
      <c r="TX219" s="18"/>
      <c r="TY219" s="18"/>
      <c r="TZ219" s="18"/>
      <c r="UA219" s="18"/>
      <c r="UB219" s="18"/>
      <c r="UC219" s="18"/>
      <c r="UD219" s="18"/>
      <c r="UE219" s="18"/>
      <c r="UF219" s="18"/>
      <c r="UG219" s="18"/>
      <c r="UH219" s="18"/>
      <c r="UI219" s="18"/>
      <c r="UJ219" s="18"/>
      <c r="UK219" s="18"/>
      <c r="UL219" s="18"/>
      <c r="UM219" s="18"/>
      <c r="UN219" s="18"/>
      <c r="UO219" s="18"/>
      <c r="UP219" s="18"/>
      <c r="UQ219" s="18"/>
      <c r="UR219" s="18"/>
      <c r="US219" s="18"/>
      <c r="UT219" s="18"/>
      <c r="UU219" s="18"/>
      <c r="UV219" s="18"/>
      <c r="UW219" s="18"/>
      <c r="UX219" s="18"/>
      <c r="UY219" s="18"/>
      <c r="UZ219" s="18"/>
      <c r="VA219" s="18"/>
      <c r="VB219" s="18"/>
      <c r="VC219" s="18"/>
      <c r="VD219" s="18"/>
      <c r="VE219" s="18"/>
      <c r="VF219" s="18"/>
      <c r="VG219" s="18"/>
      <c r="VH219" s="18"/>
      <c r="VI219" s="18"/>
      <c r="VJ219" s="18"/>
      <c r="VK219" s="18"/>
      <c r="VL219" s="18"/>
      <c r="VM219" s="18"/>
      <c r="VN219" s="18"/>
      <c r="VO219" s="18"/>
      <c r="VP219" s="18"/>
      <c r="VQ219" s="18"/>
      <c r="VR219" s="18"/>
      <c r="VS219" s="18"/>
      <c r="VT219" s="18"/>
      <c r="VU219" s="18"/>
      <c r="VV219" s="18"/>
      <c r="VW219" s="18"/>
      <c r="VX219" s="18"/>
      <c r="VY219" s="18"/>
      <c r="VZ219" s="18"/>
      <c r="WA219" s="18"/>
      <c r="WB219" s="18"/>
      <c r="WC219" s="18"/>
      <c r="WD219" s="18"/>
      <c r="WE219" s="18"/>
      <c r="WF219" s="18"/>
      <c r="WG219" s="18"/>
      <c r="WH219" s="18"/>
      <c r="WI219" s="18"/>
      <c r="WJ219" s="18"/>
      <c r="WK219" s="18"/>
      <c r="WL219" s="18"/>
      <c r="WM219" s="18"/>
      <c r="WN219" s="18"/>
      <c r="WO219" s="18"/>
      <c r="WP219" s="18"/>
      <c r="WQ219" s="18"/>
      <c r="WR219" s="18"/>
      <c r="WS219" s="18"/>
      <c r="WT219" s="18"/>
      <c r="WU219" s="18"/>
      <c r="WV219" s="18"/>
      <c r="WW219" s="18"/>
      <c r="WX219" s="18"/>
      <c r="WY219" s="18"/>
      <c r="WZ219" s="18"/>
      <c r="XA219" s="18"/>
      <c r="XB219" s="18"/>
      <c r="XC219" s="18"/>
      <c r="XD219" s="18"/>
      <c r="XE219" s="18"/>
      <c r="XF219" s="18"/>
      <c r="XG219" s="18"/>
      <c r="XH219" s="18"/>
      <c r="XI219" s="18"/>
      <c r="XJ219" s="18"/>
      <c r="XK219" s="18"/>
      <c r="XL219" s="18"/>
      <c r="XM219" s="18"/>
      <c r="XN219" s="18"/>
      <c r="XO219" s="18"/>
      <c r="XP219" s="18"/>
      <c r="XQ219" s="18"/>
      <c r="XR219" s="18"/>
      <c r="XS219" s="18"/>
      <c r="XT219" s="18"/>
      <c r="XU219" s="18"/>
      <c r="XV219" s="18"/>
      <c r="XW219" s="18"/>
      <c r="XX219" s="18"/>
      <c r="XY219" s="18"/>
      <c r="XZ219" s="18"/>
      <c r="YA219" s="18"/>
      <c r="YB219" s="18"/>
      <c r="YC219" s="18"/>
      <c r="YD219" s="18"/>
      <c r="YE219" s="18"/>
      <c r="YF219" s="18"/>
      <c r="YG219" s="18"/>
      <c r="YH219" s="18"/>
      <c r="YI219" s="18"/>
      <c r="YJ219" s="18"/>
      <c r="YK219" s="18"/>
      <c r="YL219" s="18"/>
      <c r="YM219" s="18"/>
      <c r="YN219" s="18"/>
      <c r="YO219" s="18"/>
      <c r="YP219" s="18"/>
      <c r="YQ219" s="18"/>
      <c r="YR219" s="18"/>
      <c r="YS219" s="18"/>
      <c r="YT219" s="18"/>
      <c r="YU219" s="18"/>
      <c r="YV219" s="18"/>
      <c r="YW219" s="18"/>
      <c r="YX219" s="18"/>
      <c r="YY219" s="18"/>
      <c r="YZ219" s="18"/>
      <c r="ZA219" s="18"/>
      <c r="ZB219" s="18"/>
      <c r="ZC219" s="18"/>
      <c r="ZD219" s="18"/>
      <c r="ZE219" s="18"/>
      <c r="ZF219" s="18"/>
      <c r="ZG219" s="18"/>
      <c r="ZH219" s="18"/>
      <c r="ZI219" s="18"/>
      <c r="ZJ219" s="18"/>
      <c r="ZK219" s="18"/>
      <c r="ZL219" s="18"/>
      <c r="ZM219" s="18"/>
      <c r="ZN219" s="18"/>
      <c r="ZO219" s="18"/>
      <c r="ZP219" s="18"/>
      <c r="ZQ219" s="18"/>
      <c r="ZR219" s="18"/>
      <c r="ZS219" s="18"/>
      <c r="ZT219" s="18"/>
      <c r="ZU219" s="18"/>
      <c r="ZV219" s="18"/>
      <c r="ZW219" s="18"/>
      <c r="ZX219" s="18"/>
      <c r="ZY219" s="18"/>
      <c r="ZZ219" s="18"/>
      <c r="AAA219" s="18"/>
      <c r="AAB219" s="18"/>
      <c r="AAC219" s="18"/>
      <c r="AAD219" s="18"/>
      <c r="AAE219" s="18"/>
      <c r="AAF219" s="18"/>
      <c r="AAG219" s="18"/>
      <c r="AAH219" s="18"/>
      <c r="AAI219" s="18"/>
      <c r="AAJ219" s="18"/>
      <c r="AAK219" s="18"/>
      <c r="AAL219" s="18"/>
      <c r="AAM219" s="18"/>
      <c r="AAN219" s="18"/>
      <c r="AAO219" s="18"/>
      <c r="AAP219" s="18"/>
      <c r="AAQ219" s="18"/>
      <c r="AAR219" s="18"/>
      <c r="AAS219" s="18"/>
      <c r="AAT219" s="18"/>
      <c r="AAU219" s="18"/>
      <c r="AAV219" s="18"/>
      <c r="AAW219" s="18"/>
      <c r="AAX219" s="18"/>
      <c r="AAY219" s="18"/>
      <c r="AAZ219" s="18"/>
      <c r="ABA219" s="18"/>
      <c r="ABB219" s="18"/>
      <c r="ABC219" s="18"/>
      <c r="ABD219" s="18"/>
      <c r="ABE219" s="18"/>
      <c r="ABF219" s="18"/>
      <c r="ABG219" s="18"/>
      <c r="ABH219" s="18"/>
      <c r="ABI219" s="18"/>
      <c r="ABJ219" s="18"/>
      <c r="ABK219" s="18"/>
      <c r="ABL219" s="18"/>
      <c r="ABM219" s="18"/>
      <c r="ABN219" s="18"/>
      <c r="ABO219" s="18"/>
      <c r="ABP219" s="18"/>
      <c r="ABQ219" s="18"/>
      <c r="ABR219" s="18"/>
      <c r="ABS219" s="18"/>
      <c r="ABT219" s="18"/>
      <c r="ABU219" s="18"/>
      <c r="ABV219" s="18"/>
      <c r="ABW219" s="18"/>
      <c r="ABX219" s="18"/>
      <c r="ABY219" s="18"/>
      <c r="ABZ219" s="18"/>
      <c r="ACA219" s="18"/>
      <c r="ACB219" s="18"/>
      <c r="ACC219" s="18"/>
      <c r="ACD219" s="18"/>
      <c r="ACE219" s="18"/>
      <c r="ACF219" s="18"/>
      <c r="ACG219" s="18"/>
      <c r="ACH219" s="18"/>
      <c r="ACI219" s="18"/>
      <c r="ACJ219" s="18"/>
      <c r="ACK219" s="18"/>
      <c r="ACL219" s="18"/>
      <c r="ACM219" s="18"/>
      <c r="ACN219" s="18"/>
      <c r="ACO219" s="18"/>
      <c r="ACP219" s="18"/>
      <c r="ACQ219" s="18"/>
      <c r="ACR219" s="18"/>
      <c r="ACS219" s="18"/>
      <c r="ACT219" s="18"/>
      <c r="ACU219" s="18"/>
      <c r="ACV219" s="18"/>
      <c r="ACW219" s="18"/>
      <c r="ACX219" s="18"/>
      <c r="ACY219" s="18"/>
      <c r="ACZ219" s="18"/>
      <c r="ADA219" s="18"/>
      <c r="ADB219" s="18"/>
      <c r="ADC219" s="18"/>
      <c r="ADD219" s="18"/>
      <c r="ADE219" s="18"/>
      <c r="ADF219" s="18"/>
      <c r="ADG219" s="18"/>
      <c r="ADH219" s="18"/>
      <c r="ADI219" s="18"/>
      <c r="ADJ219" s="18"/>
      <c r="ADK219" s="18"/>
      <c r="ADL219" s="18"/>
      <c r="ADM219" s="18"/>
      <c r="ADN219" s="18"/>
      <c r="ADO219" s="18"/>
      <c r="ADP219" s="18"/>
      <c r="ADQ219" s="18"/>
      <c r="ADR219" s="18"/>
      <c r="ADS219" s="18"/>
      <c r="ADT219" s="18"/>
      <c r="ADU219" s="18"/>
      <c r="ADV219" s="18"/>
      <c r="ADW219" s="18"/>
      <c r="ADX219" s="18"/>
      <c r="ADY219" s="18"/>
      <c r="ADZ219" s="18"/>
      <c r="AEA219" s="18"/>
      <c r="AEB219" s="18"/>
      <c r="AEC219" s="18"/>
      <c r="AED219" s="18"/>
      <c r="AEE219" s="18"/>
      <c r="AEF219" s="18"/>
      <c r="AEG219" s="18"/>
      <c r="AEH219" s="18"/>
      <c r="AEI219" s="18"/>
      <c r="AEJ219" s="18"/>
      <c r="AEK219" s="18"/>
      <c r="AEL219" s="18"/>
      <c r="AEM219" s="18"/>
      <c r="AEN219" s="18"/>
      <c r="AEO219" s="18"/>
      <c r="AEP219" s="18"/>
      <c r="AEQ219" s="18"/>
      <c r="AER219" s="18"/>
      <c r="AES219" s="18"/>
      <c r="AET219" s="18"/>
      <c r="AEU219" s="18"/>
      <c r="AEV219" s="18"/>
      <c r="AEW219" s="18"/>
      <c r="AEX219" s="18"/>
      <c r="AEY219" s="18"/>
      <c r="AEZ219" s="18"/>
      <c r="AFA219" s="18"/>
      <c r="AFB219" s="18"/>
      <c r="AFC219" s="18"/>
      <c r="AFD219" s="18"/>
      <c r="AFE219" s="18"/>
      <c r="AFF219" s="18"/>
      <c r="AFG219" s="18"/>
      <c r="AFH219" s="18"/>
      <c r="AFI219" s="18"/>
      <c r="AFJ219" s="18"/>
      <c r="AFK219" s="18"/>
      <c r="AFL219" s="18"/>
      <c r="AFM219" s="18"/>
      <c r="AFN219" s="18"/>
      <c r="AFO219" s="18"/>
      <c r="AFP219" s="18"/>
      <c r="AFQ219" s="18"/>
      <c r="AFR219" s="18"/>
      <c r="AFS219" s="18"/>
      <c r="AFT219" s="18"/>
      <c r="AFU219" s="18"/>
      <c r="AFV219" s="18"/>
      <c r="AFW219" s="18"/>
      <c r="AFX219" s="18"/>
      <c r="AFY219" s="18"/>
      <c r="AFZ219" s="18"/>
      <c r="AGA219" s="18"/>
      <c r="AGB219" s="18"/>
      <c r="AGC219" s="18"/>
      <c r="AGD219" s="18"/>
      <c r="AGE219" s="18"/>
      <c r="AGF219" s="18"/>
      <c r="AGG219" s="18"/>
      <c r="AGH219" s="18"/>
      <c r="AGI219" s="18"/>
      <c r="AGJ219" s="18"/>
      <c r="AGK219" s="18"/>
      <c r="AGL219" s="18"/>
      <c r="AGM219" s="18"/>
      <c r="AGN219" s="18"/>
      <c r="AGO219" s="18"/>
      <c r="AGP219" s="18"/>
      <c r="AGQ219" s="18"/>
      <c r="AGR219" s="18"/>
      <c r="AGS219" s="18"/>
      <c r="AGT219" s="18"/>
      <c r="AGU219" s="18"/>
      <c r="AGV219" s="18"/>
      <c r="AGW219" s="18"/>
      <c r="AGX219" s="18"/>
      <c r="AGY219" s="18"/>
      <c r="AGZ219" s="18"/>
      <c r="AHA219" s="18"/>
      <c r="AHB219" s="18"/>
      <c r="AHC219" s="18"/>
      <c r="AHD219" s="18"/>
      <c r="AHE219" s="18"/>
      <c r="AHF219" s="18"/>
      <c r="AHG219" s="18"/>
      <c r="AHH219" s="18"/>
      <c r="AHI219" s="18"/>
      <c r="AHJ219" s="18"/>
      <c r="AHK219" s="18"/>
      <c r="AHL219" s="18"/>
      <c r="AHM219" s="18"/>
      <c r="AHN219" s="18"/>
      <c r="AHO219" s="18"/>
      <c r="AHP219" s="18"/>
      <c r="AHQ219" s="18"/>
      <c r="AHR219" s="18"/>
      <c r="AHS219" s="18"/>
      <c r="AHT219" s="18"/>
      <c r="AHU219" s="18"/>
      <c r="AHV219" s="18"/>
      <c r="AHW219" s="18"/>
      <c r="AHX219" s="18"/>
      <c r="AHY219" s="18"/>
      <c r="AHZ219" s="18"/>
      <c r="AIA219" s="18"/>
      <c r="AIB219" s="18"/>
      <c r="AIC219" s="18"/>
      <c r="AID219" s="18"/>
      <c r="AIE219" s="18"/>
      <c r="AIF219" s="18"/>
      <c r="AIG219" s="18"/>
      <c r="AIH219" s="18"/>
      <c r="AII219" s="18"/>
      <c r="AIJ219" s="18"/>
      <c r="AIK219" s="18"/>
      <c r="AIL219" s="18"/>
      <c r="AIM219" s="18"/>
      <c r="AIN219" s="18"/>
      <c r="AIO219" s="18"/>
      <c r="AIP219" s="18"/>
      <c r="AIQ219" s="18"/>
      <c r="AIR219" s="18"/>
      <c r="AIS219" s="18"/>
      <c r="AIT219" s="18"/>
      <c r="AIU219" s="18"/>
      <c r="AIV219" s="18"/>
      <c r="AIW219" s="18"/>
      <c r="AIX219" s="18"/>
      <c r="AIY219" s="18"/>
      <c r="AIZ219" s="18"/>
      <c r="AJA219" s="18"/>
      <c r="AJB219" s="18"/>
      <c r="AJC219" s="18"/>
      <c r="AJD219" s="18"/>
      <c r="AJE219" s="18"/>
      <c r="AJF219" s="18"/>
      <c r="AJG219" s="18"/>
      <c r="AJH219" s="18"/>
      <c r="AJI219" s="18"/>
      <c r="AJJ219" s="18"/>
      <c r="AJK219" s="18"/>
      <c r="AJL219" s="18"/>
      <c r="AJM219" s="18"/>
      <c r="AJN219" s="18"/>
      <c r="AJO219" s="18"/>
      <c r="AJP219" s="18"/>
      <c r="AJQ219" s="18"/>
      <c r="AJR219" s="18"/>
      <c r="AJS219" s="18"/>
      <c r="AJT219" s="18"/>
      <c r="AJU219" s="18"/>
      <c r="AJV219" s="18"/>
      <c r="AJW219" s="18"/>
      <c r="AJX219" s="18"/>
      <c r="AJY219" s="18"/>
      <c r="AJZ219" s="18"/>
      <c r="AKA219" s="18"/>
      <c r="AKB219" s="18"/>
      <c r="AKC219" s="18"/>
      <c r="AKD219" s="18"/>
      <c r="AKE219" s="18"/>
      <c r="AKF219" s="18"/>
      <c r="AKG219" s="18"/>
      <c r="AKH219" s="18"/>
      <c r="AKI219" s="18"/>
      <c r="AKJ219" s="18"/>
      <c r="AKK219" s="18"/>
      <c r="AKL219" s="18"/>
      <c r="AKM219" s="18"/>
      <c r="AKN219" s="18"/>
      <c r="AKO219" s="18"/>
      <c r="AKP219" s="18"/>
      <c r="AKQ219" s="18"/>
      <c r="AKR219" s="18"/>
      <c r="AKS219" s="18"/>
      <c r="AKT219" s="18"/>
      <c r="AKU219" s="18"/>
      <c r="AKV219" s="18"/>
      <c r="AKW219" s="18"/>
      <c r="AKX219" s="18"/>
      <c r="AKY219" s="18"/>
      <c r="AKZ219" s="18"/>
      <c r="ALA219" s="18"/>
      <c r="ALB219" s="18"/>
      <c r="ALC219" s="18"/>
      <c r="ALD219" s="18"/>
      <c r="ALE219" s="18"/>
      <c r="ALF219" s="18"/>
      <c r="ALG219" s="18"/>
      <c r="ALH219" s="18"/>
      <c r="ALI219" s="18"/>
      <c r="ALJ219" s="18"/>
      <c r="ALK219" s="18"/>
      <c r="ALL219" s="18"/>
      <c r="ALM219" s="18"/>
      <c r="ALN219" s="18"/>
      <c r="ALO219" s="18"/>
      <c r="ALP219" s="18"/>
      <c r="ALQ219" s="18"/>
      <c r="ALR219" s="18"/>
      <c r="ALS219" s="18"/>
      <c r="ALT219" s="18"/>
      <c r="ALU219" s="18"/>
      <c r="ALV219" s="18"/>
      <c r="ALW219" s="18"/>
      <c r="ALX219" s="18"/>
      <c r="ALY219" s="18"/>
      <c r="ALZ219" s="18"/>
      <c r="AMA219" s="18"/>
      <c r="AMB219" s="18"/>
      <c r="AMC219" s="18"/>
      <c r="AMD219" s="18"/>
      <c r="AME219" s="18"/>
      <c r="AMF219" s="18"/>
      <c r="AMG219" s="18"/>
      <c r="AMH219" s="18"/>
      <c r="AMI219" s="18"/>
      <c r="AMJ219" s="18"/>
      <c r="AMK219" s="18"/>
      <c r="AML219" s="18"/>
      <c r="AMM219" s="18"/>
      <c r="AMN219" s="18"/>
      <c r="AMO219" s="18"/>
      <c r="AMP219" s="18"/>
      <c r="AMQ219" s="18"/>
      <c r="AMR219" s="18"/>
      <c r="AMS219" s="18"/>
      <c r="AMT219" s="18"/>
      <c r="AMU219" s="18"/>
      <c r="AMV219" s="18"/>
      <c r="AMW219" s="18"/>
      <c r="AMX219" s="18"/>
      <c r="AMY219" s="18"/>
      <c r="AMZ219" s="18"/>
      <c r="ANA219" s="18"/>
      <c r="ANB219" s="18"/>
      <c r="ANC219" s="18"/>
      <c r="AND219" s="18"/>
      <c r="ANE219" s="18"/>
      <c r="ANF219" s="18"/>
      <c r="ANG219" s="18"/>
      <c r="ANH219" s="18"/>
      <c r="ANI219" s="18"/>
      <c r="ANJ219" s="18"/>
      <c r="ANK219" s="18"/>
      <c r="ANL219" s="18"/>
      <c r="ANM219" s="18"/>
      <c r="ANN219" s="18"/>
      <c r="ANO219" s="18"/>
      <c r="ANP219" s="18"/>
      <c r="ANQ219" s="18"/>
      <c r="ANR219" s="18"/>
      <c r="ANS219" s="18"/>
      <c r="ANT219" s="18"/>
      <c r="ANU219" s="18"/>
      <c r="ANV219" s="18"/>
      <c r="ANW219" s="18"/>
      <c r="ANX219" s="18"/>
      <c r="ANY219" s="18"/>
      <c r="ANZ219" s="18"/>
      <c r="AOA219" s="18"/>
      <c r="AOB219" s="18"/>
      <c r="AOC219" s="18"/>
      <c r="AOD219" s="18"/>
      <c r="AOE219" s="18"/>
      <c r="AOF219" s="18"/>
      <c r="AOG219" s="18"/>
      <c r="AOH219" s="18"/>
      <c r="AOI219" s="18"/>
      <c r="AOJ219" s="18"/>
      <c r="AOK219" s="18"/>
      <c r="AOL219" s="18"/>
      <c r="AOM219" s="18"/>
      <c r="AON219" s="18"/>
      <c r="AOO219" s="18"/>
      <c r="AOP219" s="18"/>
      <c r="AOQ219" s="18"/>
      <c r="AOR219" s="18"/>
      <c r="AOS219" s="18"/>
      <c r="AOT219" s="18"/>
      <c r="AOU219" s="18"/>
      <c r="AOV219" s="18"/>
      <c r="AOW219" s="18"/>
      <c r="AOX219" s="18"/>
      <c r="AOY219" s="18"/>
      <c r="AOZ219" s="18"/>
      <c r="APA219" s="18"/>
      <c r="APB219" s="18"/>
      <c r="APC219" s="18"/>
      <c r="APD219" s="18"/>
      <c r="APE219" s="18"/>
      <c r="APF219" s="18"/>
      <c r="APG219" s="18"/>
      <c r="APH219" s="18"/>
      <c r="API219" s="18"/>
      <c r="APJ219" s="18"/>
      <c r="APK219" s="18"/>
      <c r="APL219" s="18"/>
      <c r="APM219" s="18"/>
      <c r="APN219" s="18"/>
      <c r="APO219" s="18"/>
      <c r="APP219" s="18"/>
      <c r="APQ219" s="18"/>
      <c r="APR219" s="18"/>
      <c r="APS219" s="18"/>
      <c r="APT219" s="18"/>
      <c r="APU219" s="18"/>
      <c r="APV219" s="18"/>
      <c r="APW219" s="18"/>
      <c r="APX219" s="18"/>
      <c r="APY219" s="18"/>
      <c r="APZ219" s="18"/>
      <c r="AQA219" s="18"/>
      <c r="AQB219" s="18"/>
      <c r="AQC219" s="18"/>
      <c r="AQD219" s="18"/>
      <c r="AQE219" s="18"/>
      <c r="AQF219" s="18"/>
      <c r="AQG219" s="18"/>
      <c r="AQH219" s="18"/>
      <c r="AQI219" s="18"/>
      <c r="AQJ219" s="18"/>
      <c r="AQK219" s="18"/>
      <c r="AQL219" s="18"/>
      <c r="AQM219" s="18"/>
      <c r="AQN219" s="18"/>
      <c r="AQO219" s="18"/>
      <c r="AQP219" s="18"/>
      <c r="AQQ219" s="18"/>
      <c r="AQR219" s="18"/>
      <c r="AQS219" s="18"/>
      <c r="AQT219" s="18"/>
      <c r="AQU219" s="18"/>
      <c r="AQV219" s="18"/>
      <c r="AQW219" s="18"/>
      <c r="AQX219" s="18"/>
      <c r="AQY219" s="18"/>
      <c r="AQZ219" s="18"/>
      <c r="ARA219" s="18"/>
      <c r="ARB219" s="18"/>
      <c r="ARC219" s="18"/>
      <c r="ARD219" s="18"/>
      <c r="ARE219" s="18"/>
      <c r="ARF219" s="18"/>
      <c r="ARG219" s="18"/>
      <c r="ARH219" s="18"/>
      <c r="ARI219" s="18"/>
      <c r="ARJ219" s="18"/>
      <c r="ARK219" s="18"/>
      <c r="ARL219" s="18"/>
      <c r="ARM219" s="18"/>
      <c r="ARN219" s="18"/>
      <c r="ARO219" s="18"/>
      <c r="ARP219" s="18"/>
      <c r="ARQ219" s="18"/>
      <c r="ARR219" s="18"/>
      <c r="ARS219" s="18"/>
      <c r="ART219" s="18"/>
      <c r="ARU219" s="18"/>
      <c r="ARV219" s="18"/>
      <c r="ARW219" s="18"/>
      <c r="ARX219" s="18"/>
      <c r="ARY219" s="18"/>
      <c r="ARZ219" s="18"/>
      <c r="ASA219" s="18"/>
      <c r="ASB219" s="18"/>
      <c r="ASC219" s="18"/>
      <c r="ASD219" s="18"/>
      <c r="ASE219" s="18"/>
      <c r="ASF219" s="18"/>
      <c r="ASG219" s="18"/>
      <c r="ASH219" s="18"/>
      <c r="ASI219" s="18"/>
      <c r="ASJ219" s="18"/>
      <c r="ASK219" s="18"/>
      <c r="ASL219" s="18"/>
      <c r="ASM219" s="18"/>
      <c r="ASN219" s="18"/>
      <c r="ASO219" s="18"/>
      <c r="ASP219" s="18"/>
      <c r="ASQ219" s="18"/>
      <c r="ASR219" s="18"/>
      <c r="ASS219" s="18"/>
      <c r="AST219" s="18"/>
      <c r="ASU219" s="18"/>
      <c r="ASV219" s="18"/>
      <c r="ASW219" s="18"/>
      <c r="ASX219" s="18"/>
      <c r="ASY219" s="18"/>
      <c r="ASZ219" s="18"/>
      <c r="ATA219" s="18"/>
      <c r="ATB219" s="18"/>
      <c r="ATC219" s="18"/>
      <c r="ATD219" s="18"/>
      <c r="ATE219" s="18"/>
      <c r="ATF219" s="18"/>
      <c r="ATG219" s="18"/>
      <c r="ATH219" s="18"/>
      <c r="ATI219" s="18"/>
      <c r="ATJ219" s="18"/>
      <c r="ATK219" s="18"/>
      <c r="ATL219" s="18"/>
      <c r="ATM219" s="18"/>
      <c r="ATN219" s="18"/>
      <c r="ATO219" s="18"/>
      <c r="ATP219" s="18"/>
      <c r="ATQ219" s="18"/>
      <c r="ATR219" s="18"/>
      <c r="ATS219" s="18"/>
      <c r="ATT219" s="18"/>
      <c r="ATU219" s="18"/>
      <c r="ATV219" s="18"/>
      <c r="ATW219" s="18"/>
      <c r="ATX219" s="18"/>
      <c r="ATY219" s="18"/>
      <c r="ATZ219" s="18"/>
      <c r="AUA219" s="18"/>
      <c r="AUB219" s="18"/>
      <c r="AUC219" s="18"/>
      <c r="AUD219" s="18"/>
      <c r="AUE219" s="18"/>
      <c r="AUF219" s="18"/>
      <c r="AUG219" s="18"/>
      <c r="AUH219" s="18"/>
      <c r="AUI219" s="18"/>
      <c r="AUJ219" s="18"/>
      <c r="AUK219" s="18"/>
      <c r="AUL219" s="18"/>
      <c r="AUM219" s="18"/>
      <c r="AUN219" s="18"/>
      <c r="AUO219" s="18"/>
      <c r="AUP219" s="18"/>
      <c r="AUQ219" s="18"/>
      <c r="AUR219" s="18"/>
      <c r="AUS219" s="18"/>
      <c r="AUT219" s="18"/>
      <c r="AUU219" s="18"/>
      <c r="AUV219" s="18"/>
      <c r="AUW219" s="18"/>
      <c r="AUX219" s="18"/>
      <c r="AUY219" s="18"/>
      <c r="AUZ219" s="18"/>
      <c r="AVA219" s="18"/>
      <c r="AVB219" s="18"/>
      <c r="AVC219" s="18"/>
      <c r="AVD219" s="18"/>
      <c r="AVE219" s="18"/>
      <c r="AVF219" s="18"/>
      <c r="AVG219" s="18"/>
      <c r="AVH219" s="18"/>
      <c r="AVI219" s="18"/>
      <c r="AVJ219" s="18"/>
      <c r="AVK219" s="18"/>
      <c r="AVL219" s="18"/>
      <c r="AVM219" s="18"/>
      <c r="AVN219" s="18"/>
      <c r="AVO219" s="18"/>
      <c r="AVP219" s="18"/>
      <c r="AVQ219" s="18"/>
      <c r="AVR219" s="18"/>
      <c r="AVS219" s="18"/>
      <c r="AVT219" s="18"/>
      <c r="AVU219" s="18"/>
      <c r="AVV219" s="18"/>
      <c r="AVW219" s="18"/>
      <c r="AVX219" s="18"/>
      <c r="AVY219" s="18"/>
      <c r="AVZ219" s="18"/>
      <c r="AWA219" s="18"/>
      <c r="AWB219" s="18"/>
      <c r="AWC219" s="18"/>
      <c r="AWD219" s="18"/>
      <c r="AWE219" s="18"/>
      <c r="AWF219" s="18"/>
      <c r="AWG219" s="18"/>
      <c r="AWH219" s="18"/>
      <c r="AWI219" s="18"/>
      <c r="AWJ219" s="18"/>
      <c r="AWK219" s="18"/>
      <c r="AWL219" s="18"/>
      <c r="AWM219" s="18"/>
      <c r="AWN219" s="18"/>
      <c r="AWO219" s="18"/>
      <c r="AWP219" s="18"/>
      <c r="AWQ219" s="18"/>
      <c r="AWR219" s="18"/>
      <c r="AWS219" s="18"/>
      <c r="AWT219" s="18"/>
      <c r="AWU219" s="18"/>
      <c r="AWV219" s="18"/>
      <c r="AWW219" s="18"/>
      <c r="AWX219" s="18"/>
      <c r="AWY219" s="18"/>
      <c r="AWZ219" s="18"/>
      <c r="AXA219" s="18"/>
      <c r="AXB219" s="18"/>
      <c r="AXC219" s="18"/>
      <c r="AXD219" s="18"/>
      <c r="AXE219" s="18"/>
      <c r="AXF219" s="18"/>
      <c r="AXG219" s="18"/>
      <c r="AXH219" s="18"/>
      <c r="AXI219" s="18"/>
      <c r="AXJ219" s="18"/>
      <c r="AXK219" s="18"/>
      <c r="AXL219" s="18"/>
      <c r="AXM219" s="18"/>
      <c r="AXN219" s="18"/>
      <c r="AXO219" s="18"/>
      <c r="AXP219" s="18"/>
      <c r="AXQ219" s="18"/>
      <c r="AXR219" s="18"/>
      <c r="AXS219" s="18"/>
      <c r="AXT219" s="18"/>
      <c r="AXU219" s="18"/>
      <c r="AXV219" s="18"/>
      <c r="AXW219" s="18"/>
      <c r="AXX219" s="18"/>
      <c r="AXY219" s="18"/>
      <c r="AXZ219" s="18"/>
      <c r="AYA219" s="18"/>
      <c r="AYB219" s="18"/>
      <c r="AYC219" s="18"/>
      <c r="AYD219" s="18"/>
      <c r="AYE219" s="18"/>
      <c r="AYF219" s="18"/>
      <c r="AYG219" s="18"/>
      <c r="AYH219" s="18"/>
      <c r="AYI219" s="18"/>
      <c r="AYJ219" s="18"/>
      <c r="AYK219" s="18"/>
      <c r="AYL219" s="18"/>
      <c r="AYM219" s="18"/>
      <c r="AYN219" s="18"/>
      <c r="AYO219" s="18"/>
      <c r="AYP219" s="18"/>
      <c r="AYQ219" s="18"/>
      <c r="AYR219" s="18"/>
      <c r="AYS219" s="18"/>
      <c r="AYT219" s="18"/>
      <c r="AYU219" s="18"/>
      <c r="AYV219" s="18"/>
      <c r="AYW219" s="18"/>
      <c r="AYX219" s="18"/>
      <c r="AYY219" s="18"/>
      <c r="AYZ219" s="18"/>
      <c r="AZA219" s="18"/>
      <c r="AZB219" s="18"/>
      <c r="AZC219" s="18"/>
      <c r="AZD219" s="18"/>
      <c r="AZE219" s="18"/>
      <c r="AZF219" s="18"/>
      <c r="AZG219" s="18"/>
      <c r="AZH219" s="18"/>
      <c r="AZI219" s="18"/>
      <c r="AZJ219" s="18"/>
      <c r="AZK219" s="18"/>
      <c r="AZL219" s="18"/>
      <c r="AZM219" s="18"/>
      <c r="AZN219" s="18"/>
      <c r="AZO219" s="18"/>
      <c r="AZP219" s="18"/>
      <c r="AZQ219" s="18"/>
      <c r="AZR219" s="18"/>
      <c r="AZS219" s="18"/>
      <c r="AZT219" s="18"/>
      <c r="AZU219" s="18"/>
      <c r="AZV219" s="18"/>
      <c r="AZW219" s="18"/>
      <c r="AZX219" s="18"/>
      <c r="AZY219" s="18"/>
      <c r="AZZ219" s="18"/>
      <c r="BAA219" s="18"/>
      <c r="BAB219" s="18"/>
      <c r="BAC219" s="18"/>
      <c r="BAD219" s="18"/>
      <c r="BAE219" s="18"/>
      <c r="BAF219" s="18"/>
      <c r="BAG219" s="18"/>
      <c r="BAH219" s="18"/>
      <c r="BAI219" s="18"/>
      <c r="BAJ219" s="18"/>
      <c r="BAK219" s="18"/>
      <c r="BAL219" s="18"/>
      <c r="BAM219" s="18"/>
      <c r="BAN219" s="18"/>
      <c r="BAO219" s="18"/>
      <c r="BAP219" s="18"/>
      <c r="BAQ219" s="18"/>
      <c r="BAR219" s="18"/>
      <c r="BAS219" s="18"/>
      <c r="BAT219" s="18"/>
      <c r="BAU219" s="18"/>
      <c r="BAV219" s="18"/>
      <c r="BAW219" s="18"/>
      <c r="BAX219" s="18"/>
      <c r="BAY219" s="18"/>
      <c r="BAZ219" s="18"/>
      <c r="BBA219" s="18"/>
      <c r="BBB219" s="18"/>
      <c r="BBC219" s="18"/>
      <c r="BBD219" s="18"/>
      <c r="BBE219" s="18"/>
      <c r="BBF219" s="18"/>
      <c r="BBG219" s="18"/>
      <c r="BBH219" s="18"/>
      <c r="BBI219" s="18"/>
      <c r="BBJ219" s="18"/>
      <c r="BBK219" s="18"/>
      <c r="BBL219" s="18"/>
      <c r="BBM219" s="18"/>
      <c r="BBN219" s="18"/>
      <c r="BBO219" s="18"/>
      <c r="BBP219" s="18"/>
      <c r="BBQ219" s="18"/>
      <c r="BBR219" s="18"/>
      <c r="BBS219" s="18"/>
      <c r="BBT219" s="18"/>
      <c r="BBU219" s="18"/>
      <c r="BBV219" s="18"/>
      <c r="BBW219" s="18"/>
      <c r="BBX219" s="18"/>
      <c r="BBY219" s="18"/>
      <c r="BBZ219" s="18"/>
      <c r="BCA219" s="18"/>
      <c r="BCB219" s="18"/>
      <c r="BCC219" s="18"/>
      <c r="BCD219" s="18"/>
      <c r="BCE219" s="18"/>
      <c r="BCF219" s="18"/>
      <c r="BCG219" s="18"/>
      <c r="BCH219" s="18"/>
      <c r="BCI219" s="18"/>
      <c r="BCJ219" s="18"/>
      <c r="BCK219" s="18"/>
      <c r="BCL219" s="18"/>
      <c r="BCM219" s="18"/>
      <c r="BCN219" s="18"/>
      <c r="BCO219" s="18"/>
      <c r="BCP219" s="18"/>
      <c r="BCQ219" s="18"/>
      <c r="BCR219" s="18"/>
      <c r="BCS219" s="18"/>
      <c r="BCT219" s="18"/>
      <c r="BCU219" s="18"/>
      <c r="BCV219" s="18"/>
      <c r="BCW219" s="18"/>
      <c r="BCX219" s="18"/>
      <c r="BCY219" s="18"/>
      <c r="BCZ219" s="18"/>
      <c r="BDA219" s="18"/>
      <c r="BDB219" s="18"/>
      <c r="BDC219" s="18"/>
      <c r="BDD219" s="18"/>
      <c r="BDE219" s="18"/>
      <c r="BDF219" s="18"/>
      <c r="BDG219" s="18"/>
      <c r="BDH219" s="18"/>
      <c r="BDI219" s="18"/>
      <c r="BDJ219" s="18"/>
      <c r="BDK219" s="18"/>
      <c r="BDL219" s="18"/>
      <c r="BDM219" s="18"/>
      <c r="BDN219" s="18"/>
      <c r="BDO219" s="18"/>
      <c r="BDP219" s="18"/>
      <c r="BDQ219" s="18"/>
      <c r="BDR219" s="18"/>
      <c r="BDS219" s="18"/>
      <c r="BDT219" s="18"/>
      <c r="BDU219" s="18"/>
      <c r="BDV219" s="18"/>
      <c r="BDW219" s="18"/>
      <c r="BDX219" s="18"/>
      <c r="BDY219" s="18"/>
      <c r="BDZ219" s="18"/>
      <c r="BEA219" s="18"/>
      <c r="BEB219" s="18"/>
      <c r="BEC219" s="18"/>
      <c r="BED219" s="18"/>
      <c r="BEE219" s="18"/>
      <c r="BEF219" s="18"/>
      <c r="BEG219" s="18"/>
      <c r="BEH219" s="18"/>
      <c r="BEI219" s="18"/>
      <c r="BEJ219" s="18"/>
      <c r="BEK219" s="18"/>
      <c r="BEL219" s="18"/>
      <c r="BEM219" s="18"/>
      <c r="BEN219" s="18"/>
      <c r="BEO219" s="18"/>
      <c r="BEP219" s="18"/>
      <c r="BEQ219" s="18"/>
      <c r="BER219" s="18"/>
      <c r="BES219" s="18"/>
      <c r="BET219" s="18"/>
      <c r="BEU219" s="18"/>
      <c r="BEV219" s="18"/>
      <c r="BEW219" s="18"/>
      <c r="BEX219" s="18"/>
      <c r="BEY219" s="18"/>
      <c r="BEZ219" s="18"/>
      <c r="BFA219" s="18"/>
      <c r="BFB219" s="18"/>
      <c r="BFC219" s="18"/>
      <c r="BFD219" s="18"/>
      <c r="BFE219" s="18"/>
      <c r="BFF219" s="18"/>
      <c r="BFG219" s="18"/>
      <c r="BFH219" s="18"/>
      <c r="BFI219" s="18"/>
      <c r="BFJ219" s="18"/>
      <c r="BFK219" s="18"/>
      <c r="BFL219" s="18"/>
      <c r="BFM219" s="18"/>
      <c r="BFN219" s="18"/>
      <c r="BFO219" s="18"/>
      <c r="BFP219" s="18"/>
      <c r="BFQ219" s="18"/>
      <c r="BFR219" s="18"/>
      <c r="BFS219" s="18"/>
      <c r="BFT219" s="18"/>
      <c r="BFU219" s="18"/>
      <c r="BFV219" s="18"/>
      <c r="BFW219" s="18"/>
      <c r="BFX219" s="18"/>
      <c r="BFY219" s="18"/>
      <c r="BFZ219" s="18"/>
      <c r="BGA219" s="18"/>
      <c r="BGB219" s="18"/>
      <c r="BGC219" s="18"/>
      <c r="BGD219" s="18"/>
      <c r="BGE219" s="18"/>
      <c r="BGF219" s="18"/>
      <c r="BGG219" s="18"/>
      <c r="BGH219" s="18"/>
      <c r="BGI219" s="18"/>
      <c r="BGJ219" s="18"/>
      <c r="BGK219" s="18"/>
      <c r="BGL219" s="18"/>
      <c r="BGM219" s="18"/>
      <c r="BGN219" s="18"/>
      <c r="BGO219" s="18"/>
      <c r="BGP219" s="18"/>
      <c r="BGQ219" s="18"/>
      <c r="BGR219" s="18"/>
      <c r="BGS219" s="18"/>
      <c r="BGT219" s="18"/>
      <c r="BGU219" s="18"/>
      <c r="BGV219" s="18"/>
      <c r="BGW219" s="18"/>
      <c r="BGX219" s="18"/>
      <c r="BGY219" s="18"/>
      <c r="BGZ219" s="18"/>
      <c r="BHA219" s="18"/>
      <c r="BHB219" s="18"/>
      <c r="BHC219" s="18"/>
      <c r="BHD219" s="18"/>
      <c r="BHE219" s="18"/>
      <c r="BHF219" s="18"/>
      <c r="BHG219" s="18"/>
      <c r="BHH219" s="18"/>
      <c r="BHI219" s="18"/>
      <c r="BHJ219" s="18"/>
      <c r="BHK219" s="18"/>
      <c r="BHL219" s="18"/>
      <c r="BHM219" s="18"/>
      <c r="BHN219" s="18"/>
      <c r="BHO219" s="18"/>
      <c r="BHP219" s="18"/>
      <c r="BHQ219" s="18"/>
      <c r="BHR219" s="18"/>
      <c r="BHS219" s="18"/>
      <c r="BHT219" s="18"/>
      <c r="BHU219" s="18"/>
      <c r="BHV219" s="18"/>
      <c r="BHW219" s="18"/>
      <c r="BHX219" s="18"/>
      <c r="BHY219" s="18"/>
      <c r="BHZ219" s="18"/>
      <c r="BIA219" s="18"/>
      <c r="BIB219" s="18"/>
      <c r="BIC219" s="18"/>
      <c r="BID219" s="18"/>
      <c r="BIE219" s="18"/>
      <c r="BIF219" s="18"/>
      <c r="BIG219" s="18"/>
      <c r="BIH219" s="18"/>
      <c r="BII219" s="18"/>
      <c r="BIJ219" s="18"/>
      <c r="BIK219" s="18"/>
      <c r="BIL219" s="18"/>
      <c r="BIM219" s="18"/>
      <c r="BIN219" s="18"/>
      <c r="BIO219" s="18"/>
      <c r="BIP219" s="18"/>
      <c r="BIQ219" s="18"/>
      <c r="BIR219" s="18"/>
      <c r="BIS219" s="18"/>
      <c r="BIT219" s="18"/>
      <c r="BIU219" s="18"/>
      <c r="BIV219" s="18"/>
      <c r="BIW219" s="18"/>
      <c r="BIX219" s="18"/>
      <c r="BIY219" s="18"/>
      <c r="BIZ219" s="18"/>
      <c r="BJA219" s="18"/>
      <c r="BJB219" s="18"/>
      <c r="BJC219" s="18"/>
      <c r="BJD219" s="18"/>
      <c r="BJE219" s="18"/>
      <c r="BJF219" s="18"/>
      <c r="BJG219" s="18"/>
      <c r="BJH219" s="18"/>
      <c r="BJI219" s="18"/>
      <c r="BJJ219" s="18"/>
      <c r="BJK219" s="18"/>
      <c r="BJL219" s="18"/>
      <c r="BJM219" s="18"/>
      <c r="BJN219" s="18"/>
      <c r="BJO219" s="18"/>
      <c r="BJP219" s="18"/>
      <c r="BJQ219" s="18"/>
      <c r="BJR219" s="18"/>
      <c r="BJS219" s="18"/>
      <c r="BJT219" s="18"/>
      <c r="BJU219" s="18"/>
      <c r="BJV219" s="18"/>
      <c r="BJW219" s="18"/>
      <c r="BJX219" s="18"/>
      <c r="BJY219" s="18"/>
      <c r="BJZ219" s="18"/>
      <c r="BKA219" s="18"/>
      <c r="BKB219" s="18"/>
      <c r="BKC219" s="18"/>
      <c r="BKD219" s="18"/>
      <c r="BKE219" s="18"/>
      <c r="BKF219" s="18"/>
      <c r="BKG219" s="18"/>
      <c r="BKH219" s="18"/>
      <c r="BKI219" s="18"/>
      <c r="BKJ219" s="18"/>
      <c r="BKK219" s="18"/>
      <c r="BKL219" s="18"/>
      <c r="BKM219" s="18"/>
      <c r="BKN219" s="18"/>
      <c r="BKO219" s="18"/>
      <c r="BKP219" s="18"/>
      <c r="BKQ219" s="18"/>
      <c r="BKR219" s="18"/>
      <c r="BKS219" s="18"/>
      <c r="BKT219" s="18"/>
      <c r="BKU219" s="18"/>
      <c r="BKV219" s="18"/>
      <c r="BKW219" s="18"/>
      <c r="BKX219" s="18"/>
      <c r="BKY219" s="18"/>
      <c r="BKZ219" s="18"/>
      <c r="BLA219" s="18"/>
      <c r="BLB219" s="18"/>
      <c r="BLC219" s="18"/>
      <c r="BLD219" s="18"/>
      <c r="BLE219" s="18"/>
      <c r="BLF219" s="18"/>
      <c r="BLG219" s="18"/>
      <c r="BLH219" s="18"/>
      <c r="BLI219" s="18"/>
      <c r="BLJ219" s="18"/>
      <c r="BLK219" s="18"/>
      <c r="BLL219" s="18"/>
      <c r="BLM219" s="18"/>
      <c r="BLN219" s="18"/>
      <c r="BLO219" s="18"/>
      <c r="BLP219" s="18"/>
      <c r="BLQ219" s="18"/>
      <c r="BLR219" s="18"/>
      <c r="BLS219" s="18"/>
      <c r="BLT219" s="18"/>
      <c r="BLU219" s="18"/>
      <c r="BLV219" s="18"/>
      <c r="BLW219" s="18"/>
      <c r="BLX219" s="18"/>
      <c r="BLY219" s="18"/>
      <c r="BLZ219" s="18"/>
      <c r="BMA219" s="18"/>
      <c r="BMB219" s="18"/>
      <c r="BMC219" s="18"/>
      <c r="BMD219" s="18"/>
      <c r="BME219" s="18"/>
      <c r="BMF219" s="18"/>
      <c r="BMG219" s="18"/>
      <c r="BMH219" s="18"/>
      <c r="BMI219" s="18"/>
      <c r="BMJ219" s="18"/>
      <c r="BMK219" s="18"/>
      <c r="BML219" s="18"/>
      <c r="BMM219" s="18"/>
      <c r="BMN219" s="18"/>
      <c r="BMO219" s="18"/>
      <c r="BMP219" s="18"/>
      <c r="BMQ219" s="18"/>
      <c r="BMR219" s="18"/>
      <c r="BMS219" s="18"/>
      <c r="BMT219" s="18"/>
      <c r="BMU219" s="18"/>
      <c r="BMV219" s="18"/>
      <c r="BMW219" s="18"/>
      <c r="BMX219" s="18"/>
      <c r="BMY219" s="18"/>
      <c r="BMZ219" s="18"/>
      <c r="BNA219" s="18"/>
      <c r="BNB219" s="18"/>
      <c r="BNC219" s="18"/>
      <c r="BND219" s="18"/>
      <c r="BNE219" s="18"/>
      <c r="BNF219" s="18"/>
      <c r="BNG219" s="18"/>
      <c r="BNH219" s="18"/>
      <c r="BNI219" s="18"/>
      <c r="BNJ219" s="18"/>
      <c r="BNK219" s="18"/>
      <c r="BNL219" s="18"/>
      <c r="BNM219" s="18"/>
      <c r="BNN219" s="18"/>
      <c r="BNO219" s="18"/>
      <c r="BNP219" s="18"/>
      <c r="BNQ219" s="18"/>
      <c r="BNR219" s="18"/>
      <c r="BNS219" s="18"/>
      <c r="BNT219" s="18"/>
      <c r="BNU219" s="18"/>
      <c r="BNV219" s="18"/>
      <c r="BNW219" s="18"/>
      <c r="BNX219" s="18"/>
      <c r="BNY219" s="18"/>
      <c r="BNZ219" s="18"/>
      <c r="BOA219" s="18"/>
      <c r="BOB219" s="18"/>
      <c r="BOC219" s="18"/>
      <c r="BOD219" s="18"/>
      <c r="BOE219" s="18"/>
      <c r="BOF219" s="18"/>
      <c r="BOG219" s="18"/>
      <c r="BOH219" s="18"/>
      <c r="BOI219" s="18"/>
      <c r="BOJ219" s="18"/>
      <c r="BOK219" s="18"/>
      <c r="BOL219" s="18"/>
      <c r="BOM219" s="18"/>
      <c r="BON219" s="18"/>
      <c r="BOO219" s="18"/>
      <c r="BOP219" s="18"/>
      <c r="BOQ219" s="18"/>
      <c r="BOR219" s="18"/>
      <c r="BOS219" s="18"/>
      <c r="BOT219" s="18"/>
      <c r="BOU219" s="18"/>
      <c r="BOV219" s="18"/>
      <c r="BOW219" s="18"/>
      <c r="BOX219" s="18"/>
      <c r="BOY219" s="18"/>
      <c r="BOZ219" s="18"/>
      <c r="BPA219" s="18"/>
      <c r="BPB219" s="18"/>
      <c r="BPC219" s="18"/>
      <c r="BPD219" s="18"/>
      <c r="BPE219" s="18"/>
      <c r="BPF219" s="18"/>
      <c r="BPG219" s="18"/>
      <c r="BPH219" s="18"/>
      <c r="BPI219" s="18"/>
      <c r="BPJ219" s="18"/>
      <c r="BPK219" s="18"/>
      <c r="BPL219" s="18"/>
      <c r="BPM219" s="18"/>
      <c r="BPN219" s="18"/>
      <c r="BPO219" s="18"/>
      <c r="BPP219" s="18"/>
      <c r="BPQ219" s="18"/>
      <c r="BPR219" s="18"/>
      <c r="BPS219" s="18"/>
      <c r="BPT219" s="18"/>
      <c r="BPU219" s="18"/>
      <c r="BPV219" s="18"/>
      <c r="BPW219" s="18"/>
      <c r="BPX219" s="18"/>
      <c r="BPY219" s="18"/>
      <c r="BPZ219" s="18"/>
      <c r="BQA219" s="18"/>
      <c r="BQB219" s="18"/>
      <c r="BQC219" s="18"/>
      <c r="BQD219" s="18"/>
      <c r="BQE219" s="18"/>
      <c r="BQF219" s="18"/>
      <c r="BQG219" s="18"/>
      <c r="BQH219" s="18"/>
      <c r="BQI219" s="18"/>
      <c r="BQJ219" s="18"/>
      <c r="BQK219" s="18"/>
      <c r="BQL219" s="18"/>
      <c r="BQM219" s="18"/>
      <c r="BQN219" s="18"/>
      <c r="BQO219" s="18"/>
      <c r="BQP219" s="18"/>
      <c r="BQQ219" s="18"/>
      <c r="BQR219" s="18"/>
      <c r="BQS219" s="18"/>
      <c r="BQT219" s="18"/>
      <c r="BQU219" s="18"/>
      <c r="BQV219" s="18"/>
      <c r="BQW219" s="18"/>
      <c r="BQX219" s="18"/>
      <c r="BQY219" s="18"/>
      <c r="BQZ219" s="18"/>
      <c r="BRA219" s="18"/>
      <c r="BRB219" s="18"/>
      <c r="BRC219" s="18"/>
      <c r="BRD219" s="18"/>
      <c r="BRE219" s="18"/>
      <c r="BRF219" s="18"/>
      <c r="BRG219" s="18"/>
      <c r="BRH219" s="18"/>
      <c r="BRI219" s="18"/>
      <c r="BRJ219" s="18"/>
      <c r="BRK219" s="18"/>
      <c r="BRL219" s="18"/>
      <c r="BRM219" s="18"/>
      <c r="BRN219" s="18"/>
      <c r="BRO219" s="18"/>
      <c r="BRP219" s="18"/>
      <c r="BRQ219" s="18"/>
      <c r="BRR219" s="18"/>
      <c r="BRS219" s="18"/>
      <c r="BRT219" s="18"/>
      <c r="BRU219" s="18"/>
      <c r="BRV219" s="18"/>
      <c r="BRW219" s="18"/>
      <c r="BRX219" s="18"/>
      <c r="BRY219" s="18"/>
      <c r="BRZ219" s="18"/>
      <c r="BSA219" s="18"/>
      <c r="BSB219" s="18"/>
      <c r="BSC219" s="18"/>
      <c r="BSD219" s="18"/>
      <c r="BSE219" s="18"/>
      <c r="BSF219" s="18"/>
      <c r="BSG219" s="18"/>
      <c r="BSH219" s="18"/>
      <c r="BSI219" s="18"/>
      <c r="BSJ219" s="18"/>
      <c r="BSK219" s="18"/>
      <c r="BSL219" s="18"/>
      <c r="BSM219" s="18"/>
      <c r="BSN219" s="18"/>
      <c r="BSO219" s="18"/>
      <c r="BSP219" s="18"/>
      <c r="BSQ219" s="18"/>
      <c r="BSR219" s="18"/>
      <c r="BSS219" s="18"/>
      <c r="BST219" s="18"/>
      <c r="BSU219" s="18"/>
      <c r="BSV219" s="18"/>
      <c r="BSW219" s="18"/>
      <c r="BSX219" s="18"/>
      <c r="BSY219" s="18"/>
      <c r="BSZ219" s="18"/>
      <c r="BTA219" s="18"/>
      <c r="BTB219" s="18"/>
      <c r="BTC219" s="18"/>
      <c r="BTD219" s="18"/>
      <c r="BTE219" s="18"/>
      <c r="BTF219" s="18"/>
      <c r="BTG219" s="18"/>
      <c r="BTH219" s="18"/>
    </row>
    <row r="220" spans="1:1880" s="396" customFormat="1" ht="30.75" customHeight="1" x14ac:dyDescent="0.3">
      <c r="A220" s="98"/>
      <c r="B220" s="424" t="s">
        <v>262</v>
      </c>
      <c r="C220" s="425"/>
      <c r="D220" s="87"/>
      <c r="E220" s="395"/>
      <c r="F220" s="397"/>
      <c r="G220" s="374"/>
      <c r="H220" s="859"/>
      <c r="I220" s="859"/>
      <c r="J220" s="173"/>
      <c r="K220" s="551"/>
      <c r="L220"/>
      <c r="M220" s="18"/>
      <c r="N220" s="183"/>
      <c r="O220" s="18"/>
      <c r="P220" s="18"/>
      <c r="Q220" s="18"/>
      <c r="R220" s="18"/>
      <c r="S220" s="18"/>
      <c r="T220" s="18"/>
      <c r="U220" s="18"/>
      <c r="V220" s="18"/>
      <c r="W220" s="18"/>
      <c r="X220" s="18"/>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c r="GQ220" s="18"/>
      <c r="GR220" s="18"/>
      <c r="GS220" s="18"/>
      <c r="GT220" s="18"/>
      <c r="GU220" s="18"/>
      <c r="GV220" s="18"/>
      <c r="GW220" s="18"/>
      <c r="GX220" s="18"/>
      <c r="GY220" s="18"/>
      <c r="GZ220" s="18"/>
      <c r="HA220" s="18"/>
      <c r="HB220" s="18"/>
      <c r="HC220" s="18"/>
      <c r="HD220" s="18"/>
      <c r="HE220" s="18"/>
      <c r="HF220" s="18"/>
      <c r="HG220" s="18"/>
      <c r="HH220" s="18"/>
      <c r="HI220" s="18"/>
      <c r="HJ220" s="18"/>
      <c r="HK220" s="18"/>
      <c r="HL220" s="18"/>
      <c r="HM220" s="18"/>
      <c r="HN220" s="18"/>
      <c r="HO220" s="18"/>
      <c r="HP220" s="18"/>
      <c r="HQ220" s="18"/>
      <c r="HR220" s="18"/>
      <c r="HS220" s="18"/>
      <c r="HT220" s="18"/>
      <c r="HU220" s="18"/>
      <c r="HV220" s="18"/>
      <c r="HW220" s="18"/>
      <c r="HX220" s="18"/>
      <c r="HY220" s="18"/>
      <c r="HZ220" s="18"/>
      <c r="IA220" s="18"/>
      <c r="IB220" s="18"/>
      <c r="IC220" s="18"/>
      <c r="ID220" s="18"/>
      <c r="IE220" s="18"/>
      <c r="IF220" s="18"/>
      <c r="IG220" s="18"/>
      <c r="IH220" s="18"/>
      <c r="II220" s="18"/>
      <c r="IJ220" s="18"/>
      <c r="IK220" s="18"/>
      <c r="IL220" s="18"/>
      <c r="IM220" s="18"/>
      <c r="IN220" s="18"/>
      <c r="IO220" s="18"/>
      <c r="IP220" s="18"/>
      <c r="IQ220" s="18"/>
      <c r="IR220" s="18"/>
      <c r="IS220" s="18"/>
      <c r="IT220" s="18"/>
      <c r="IU220" s="18"/>
      <c r="IV220" s="18"/>
      <c r="IW220" s="18"/>
      <c r="IX220" s="18"/>
      <c r="IY220" s="18"/>
      <c r="IZ220" s="18"/>
      <c r="JA220" s="18"/>
      <c r="JB220" s="18"/>
      <c r="JC220" s="18"/>
      <c r="JD220" s="18"/>
      <c r="JE220" s="18"/>
      <c r="JF220" s="18"/>
      <c r="JG220" s="18"/>
      <c r="JH220" s="18"/>
      <c r="JI220" s="18"/>
      <c r="JJ220" s="18"/>
      <c r="JK220" s="18"/>
      <c r="JL220" s="18"/>
      <c r="JM220" s="18"/>
      <c r="JN220" s="18"/>
      <c r="JO220" s="18"/>
      <c r="JP220" s="18"/>
      <c r="JQ220" s="18"/>
      <c r="JR220" s="18"/>
      <c r="JS220" s="18"/>
      <c r="JT220" s="18"/>
      <c r="JU220" s="18"/>
      <c r="JV220" s="18"/>
      <c r="JW220" s="18"/>
      <c r="JX220" s="18"/>
      <c r="JY220" s="18"/>
      <c r="JZ220" s="18"/>
      <c r="KA220" s="18"/>
      <c r="KB220" s="18"/>
      <c r="KC220" s="18"/>
      <c r="KD220" s="18"/>
      <c r="KE220" s="18"/>
      <c r="KF220" s="18"/>
      <c r="KG220" s="18"/>
      <c r="KH220" s="18"/>
      <c r="KI220" s="18"/>
      <c r="KJ220" s="18"/>
      <c r="KK220" s="18"/>
      <c r="KL220" s="18"/>
      <c r="KM220" s="18"/>
      <c r="KN220" s="18"/>
      <c r="KO220" s="18"/>
      <c r="KP220" s="18"/>
      <c r="KQ220" s="18"/>
      <c r="KR220" s="18"/>
      <c r="KS220" s="18"/>
      <c r="KT220" s="18"/>
      <c r="KU220" s="18"/>
      <c r="KV220" s="18"/>
      <c r="KW220" s="18"/>
      <c r="KX220" s="18"/>
      <c r="KY220" s="18"/>
      <c r="KZ220" s="18"/>
      <c r="LA220" s="18"/>
      <c r="LB220" s="18"/>
      <c r="LC220" s="18"/>
      <c r="LD220" s="18"/>
      <c r="LE220" s="18"/>
      <c r="LF220" s="18"/>
      <c r="LG220" s="18"/>
      <c r="LH220" s="18"/>
      <c r="LI220" s="18"/>
      <c r="LJ220" s="18"/>
      <c r="LK220" s="18"/>
      <c r="LL220" s="18"/>
      <c r="LM220" s="18"/>
      <c r="LN220" s="18"/>
      <c r="LO220" s="18"/>
      <c r="LP220" s="18"/>
      <c r="LQ220" s="18"/>
      <c r="LR220" s="18"/>
      <c r="LS220" s="18"/>
      <c r="LT220" s="18"/>
      <c r="LU220" s="18"/>
      <c r="LV220" s="18"/>
      <c r="LW220" s="18"/>
      <c r="LX220" s="18"/>
      <c r="LY220" s="18"/>
      <c r="LZ220" s="18"/>
      <c r="MA220" s="18"/>
      <c r="MB220" s="18"/>
      <c r="MC220" s="18"/>
      <c r="MD220" s="18"/>
      <c r="ME220" s="18"/>
      <c r="MF220" s="18"/>
      <c r="MG220" s="18"/>
      <c r="MH220" s="18"/>
      <c r="MI220" s="18"/>
      <c r="MJ220" s="18"/>
      <c r="MK220" s="18"/>
      <c r="ML220" s="18"/>
      <c r="MM220" s="18"/>
      <c r="MN220" s="18"/>
      <c r="MO220" s="18"/>
      <c r="MP220" s="18"/>
      <c r="MQ220" s="18"/>
      <c r="MR220" s="18"/>
      <c r="MS220" s="18"/>
      <c r="MT220" s="18"/>
      <c r="MU220" s="18"/>
      <c r="MV220" s="18"/>
      <c r="MW220" s="18"/>
      <c r="MX220" s="18"/>
      <c r="MY220" s="18"/>
      <c r="MZ220" s="18"/>
      <c r="NA220" s="18"/>
      <c r="NB220" s="18"/>
      <c r="NC220" s="18"/>
      <c r="ND220" s="18"/>
      <c r="NE220" s="18"/>
      <c r="NF220" s="18"/>
      <c r="NG220" s="18"/>
      <c r="NH220" s="18"/>
      <c r="NI220" s="18"/>
      <c r="NJ220" s="18"/>
      <c r="NK220" s="18"/>
      <c r="NL220" s="18"/>
      <c r="NM220" s="18"/>
      <c r="NN220" s="18"/>
      <c r="NO220" s="18"/>
      <c r="NP220" s="18"/>
      <c r="NQ220" s="18"/>
      <c r="NR220" s="18"/>
      <c r="NS220" s="18"/>
      <c r="NT220" s="18"/>
      <c r="NU220" s="18"/>
      <c r="NV220" s="18"/>
      <c r="NW220" s="18"/>
      <c r="NX220" s="18"/>
      <c r="NY220" s="18"/>
      <c r="NZ220" s="18"/>
      <c r="OA220" s="18"/>
      <c r="OB220" s="18"/>
      <c r="OC220" s="18"/>
      <c r="OD220" s="18"/>
      <c r="OE220" s="18"/>
      <c r="OF220" s="18"/>
      <c r="OG220" s="18"/>
      <c r="OH220" s="18"/>
      <c r="OI220" s="18"/>
      <c r="OJ220" s="18"/>
      <c r="OK220" s="18"/>
      <c r="OL220" s="18"/>
      <c r="OM220" s="18"/>
      <c r="ON220" s="18"/>
      <c r="OO220" s="18"/>
      <c r="OP220" s="18"/>
      <c r="OQ220" s="18"/>
      <c r="OR220" s="18"/>
      <c r="OS220" s="18"/>
      <c r="OT220" s="18"/>
      <c r="OU220" s="18"/>
      <c r="OV220" s="18"/>
      <c r="OW220" s="18"/>
      <c r="OX220" s="18"/>
      <c r="OY220" s="18"/>
      <c r="OZ220" s="18"/>
      <c r="PA220" s="18"/>
      <c r="PB220" s="18"/>
      <c r="PC220" s="18"/>
      <c r="PD220" s="18"/>
      <c r="PE220" s="18"/>
      <c r="PF220" s="18"/>
      <c r="PG220" s="18"/>
      <c r="PH220" s="18"/>
      <c r="PI220" s="18"/>
      <c r="PJ220" s="18"/>
      <c r="PK220" s="18"/>
      <c r="PL220" s="18"/>
      <c r="PM220" s="18"/>
      <c r="PN220" s="18"/>
      <c r="PO220" s="18"/>
      <c r="PP220" s="18"/>
      <c r="PQ220" s="18"/>
      <c r="PR220" s="18"/>
      <c r="PS220" s="18"/>
      <c r="PT220" s="18"/>
      <c r="PU220" s="18"/>
      <c r="PV220" s="18"/>
      <c r="PW220" s="18"/>
      <c r="PX220" s="18"/>
      <c r="PY220" s="18"/>
      <c r="PZ220" s="18"/>
      <c r="QA220" s="18"/>
      <c r="QB220" s="18"/>
      <c r="QC220" s="18"/>
      <c r="QD220" s="18"/>
      <c r="QE220" s="18"/>
      <c r="QF220" s="18"/>
      <c r="QG220" s="18"/>
      <c r="QH220" s="18"/>
      <c r="QI220" s="18"/>
      <c r="QJ220" s="18"/>
      <c r="QK220" s="18"/>
      <c r="QL220" s="18"/>
      <c r="QM220" s="18"/>
      <c r="QN220" s="18"/>
      <c r="QO220" s="18"/>
      <c r="QP220" s="18"/>
      <c r="QQ220" s="18"/>
      <c r="QR220" s="18"/>
      <c r="QS220" s="18"/>
      <c r="QT220" s="18"/>
      <c r="QU220" s="18"/>
      <c r="QV220" s="18"/>
      <c r="QW220" s="18"/>
      <c r="QX220" s="18"/>
      <c r="QY220" s="18"/>
      <c r="QZ220" s="18"/>
      <c r="RA220" s="18"/>
      <c r="RB220" s="18"/>
      <c r="RC220" s="18"/>
      <c r="RD220" s="18"/>
      <c r="RE220" s="18"/>
      <c r="RF220" s="18"/>
      <c r="RG220" s="18"/>
      <c r="RH220" s="18"/>
      <c r="RI220" s="18"/>
      <c r="RJ220" s="18"/>
      <c r="RK220" s="18"/>
      <c r="RL220" s="18"/>
      <c r="RM220" s="18"/>
      <c r="RN220" s="18"/>
      <c r="RO220" s="18"/>
      <c r="RP220" s="18"/>
      <c r="RQ220" s="18"/>
      <c r="RR220" s="18"/>
      <c r="RS220" s="18"/>
      <c r="RT220" s="18"/>
      <c r="RU220" s="18"/>
      <c r="RV220" s="18"/>
      <c r="RW220" s="18"/>
      <c r="RX220" s="18"/>
      <c r="RY220" s="18"/>
      <c r="RZ220" s="18"/>
      <c r="SA220" s="18"/>
      <c r="SB220" s="18"/>
      <c r="SC220" s="18"/>
      <c r="SD220" s="18"/>
      <c r="SE220" s="18"/>
      <c r="SF220" s="18"/>
      <c r="SG220" s="18"/>
      <c r="SH220" s="18"/>
      <c r="SI220" s="18"/>
      <c r="SJ220" s="18"/>
      <c r="SK220" s="18"/>
      <c r="SL220" s="18"/>
      <c r="SM220" s="18"/>
      <c r="SN220" s="18"/>
      <c r="SO220" s="18"/>
      <c r="SP220" s="18"/>
      <c r="SQ220" s="18"/>
      <c r="SR220" s="18"/>
      <c r="SS220" s="18"/>
      <c r="ST220" s="18"/>
      <c r="SU220" s="18"/>
      <c r="SV220" s="18"/>
      <c r="SW220" s="18"/>
      <c r="SX220" s="18"/>
      <c r="SY220" s="18"/>
      <c r="SZ220" s="18"/>
      <c r="TA220" s="18"/>
      <c r="TB220" s="18"/>
      <c r="TC220" s="18"/>
      <c r="TD220" s="18"/>
      <c r="TE220" s="18"/>
      <c r="TF220" s="18"/>
      <c r="TG220" s="18"/>
      <c r="TH220" s="18"/>
      <c r="TI220" s="18"/>
      <c r="TJ220" s="18"/>
      <c r="TK220" s="18"/>
      <c r="TL220" s="18"/>
      <c r="TM220" s="18"/>
      <c r="TN220" s="18"/>
      <c r="TO220" s="18"/>
      <c r="TP220" s="18"/>
      <c r="TQ220" s="18"/>
      <c r="TR220" s="18"/>
      <c r="TS220" s="18"/>
      <c r="TT220" s="18"/>
      <c r="TU220" s="18"/>
      <c r="TV220" s="18"/>
      <c r="TW220" s="18"/>
      <c r="TX220" s="18"/>
      <c r="TY220" s="18"/>
      <c r="TZ220" s="18"/>
      <c r="UA220" s="18"/>
      <c r="UB220" s="18"/>
      <c r="UC220" s="18"/>
      <c r="UD220" s="18"/>
      <c r="UE220" s="18"/>
      <c r="UF220" s="18"/>
      <c r="UG220" s="18"/>
      <c r="UH220" s="18"/>
      <c r="UI220" s="18"/>
      <c r="UJ220" s="18"/>
      <c r="UK220" s="18"/>
      <c r="UL220" s="18"/>
      <c r="UM220" s="18"/>
      <c r="UN220" s="18"/>
      <c r="UO220" s="18"/>
      <c r="UP220" s="18"/>
      <c r="UQ220" s="18"/>
      <c r="UR220" s="18"/>
      <c r="US220" s="18"/>
      <c r="UT220" s="18"/>
      <c r="UU220" s="18"/>
      <c r="UV220" s="18"/>
      <c r="UW220" s="18"/>
      <c r="UX220" s="18"/>
      <c r="UY220" s="18"/>
      <c r="UZ220" s="18"/>
      <c r="VA220" s="18"/>
      <c r="VB220" s="18"/>
      <c r="VC220" s="18"/>
      <c r="VD220" s="18"/>
      <c r="VE220" s="18"/>
      <c r="VF220" s="18"/>
      <c r="VG220" s="18"/>
      <c r="VH220" s="18"/>
      <c r="VI220" s="18"/>
      <c r="VJ220" s="18"/>
      <c r="VK220" s="18"/>
      <c r="VL220" s="18"/>
      <c r="VM220" s="18"/>
      <c r="VN220" s="18"/>
      <c r="VO220" s="18"/>
      <c r="VP220" s="18"/>
      <c r="VQ220" s="18"/>
      <c r="VR220" s="18"/>
      <c r="VS220" s="18"/>
      <c r="VT220" s="18"/>
      <c r="VU220" s="18"/>
      <c r="VV220" s="18"/>
      <c r="VW220" s="18"/>
      <c r="VX220" s="18"/>
      <c r="VY220" s="18"/>
      <c r="VZ220" s="18"/>
      <c r="WA220" s="18"/>
      <c r="WB220" s="18"/>
      <c r="WC220" s="18"/>
      <c r="WD220" s="18"/>
      <c r="WE220" s="18"/>
      <c r="WF220" s="18"/>
      <c r="WG220" s="18"/>
      <c r="WH220" s="18"/>
      <c r="WI220" s="18"/>
      <c r="WJ220" s="18"/>
      <c r="WK220" s="18"/>
      <c r="WL220" s="18"/>
      <c r="WM220" s="18"/>
      <c r="WN220" s="18"/>
      <c r="WO220" s="18"/>
      <c r="WP220" s="18"/>
      <c r="WQ220" s="18"/>
      <c r="WR220" s="18"/>
      <c r="WS220" s="18"/>
      <c r="WT220" s="18"/>
      <c r="WU220" s="18"/>
      <c r="WV220" s="18"/>
      <c r="WW220" s="18"/>
      <c r="WX220" s="18"/>
      <c r="WY220" s="18"/>
      <c r="WZ220" s="18"/>
      <c r="XA220" s="18"/>
      <c r="XB220" s="18"/>
      <c r="XC220" s="18"/>
      <c r="XD220" s="18"/>
      <c r="XE220" s="18"/>
      <c r="XF220" s="18"/>
      <c r="XG220" s="18"/>
      <c r="XH220" s="18"/>
      <c r="XI220" s="18"/>
      <c r="XJ220" s="18"/>
      <c r="XK220" s="18"/>
      <c r="XL220" s="18"/>
      <c r="XM220" s="18"/>
      <c r="XN220" s="18"/>
      <c r="XO220" s="18"/>
      <c r="XP220" s="18"/>
      <c r="XQ220" s="18"/>
      <c r="XR220" s="18"/>
      <c r="XS220" s="18"/>
      <c r="XT220" s="18"/>
      <c r="XU220" s="18"/>
      <c r="XV220" s="18"/>
      <c r="XW220" s="18"/>
      <c r="XX220" s="18"/>
      <c r="XY220" s="18"/>
      <c r="XZ220" s="18"/>
      <c r="YA220" s="18"/>
      <c r="YB220" s="18"/>
      <c r="YC220" s="18"/>
      <c r="YD220" s="18"/>
      <c r="YE220" s="18"/>
      <c r="YF220" s="18"/>
      <c r="YG220" s="18"/>
      <c r="YH220" s="18"/>
      <c r="YI220" s="18"/>
      <c r="YJ220" s="18"/>
      <c r="YK220" s="18"/>
      <c r="YL220" s="18"/>
      <c r="YM220" s="18"/>
      <c r="YN220" s="18"/>
      <c r="YO220" s="18"/>
      <c r="YP220" s="18"/>
      <c r="YQ220" s="18"/>
      <c r="YR220" s="18"/>
      <c r="YS220" s="18"/>
      <c r="YT220" s="18"/>
      <c r="YU220" s="18"/>
      <c r="YV220" s="18"/>
      <c r="YW220" s="18"/>
      <c r="YX220" s="18"/>
      <c r="YY220" s="18"/>
      <c r="YZ220" s="18"/>
      <c r="ZA220" s="18"/>
      <c r="ZB220" s="18"/>
      <c r="ZC220" s="18"/>
      <c r="ZD220" s="18"/>
      <c r="ZE220" s="18"/>
      <c r="ZF220" s="18"/>
      <c r="ZG220" s="18"/>
      <c r="ZH220" s="18"/>
      <c r="ZI220" s="18"/>
      <c r="ZJ220" s="18"/>
      <c r="ZK220" s="18"/>
      <c r="ZL220" s="18"/>
      <c r="ZM220" s="18"/>
      <c r="ZN220" s="18"/>
      <c r="ZO220" s="18"/>
      <c r="ZP220" s="18"/>
      <c r="ZQ220" s="18"/>
      <c r="ZR220" s="18"/>
      <c r="ZS220" s="18"/>
      <c r="ZT220" s="18"/>
      <c r="ZU220" s="18"/>
      <c r="ZV220" s="18"/>
      <c r="ZW220" s="18"/>
      <c r="ZX220" s="18"/>
      <c r="ZY220" s="18"/>
      <c r="ZZ220" s="18"/>
      <c r="AAA220" s="18"/>
      <c r="AAB220" s="18"/>
      <c r="AAC220" s="18"/>
      <c r="AAD220" s="18"/>
      <c r="AAE220" s="18"/>
      <c r="AAF220" s="18"/>
      <c r="AAG220" s="18"/>
      <c r="AAH220" s="18"/>
      <c r="AAI220" s="18"/>
      <c r="AAJ220" s="18"/>
      <c r="AAK220" s="18"/>
      <c r="AAL220" s="18"/>
      <c r="AAM220" s="18"/>
      <c r="AAN220" s="18"/>
      <c r="AAO220" s="18"/>
      <c r="AAP220" s="18"/>
      <c r="AAQ220" s="18"/>
      <c r="AAR220" s="18"/>
      <c r="AAS220" s="18"/>
      <c r="AAT220" s="18"/>
      <c r="AAU220" s="18"/>
      <c r="AAV220" s="18"/>
      <c r="AAW220" s="18"/>
      <c r="AAX220" s="18"/>
      <c r="AAY220" s="18"/>
      <c r="AAZ220" s="18"/>
      <c r="ABA220" s="18"/>
      <c r="ABB220" s="18"/>
      <c r="ABC220" s="18"/>
      <c r="ABD220" s="18"/>
      <c r="ABE220" s="18"/>
      <c r="ABF220" s="18"/>
      <c r="ABG220" s="18"/>
      <c r="ABH220" s="18"/>
      <c r="ABI220" s="18"/>
      <c r="ABJ220" s="18"/>
      <c r="ABK220" s="18"/>
      <c r="ABL220" s="18"/>
      <c r="ABM220" s="18"/>
      <c r="ABN220" s="18"/>
      <c r="ABO220" s="18"/>
      <c r="ABP220" s="18"/>
      <c r="ABQ220" s="18"/>
      <c r="ABR220" s="18"/>
      <c r="ABS220" s="18"/>
      <c r="ABT220" s="18"/>
      <c r="ABU220" s="18"/>
      <c r="ABV220" s="18"/>
      <c r="ABW220" s="18"/>
      <c r="ABX220" s="18"/>
      <c r="ABY220" s="18"/>
      <c r="ABZ220" s="18"/>
      <c r="ACA220" s="18"/>
      <c r="ACB220" s="18"/>
      <c r="ACC220" s="18"/>
      <c r="ACD220" s="18"/>
      <c r="ACE220" s="18"/>
      <c r="ACF220" s="18"/>
      <c r="ACG220" s="18"/>
      <c r="ACH220" s="18"/>
      <c r="ACI220" s="18"/>
      <c r="ACJ220" s="18"/>
      <c r="ACK220" s="18"/>
      <c r="ACL220" s="18"/>
      <c r="ACM220" s="18"/>
      <c r="ACN220" s="18"/>
      <c r="ACO220" s="18"/>
      <c r="ACP220" s="18"/>
      <c r="ACQ220" s="18"/>
      <c r="ACR220" s="18"/>
      <c r="ACS220" s="18"/>
      <c r="ACT220" s="18"/>
      <c r="ACU220" s="18"/>
      <c r="ACV220" s="18"/>
      <c r="ACW220" s="18"/>
      <c r="ACX220" s="18"/>
      <c r="ACY220" s="18"/>
      <c r="ACZ220" s="18"/>
      <c r="ADA220" s="18"/>
      <c r="ADB220" s="18"/>
      <c r="ADC220" s="18"/>
      <c r="ADD220" s="18"/>
      <c r="ADE220" s="18"/>
      <c r="ADF220" s="18"/>
      <c r="ADG220" s="18"/>
      <c r="ADH220" s="18"/>
      <c r="ADI220" s="18"/>
      <c r="ADJ220" s="18"/>
      <c r="ADK220" s="18"/>
      <c r="ADL220" s="18"/>
      <c r="ADM220" s="18"/>
      <c r="ADN220" s="18"/>
      <c r="ADO220" s="18"/>
      <c r="ADP220" s="18"/>
      <c r="ADQ220" s="18"/>
      <c r="ADR220" s="18"/>
      <c r="ADS220" s="18"/>
      <c r="ADT220" s="18"/>
      <c r="ADU220" s="18"/>
      <c r="ADV220" s="18"/>
      <c r="ADW220" s="18"/>
      <c r="ADX220" s="18"/>
      <c r="ADY220" s="18"/>
      <c r="ADZ220" s="18"/>
      <c r="AEA220" s="18"/>
      <c r="AEB220" s="18"/>
      <c r="AEC220" s="18"/>
      <c r="AED220" s="18"/>
      <c r="AEE220" s="18"/>
      <c r="AEF220" s="18"/>
      <c r="AEG220" s="18"/>
      <c r="AEH220" s="18"/>
      <c r="AEI220" s="18"/>
      <c r="AEJ220" s="18"/>
      <c r="AEK220" s="18"/>
      <c r="AEL220" s="18"/>
      <c r="AEM220" s="18"/>
      <c r="AEN220" s="18"/>
      <c r="AEO220" s="18"/>
      <c r="AEP220" s="18"/>
      <c r="AEQ220" s="18"/>
      <c r="AER220" s="18"/>
      <c r="AES220" s="18"/>
      <c r="AET220" s="18"/>
      <c r="AEU220" s="18"/>
      <c r="AEV220" s="18"/>
      <c r="AEW220" s="18"/>
      <c r="AEX220" s="18"/>
      <c r="AEY220" s="18"/>
      <c r="AEZ220" s="18"/>
      <c r="AFA220" s="18"/>
      <c r="AFB220" s="18"/>
      <c r="AFC220" s="18"/>
      <c r="AFD220" s="18"/>
      <c r="AFE220" s="18"/>
      <c r="AFF220" s="18"/>
      <c r="AFG220" s="18"/>
      <c r="AFH220" s="18"/>
      <c r="AFI220" s="18"/>
      <c r="AFJ220" s="18"/>
      <c r="AFK220" s="18"/>
      <c r="AFL220" s="18"/>
      <c r="AFM220" s="18"/>
      <c r="AFN220" s="18"/>
      <c r="AFO220" s="18"/>
      <c r="AFP220" s="18"/>
      <c r="AFQ220" s="18"/>
      <c r="AFR220" s="18"/>
      <c r="AFS220" s="18"/>
      <c r="AFT220" s="18"/>
      <c r="AFU220" s="18"/>
      <c r="AFV220" s="18"/>
      <c r="AFW220" s="18"/>
      <c r="AFX220" s="18"/>
      <c r="AFY220" s="18"/>
      <c r="AFZ220" s="18"/>
      <c r="AGA220" s="18"/>
      <c r="AGB220" s="18"/>
      <c r="AGC220" s="18"/>
      <c r="AGD220" s="18"/>
      <c r="AGE220" s="18"/>
      <c r="AGF220" s="18"/>
      <c r="AGG220" s="18"/>
      <c r="AGH220" s="18"/>
      <c r="AGI220" s="18"/>
      <c r="AGJ220" s="18"/>
      <c r="AGK220" s="18"/>
      <c r="AGL220" s="18"/>
      <c r="AGM220" s="18"/>
      <c r="AGN220" s="18"/>
      <c r="AGO220" s="18"/>
      <c r="AGP220" s="18"/>
      <c r="AGQ220" s="18"/>
      <c r="AGR220" s="18"/>
      <c r="AGS220" s="18"/>
      <c r="AGT220" s="18"/>
      <c r="AGU220" s="18"/>
      <c r="AGV220" s="18"/>
      <c r="AGW220" s="18"/>
      <c r="AGX220" s="18"/>
      <c r="AGY220" s="18"/>
      <c r="AGZ220" s="18"/>
      <c r="AHA220" s="18"/>
      <c r="AHB220" s="18"/>
      <c r="AHC220" s="18"/>
      <c r="AHD220" s="18"/>
      <c r="AHE220" s="18"/>
      <c r="AHF220" s="18"/>
      <c r="AHG220" s="18"/>
      <c r="AHH220" s="18"/>
      <c r="AHI220" s="18"/>
      <c r="AHJ220" s="18"/>
      <c r="AHK220" s="18"/>
      <c r="AHL220" s="18"/>
      <c r="AHM220" s="18"/>
      <c r="AHN220" s="18"/>
      <c r="AHO220" s="18"/>
      <c r="AHP220" s="18"/>
      <c r="AHQ220" s="18"/>
      <c r="AHR220" s="18"/>
      <c r="AHS220" s="18"/>
      <c r="AHT220" s="18"/>
      <c r="AHU220" s="18"/>
      <c r="AHV220" s="18"/>
      <c r="AHW220" s="18"/>
      <c r="AHX220" s="18"/>
      <c r="AHY220" s="18"/>
      <c r="AHZ220" s="18"/>
      <c r="AIA220" s="18"/>
      <c r="AIB220" s="18"/>
      <c r="AIC220" s="18"/>
      <c r="AID220" s="18"/>
      <c r="AIE220" s="18"/>
      <c r="AIF220" s="18"/>
      <c r="AIG220" s="18"/>
      <c r="AIH220" s="18"/>
      <c r="AII220" s="18"/>
      <c r="AIJ220" s="18"/>
      <c r="AIK220" s="18"/>
      <c r="AIL220" s="18"/>
      <c r="AIM220" s="18"/>
      <c r="AIN220" s="18"/>
      <c r="AIO220" s="18"/>
      <c r="AIP220" s="18"/>
      <c r="AIQ220" s="18"/>
      <c r="AIR220" s="18"/>
      <c r="AIS220" s="18"/>
      <c r="AIT220" s="18"/>
      <c r="AIU220" s="18"/>
      <c r="AIV220" s="18"/>
      <c r="AIW220" s="18"/>
      <c r="AIX220" s="18"/>
      <c r="AIY220" s="18"/>
      <c r="AIZ220" s="18"/>
      <c r="AJA220" s="18"/>
      <c r="AJB220" s="18"/>
      <c r="AJC220" s="18"/>
      <c r="AJD220" s="18"/>
      <c r="AJE220" s="18"/>
      <c r="AJF220" s="18"/>
      <c r="AJG220" s="18"/>
      <c r="AJH220" s="18"/>
      <c r="AJI220" s="18"/>
      <c r="AJJ220" s="18"/>
      <c r="AJK220" s="18"/>
      <c r="AJL220" s="18"/>
      <c r="AJM220" s="18"/>
      <c r="AJN220" s="18"/>
      <c r="AJO220" s="18"/>
      <c r="AJP220" s="18"/>
      <c r="AJQ220" s="18"/>
      <c r="AJR220" s="18"/>
      <c r="AJS220" s="18"/>
      <c r="AJT220" s="18"/>
      <c r="AJU220" s="18"/>
      <c r="AJV220" s="18"/>
      <c r="AJW220" s="18"/>
      <c r="AJX220" s="18"/>
      <c r="AJY220" s="18"/>
      <c r="AJZ220" s="18"/>
      <c r="AKA220" s="18"/>
      <c r="AKB220" s="18"/>
      <c r="AKC220" s="18"/>
      <c r="AKD220" s="18"/>
      <c r="AKE220" s="18"/>
      <c r="AKF220" s="18"/>
      <c r="AKG220" s="18"/>
      <c r="AKH220" s="18"/>
      <c r="AKI220" s="18"/>
      <c r="AKJ220" s="18"/>
      <c r="AKK220" s="18"/>
      <c r="AKL220" s="18"/>
      <c r="AKM220" s="18"/>
      <c r="AKN220" s="18"/>
      <c r="AKO220" s="18"/>
      <c r="AKP220" s="18"/>
      <c r="AKQ220" s="18"/>
      <c r="AKR220" s="18"/>
      <c r="AKS220" s="18"/>
      <c r="AKT220" s="18"/>
      <c r="AKU220" s="18"/>
      <c r="AKV220" s="18"/>
      <c r="AKW220" s="18"/>
      <c r="AKX220" s="18"/>
      <c r="AKY220" s="18"/>
      <c r="AKZ220" s="18"/>
      <c r="ALA220" s="18"/>
      <c r="ALB220" s="18"/>
      <c r="ALC220" s="18"/>
      <c r="ALD220" s="18"/>
      <c r="ALE220" s="18"/>
      <c r="ALF220" s="18"/>
      <c r="ALG220" s="18"/>
      <c r="ALH220" s="18"/>
      <c r="ALI220" s="18"/>
      <c r="ALJ220" s="18"/>
      <c r="ALK220" s="18"/>
      <c r="ALL220" s="18"/>
      <c r="ALM220" s="18"/>
      <c r="ALN220" s="18"/>
      <c r="ALO220" s="18"/>
      <c r="ALP220" s="18"/>
      <c r="ALQ220" s="18"/>
      <c r="ALR220" s="18"/>
      <c r="ALS220" s="18"/>
      <c r="ALT220" s="18"/>
      <c r="ALU220" s="18"/>
      <c r="ALV220" s="18"/>
      <c r="ALW220" s="18"/>
      <c r="ALX220" s="18"/>
      <c r="ALY220" s="18"/>
      <c r="ALZ220" s="18"/>
      <c r="AMA220" s="18"/>
      <c r="AMB220" s="18"/>
      <c r="AMC220" s="18"/>
      <c r="AMD220" s="18"/>
      <c r="AME220" s="18"/>
      <c r="AMF220" s="18"/>
      <c r="AMG220" s="18"/>
      <c r="AMH220" s="18"/>
      <c r="AMI220" s="18"/>
      <c r="AMJ220" s="18"/>
      <c r="AMK220" s="18"/>
      <c r="AML220" s="18"/>
      <c r="AMM220" s="18"/>
      <c r="AMN220" s="18"/>
      <c r="AMO220" s="18"/>
      <c r="AMP220" s="18"/>
      <c r="AMQ220" s="18"/>
      <c r="AMR220" s="18"/>
      <c r="AMS220" s="18"/>
      <c r="AMT220" s="18"/>
      <c r="AMU220" s="18"/>
      <c r="AMV220" s="18"/>
      <c r="AMW220" s="18"/>
      <c r="AMX220" s="18"/>
      <c r="AMY220" s="18"/>
      <c r="AMZ220" s="18"/>
      <c r="ANA220" s="18"/>
      <c r="ANB220" s="18"/>
      <c r="ANC220" s="18"/>
      <c r="AND220" s="18"/>
      <c r="ANE220" s="18"/>
      <c r="ANF220" s="18"/>
      <c r="ANG220" s="18"/>
      <c r="ANH220" s="18"/>
      <c r="ANI220" s="18"/>
      <c r="ANJ220" s="18"/>
      <c r="ANK220" s="18"/>
      <c r="ANL220" s="18"/>
      <c r="ANM220" s="18"/>
      <c r="ANN220" s="18"/>
      <c r="ANO220" s="18"/>
      <c r="ANP220" s="18"/>
      <c r="ANQ220" s="18"/>
      <c r="ANR220" s="18"/>
      <c r="ANS220" s="18"/>
      <c r="ANT220" s="18"/>
      <c r="ANU220" s="18"/>
      <c r="ANV220" s="18"/>
      <c r="ANW220" s="18"/>
      <c r="ANX220" s="18"/>
      <c r="ANY220" s="18"/>
      <c r="ANZ220" s="18"/>
      <c r="AOA220" s="18"/>
      <c r="AOB220" s="18"/>
      <c r="AOC220" s="18"/>
      <c r="AOD220" s="18"/>
      <c r="AOE220" s="18"/>
      <c r="AOF220" s="18"/>
      <c r="AOG220" s="18"/>
      <c r="AOH220" s="18"/>
      <c r="AOI220" s="18"/>
      <c r="AOJ220" s="18"/>
      <c r="AOK220" s="18"/>
      <c r="AOL220" s="18"/>
      <c r="AOM220" s="18"/>
      <c r="AON220" s="18"/>
      <c r="AOO220" s="18"/>
      <c r="AOP220" s="18"/>
      <c r="AOQ220" s="18"/>
      <c r="AOR220" s="18"/>
      <c r="AOS220" s="18"/>
      <c r="AOT220" s="18"/>
      <c r="AOU220" s="18"/>
      <c r="AOV220" s="18"/>
      <c r="AOW220" s="18"/>
      <c r="AOX220" s="18"/>
      <c r="AOY220" s="18"/>
      <c r="AOZ220" s="18"/>
      <c r="APA220" s="18"/>
      <c r="APB220" s="18"/>
      <c r="APC220" s="18"/>
      <c r="APD220" s="18"/>
      <c r="APE220" s="18"/>
      <c r="APF220" s="18"/>
      <c r="APG220" s="18"/>
      <c r="APH220" s="18"/>
      <c r="API220" s="18"/>
      <c r="APJ220" s="18"/>
      <c r="APK220" s="18"/>
      <c r="APL220" s="18"/>
      <c r="APM220" s="18"/>
      <c r="APN220" s="18"/>
      <c r="APO220" s="18"/>
      <c r="APP220" s="18"/>
      <c r="APQ220" s="18"/>
      <c r="APR220" s="18"/>
      <c r="APS220" s="18"/>
      <c r="APT220" s="18"/>
      <c r="APU220" s="18"/>
      <c r="APV220" s="18"/>
      <c r="APW220" s="18"/>
      <c r="APX220" s="18"/>
      <c r="APY220" s="18"/>
      <c r="APZ220" s="18"/>
      <c r="AQA220" s="18"/>
      <c r="AQB220" s="18"/>
      <c r="AQC220" s="18"/>
      <c r="AQD220" s="18"/>
      <c r="AQE220" s="18"/>
      <c r="AQF220" s="18"/>
      <c r="AQG220" s="18"/>
      <c r="AQH220" s="18"/>
      <c r="AQI220" s="18"/>
      <c r="AQJ220" s="18"/>
      <c r="AQK220" s="18"/>
      <c r="AQL220" s="18"/>
      <c r="AQM220" s="18"/>
      <c r="AQN220" s="18"/>
      <c r="AQO220" s="18"/>
      <c r="AQP220" s="18"/>
      <c r="AQQ220" s="18"/>
      <c r="AQR220" s="18"/>
      <c r="AQS220" s="18"/>
      <c r="AQT220" s="18"/>
      <c r="AQU220" s="18"/>
      <c r="AQV220" s="18"/>
      <c r="AQW220" s="18"/>
      <c r="AQX220" s="18"/>
      <c r="AQY220" s="18"/>
      <c r="AQZ220" s="18"/>
      <c r="ARA220" s="18"/>
      <c r="ARB220" s="18"/>
      <c r="ARC220" s="18"/>
      <c r="ARD220" s="18"/>
      <c r="ARE220" s="18"/>
      <c r="ARF220" s="18"/>
      <c r="ARG220" s="18"/>
      <c r="ARH220" s="18"/>
      <c r="ARI220" s="18"/>
      <c r="ARJ220" s="18"/>
      <c r="ARK220" s="18"/>
      <c r="ARL220" s="18"/>
      <c r="ARM220" s="18"/>
      <c r="ARN220" s="18"/>
      <c r="ARO220" s="18"/>
      <c r="ARP220" s="18"/>
      <c r="ARQ220" s="18"/>
      <c r="ARR220" s="18"/>
      <c r="ARS220" s="18"/>
      <c r="ART220" s="18"/>
      <c r="ARU220" s="18"/>
      <c r="ARV220" s="18"/>
      <c r="ARW220" s="18"/>
      <c r="ARX220" s="18"/>
      <c r="ARY220" s="18"/>
      <c r="ARZ220" s="18"/>
      <c r="ASA220" s="18"/>
      <c r="ASB220" s="18"/>
      <c r="ASC220" s="18"/>
      <c r="ASD220" s="18"/>
      <c r="ASE220" s="18"/>
      <c r="ASF220" s="18"/>
      <c r="ASG220" s="18"/>
      <c r="ASH220" s="18"/>
      <c r="ASI220" s="18"/>
      <c r="ASJ220" s="18"/>
      <c r="ASK220" s="18"/>
      <c r="ASL220" s="18"/>
      <c r="ASM220" s="18"/>
      <c r="ASN220" s="18"/>
      <c r="ASO220" s="18"/>
      <c r="ASP220" s="18"/>
      <c r="ASQ220" s="18"/>
      <c r="ASR220" s="18"/>
      <c r="ASS220" s="18"/>
      <c r="AST220" s="18"/>
      <c r="ASU220" s="18"/>
      <c r="ASV220" s="18"/>
      <c r="ASW220" s="18"/>
      <c r="ASX220" s="18"/>
      <c r="ASY220" s="18"/>
      <c r="ASZ220" s="18"/>
      <c r="ATA220" s="18"/>
      <c r="ATB220" s="18"/>
      <c r="ATC220" s="18"/>
      <c r="ATD220" s="18"/>
      <c r="ATE220" s="18"/>
      <c r="ATF220" s="18"/>
      <c r="ATG220" s="18"/>
      <c r="ATH220" s="18"/>
      <c r="ATI220" s="18"/>
      <c r="ATJ220" s="18"/>
      <c r="ATK220" s="18"/>
      <c r="ATL220" s="18"/>
      <c r="ATM220" s="18"/>
      <c r="ATN220" s="18"/>
      <c r="ATO220" s="18"/>
      <c r="ATP220" s="18"/>
      <c r="ATQ220" s="18"/>
      <c r="ATR220" s="18"/>
      <c r="ATS220" s="18"/>
      <c r="ATT220" s="18"/>
      <c r="ATU220" s="18"/>
      <c r="ATV220" s="18"/>
      <c r="ATW220" s="18"/>
      <c r="ATX220" s="18"/>
      <c r="ATY220" s="18"/>
      <c r="ATZ220" s="18"/>
      <c r="AUA220" s="18"/>
      <c r="AUB220" s="18"/>
      <c r="AUC220" s="18"/>
      <c r="AUD220" s="18"/>
      <c r="AUE220" s="18"/>
      <c r="AUF220" s="18"/>
      <c r="AUG220" s="18"/>
      <c r="AUH220" s="18"/>
      <c r="AUI220" s="18"/>
      <c r="AUJ220" s="18"/>
      <c r="AUK220" s="18"/>
      <c r="AUL220" s="18"/>
      <c r="AUM220" s="18"/>
      <c r="AUN220" s="18"/>
      <c r="AUO220" s="18"/>
      <c r="AUP220" s="18"/>
      <c r="AUQ220" s="18"/>
      <c r="AUR220" s="18"/>
      <c r="AUS220" s="18"/>
      <c r="AUT220" s="18"/>
      <c r="AUU220" s="18"/>
      <c r="AUV220" s="18"/>
      <c r="AUW220" s="18"/>
      <c r="AUX220" s="18"/>
      <c r="AUY220" s="18"/>
      <c r="AUZ220" s="18"/>
      <c r="AVA220" s="18"/>
      <c r="AVB220" s="18"/>
      <c r="AVC220" s="18"/>
      <c r="AVD220" s="18"/>
      <c r="AVE220" s="18"/>
      <c r="AVF220" s="18"/>
      <c r="AVG220" s="18"/>
      <c r="AVH220" s="18"/>
      <c r="AVI220" s="18"/>
      <c r="AVJ220" s="18"/>
      <c r="AVK220" s="18"/>
      <c r="AVL220" s="18"/>
      <c r="AVM220" s="18"/>
      <c r="AVN220" s="18"/>
      <c r="AVO220" s="18"/>
      <c r="AVP220" s="18"/>
      <c r="AVQ220" s="18"/>
      <c r="AVR220" s="18"/>
      <c r="AVS220" s="18"/>
      <c r="AVT220" s="18"/>
      <c r="AVU220" s="18"/>
      <c r="AVV220" s="18"/>
      <c r="AVW220" s="18"/>
      <c r="AVX220" s="18"/>
      <c r="AVY220" s="18"/>
      <c r="AVZ220" s="18"/>
      <c r="AWA220" s="18"/>
      <c r="AWB220" s="18"/>
      <c r="AWC220" s="18"/>
      <c r="AWD220" s="18"/>
      <c r="AWE220" s="18"/>
      <c r="AWF220" s="18"/>
      <c r="AWG220" s="18"/>
      <c r="AWH220" s="18"/>
      <c r="AWI220" s="18"/>
      <c r="AWJ220" s="18"/>
      <c r="AWK220" s="18"/>
      <c r="AWL220" s="18"/>
      <c r="AWM220" s="18"/>
      <c r="AWN220" s="18"/>
      <c r="AWO220" s="18"/>
      <c r="AWP220" s="18"/>
      <c r="AWQ220" s="18"/>
      <c r="AWR220" s="18"/>
      <c r="AWS220" s="18"/>
      <c r="AWT220" s="18"/>
      <c r="AWU220" s="18"/>
      <c r="AWV220" s="18"/>
      <c r="AWW220" s="18"/>
      <c r="AWX220" s="18"/>
      <c r="AWY220" s="18"/>
      <c r="AWZ220" s="18"/>
      <c r="AXA220" s="18"/>
      <c r="AXB220" s="18"/>
      <c r="AXC220" s="18"/>
      <c r="AXD220" s="18"/>
      <c r="AXE220" s="18"/>
      <c r="AXF220" s="18"/>
      <c r="AXG220" s="18"/>
      <c r="AXH220" s="18"/>
      <c r="AXI220" s="18"/>
      <c r="AXJ220" s="18"/>
      <c r="AXK220" s="18"/>
      <c r="AXL220" s="18"/>
      <c r="AXM220" s="18"/>
      <c r="AXN220" s="18"/>
      <c r="AXO220" s="18"/>
      <c r="AXP220" s="18"/>
      <c r="AXQ220" s="18"/>
      <c r="AXR220" s="18"/>
      <c r="AXS220" s="18"/>
      <c r="AXT220" s="18"/>
      <c r="AXU220" s="18"/>
      <c r="AXV220" s="18"/>
      <c r="AXW220" s="18"/>
      <c r="AXX220" s="18"/>
      <c r="AXY220" s="18"/>
      <c r="AXZ220" s="18"/>
      <c r="AYA220" s="18"/>
      <c r="AYB220" s="18"/>
      <c r="AYC220" s="18"/>
      <c r="AYD220" s="18"/>
      <c r="AYE220" s="18"/>
      <c r="AYF220" s="18"/>
      <c r="AYG220" s="18"/>
      <c r="AYH220" s="18"/>
      <c r="AYI220" s="18"/>
      <c r="AYJ220" s="18"/>
      <c r="AYK220" s="18"/>
      <c r="AYL220" s="18"/>
      <c r="AYM220" s="18"/>
      <c r="AYN220" s="18"/>
      <c r="AYO220" s="18"/>
      <c r="AYP220" s="18"/>
      <c r="AYQ220" s="18"/>
      <c r="AYR220" s="18"/>
      <c r="AYS220" s="18"/>
      <c r="AYT220" s="18"/>
      <c r="AYU220" s="18"/>
      <c r="AYV220" s="18"/>
      <c r="AYW220" s="18"/>
      <c r="AYX220" s="18"/>
      <c r="AYY220" s="18"/>
      <c r="AYZ220" s="18"/>
      <c r="AZA220" s="18"/>
      <c r="AZB220" s="18"/>
      <c r="AZC220" s="18"/>
      <c r="AZD220" s="18"/>
      <c r="AZE220" s="18"/>
      <c r="AZF220" s="18"/>
      <c r="AZG220" s="18"/>
      <c r="AZH220" s="18"/>
      <c r="AZI220" s="18"/>
      <c r="AZJ220" s="18"/>
      <c r="AZK220" s="18"/>
      <c r="AZL220" s="18"/>
      <c r="AZM220" s="18"/>
      <c r="AZN220" s="18"/>
      <c r="AZO220" s="18"/>
      <c r="AZP220" s="18"/>
      <c r="AZQ220" s="18"/>
      <c r="AZR220" s="18"/>
      <c r="AZS220" s="18"/>
      <c r="AZT220" s="18"/>
      <c r="AZU220" s="18"/>
      <c r="AZV220" s="18"/>
      <c r="AZW220" s="18"/>
      <c r="AZX220" s="18"/>
      <c r="AZY220" s="18"/>
      <c r="AZZ220" s="18"/>
      <c r="BAA220" s="18"/>
      <c r="BAB220" s="18"/>
      <c r="BAC220" s="18"/>
      <c r="BAD220" s="18"/>
      <c r="BAE220" s="18"/>
      <c r="BAF220" s="18"/>
      <c r="BAG220" s="18"/>
      <c r="BAH220" s="18"/>
      <c r="BAI220" s="18"/>
      <c r="BAJ220" s="18"/>
      <c r="BAK220" s="18"/>
      <c r="BAL220" s="18"/>
      <c r="BAM220" s="18"/>
      <c r="BAN220" s="18"/>
      <c r="BAO220" s="18"/>
      <c r="BAP220" s="18"/>
      <c r="BAQ220" s="18"/>
      <c r="BAR220" s="18"/>
      <c r="BAS220" s="18"/>
      <c r="BAT220" s="18"/>
      <c r="BAU220" s="18"/>
      <c r="BAV220" s="18"/>
      <c r="BAW220" s="18"/>
      <c r="BAX220" s="18"/>
      <c r="BAY220" s="18"/>
      <c r="BAZ220" s="18"/>
      <c r="BBA220" s="18"/>
      <c r="BBB220" s="18"/>
      <c r="BBC220" s="18"/>
      <c r="BBD220" s="18"/>
      <c r="BBE220" s="18"/>
      <c r="BBF220" s="18"/>
      <c r="BBG220" s="18"/>
      <c r="BBH220" s="18"/>
      <c r="BBI220" s="18"/>
      <c r="BBJ220" s="18"/>
      <c r="BBK220" s="18"/>
      <c r="BBL220" s="18"/>
      <c r="BBM220" s="18"/>
      <c r="BBN220" s="18"/>
      <c r="BBO220" s="18"/>
      <c r="BBP220" s="18"/>
      <c r="BBQ220" s="18"/>
      <c r="BBR220" s="18"/>
      <c r="BBS220" s="18"/>
      <c r="BBT220" s="18"/>
      <c r="BBU220" s="18"/>
      <c r="BBV220" s="18"/>
      <c r="BBW220" s="18"/>
      <c r="BBX220" s="18"/>
      <c r="BBY220" s="18"/>
      <c r="BBZ220" s="18"/>
      <c r="BCA220" s="18"/>
      <c r="BCB220" s="18"/>
      <c r="BCC220" s="18"/>
      <c r="BCD220" s="18"/>
      <c r="BCE220" s="18"/>
      <c r="BCF220" s="18"/>
      <c r="BCG220" s="18"/>
      <c r="BCH220" s="18"/>
      <c r="BCI220" s="18"/>
      <c r="BCJ220" s="18"/>
      <c r="BCK220" s="18"/>
      <c r="BCL220" s="18"/>
      <c r="BCM220" s="18"/>
      <c r="BCN220" s="18"/>
      <c r="BCO220" s="18"/>
      <c r="BCP220" s="18"/>
      <c r="BCQ220" s="18"/>
      <c r="BCR220" s="18"/>
      <c r="BCS220" s="18"/>
      <c r="BCT220" s="18"/>
      <c r="BCU220" s="18"/>
      <c r="BCV220" s="18"/>
      <c r="BCW220" s="18"/>
      <c r="BCX220" s="18"/>
      <c r="BCY220" s="18"/>
      <c r="BCZ220" s="18"/>
      <c r="BDA220" s="18"/>
      <c r="BDB220" s="18"/>
      <c r="BDC220" s="18"/>
      <c r="BDD220" s="18"/>
      <c r="BDE220" s="18"/>
      <c r="BDF220" s="18"/>
      <c r="BDG220" s="18"/>
      <c r="BDH220" s="18"/>
      <c r="BDI220" s="18"/>
      <c r="BDJ220" s="18"/>
      <c r="BDK220" s="18"/>
      <c r="BDL220" s="18"/>
      <c r="BDM220" s="18"/>
      <c r="BDN220" s="18"/>
      <c r="BDO220" s="18"/>
      <c r="BDP220" s="18"/>
      <c r="BDQ220" s="18"/>
      <c r="BDR220" s="18"/>
      <c r="BDS220" s="18"/>
      <c r="BDT220" s="18"/>
      <c r="BDU220" s="18"/>
      <c r="BDV220" s="18"/>
      <c r="BDW220" s="18"/>
      <c r="BDX220" s="18"/>
      <c r="BDY220" s="18"/>
      <c r="BDZ220" s="18"/>
      <c r="BEA220" s="18"/>
      <c r="BEB220" s="18"/>
      <c r="BEC220" s="18"/>
      <c r="BED220" s="18"/>
      <c r="BEE220" s="18"/>
      <c r="BEF220" s="18"/>
      <c r="BEG220" s="18"/>
      <c r="BEH220" s="18"/>
      <c r="BEI220" s="18"/>
      <c r="BEJ220" s="18"/>
      <c r="BEK220" s="18"/>
      <c r="BEL220" s="18"/>
      <c r="BEM220" s="18"/>
      <c r="BEN220" s="18"/>
      <c r="BEO220" s="18"/>
      <c r="BEP220" s="18"/>
      <c r="BEQ220" s="18"/>
      <c r="BER220" s="18"/>
      <c r="BES220" s="18"/>
      <c r="BET220" s="18"/>
      <c r="BEU220" s="18"/>
      <c r="BEV220" s="18"/>
      <c r="BEW220" s="18"/>
      <c r="BEX220" s="18"/>
      <c r="BEY220" s="18"/>
      <c r="BEZ220" s="18"/>
      <c r="BFA220" s="18"/>
      <c r="BFB220" s="18"/>
      <c r="BFC220" s="18"/>
      <c r="BFD220" s="18"/>
      <c r="BFE220" s="18"/>
      <c r="BFF220" s="18"/>
      <c r="BFG220" s="18"/>
      <c r="BFH220" s="18"/>
      <c r="BFI220" s="18"/>
      <c r="BFJ220" s="18"/>
      <c r="BFK220" s="18"/>
      <c r="BFL220" s="18"/>
      <c r="BFM220" s="18"/>
      <c r="BFN220" s="18"/>
      <c r="BFO220" s="18"/>
      <c r="BFP220" s="18"/>
      <c r="BFQ220" s="18"/>
      <c r="BFR220" s="18"/>
      <c r="BFS220" s="18"/>
      <c r="BFT220" s="18"/>
      <c r="BFU220" s="18"/>
      <c r="BFV220" s="18"/>
      <c r="BFW220" s="18"/>
      <c r="BFX220" s="18"/>
      <c r="BFY220" s="18"/>
      <c r="BFZ220" s="18"/>
      <c r="BGA220" s="18"/>
      <c r="BGB220" s="18"/>
      <c r="BGC220" s="18"/>
      <c r="BGD220" s="18"/>
      <c r="BGE220" s="18"/>
      <c r="BGF220" s="18"/>
      <c r="BGG220" s="18"/>
      <c r="BGH220" s="18"/>
      <c r="BGI220" s="18"/>
      <c r="BGJ220" s="18"/>
      <c r="BGK220" s="18"/>
      <c r="BGL220" s="18"/>
      <c r="BGM220" s="18"/>
      <c r="BGN220" s="18"/>
      <c r="BGO220" s="18"/>
      <c r="BGP220" s="18"/>
      <c r="BGQ220" s="18"/>
      <c r="BGR220" s="18"/>
      <c r="BGS220" s="18"/>
      <c r="BGT220" s="18"/>
      <c r="BGU220" s="18"/>
      <c r="BGV220" s="18"/>
      <c r="BGW220" s="18"/>
      <c r="BGX220" s="18"/>
      <c r="BGY220" s="18"/>
      <c r="BGZ220" s="18"/>
      <c r="BHA220" s="18"/>
      <c r="BHB220" s="18"/>
      <c r="BHC220" s="18"/>
      <c r="BHD220" s="18"/>
      <c r="BHE220" s="18"/>
      <c r="BHF220" s="18"/>
      <c r="BHG220" s="18"/>
      <c r="BHH220" s="18"/>
      <c r="BHI220" s="18"/>
      <c r="BHJ220" s="18"/>
      <c r="BHK220" s="18"/>
      <c r="BHL220" s="18"/>
      <c r="BHM220" s="18"/>
      <c r="BHN220" s="18"/>
      <c r="BHO220" s="18"/>
      <c r="BHP220" s="18"/>
      <c r="BHQ220" s="18"/>
      <c r="BHR220" s="18"/>
      <c r="BHS220" s="18"/>
      <c r="BHT220" s="18"/>
      <c r="BHU220" s="18"/>
      <c r="BHV220" s="18"/>
      <c r="BHW220" s="18"/>
      <c r="BHX220" s="18"/>
      <c r="BHY220" s="18"/>
      <c r="BHZ220" s="18"/>
      <c r="BIA220" s="18"/>
      <c r="BIB220" s="18"/>
      <c r="BIC220" s="18"/>
      <c r="BID220" s="18"/>
      <c r="BIE220" s="18"/>
      <c r="BIF220" s="18"/>
      <c r="BIG220" s="18"/>
      <c r="BIH220" s="18"/>
      <c r="BII220" s="18"/>
      <c r="BIJ220" s="18"/>
      <c r="BIK220" s="18"/>
      <c r="BIL220" s="18"/>
      <c r="BIM220" s="18"/>
      <c r="BIN220" s="18"/>
      <c r="BIO220" s="18"/>
      <c r="BIP220" s="18"/>
      <c r="BIQ220" s="18"/>
      <c r="BIR220" s="18"/>
      <c r="BIS220" s="18"/>
      <c r="BIT220" s="18"/>
      <c r="BIU220" s="18"/>
      <c r="BIV220" s="18"/>
      <c r="BIW220" s="18"/>
      <c r="BIX220" s="18"/>
      <c r="BIY220" s="18"/>
      <c r="BIZ220" s="18"/>
      <c r="BJA220" s="18"/>
      <c r="BJB220" s="18"/>
      <c r="BJC220" s="18"/>
      <c r="BJD220" s="18"/>
      <c r="BJE220" s="18"/>
      <c r="BJF220" s="18"/>
      <c r="BJG220" s="18"/>
      <c r="BJH220" s="18"/>
      <c r="BJI220" s="18"/>
      <c r="BJJ220" s="18"/>
      <c r="BJK220" s="18"/>
      <c r="BJL220" s="18"/>
      <c r="BJM220" s="18"/>
      <c r="BJN220" s="18"/>
      <c r="BJO220" s="18"/>
      <c r="BJP220" s="18"/>
      <c r="BJQ220" s="18"/>
      <c r="BJR220" s="18"/>
      <c r="BJS220" s="18"/>
      <c r="BJT220" s="18"/>
      <c r="BJU220" s="18"/>
      <c r="BJV220" s="18"/>
      <c r="BJW220" s="18"/>
      <c r="BJX220" s="18"/>
      <c r="BJY220" s="18"/>
      <c r="BJZ220" s="18"/>
      <c r="BKA220" s="18"/>
      <c r="BKB220" s="18"/>
      <c r="BKC220" s="18"/>
      <c r="BKD220" s="18"/>
      <c r="BKE220" s="18"/>
      <c r="BKF220" s="18"/>
      <c r="BKG220" s="18"/>
      <c r="BKH220" s="18"/>
      <c r="BKI220" s="18"/>
      <c r="BKJ220" s="18"/>
      <c r="BKK220" s="18"/>
      <c r="BKL220" s="18"/>
      <c r="BKM220" s="18"/>
      <c r="BKN220" s="18"/>
      <c r="BKO220" s="18"/>
      <c r="BKP220" s="18"/>
      <c r="BKQ220" s="18"/>
      <c r="BKR220" s="18"/>
      <c r="BKS220" s="18"/>
      <c r="BKT220" s="18"/>
      <c r="BKU220" s="18"/>
      <c r="BKV220" s="18"/>
      <c r="BKW220" s="18"/>
      <c r="BKX220" s="18"/>
      <c r="BKY220" s="18"/>
      <c r="BKZ220" s="18"/>
      <c r="BLA220" s="18"/>
      <c r="BLB220" s="18"/>
      <c r="BLC220" s="18"/>
      <c r="BLD220" s="18"/>
      <c r="BLE220" s="18"/>
      <c r="BLF220" s="18"/>
      <c r="BLG220" s="18"/>
      <c r="BLH220" s="18"/>
      <c r="BLI220" s="18"/>
      <c r="BLJ220" s="18"/>
      <c r="BLK220" s="18"/>
      <c r="BLL220" s="18"/>
      <c r="BLM220" s="18"/>
      <c r="BLN220" s="18"/>
      <c r="BLO220" s="18"/>
      <c r="BLP220" s="18"/>
      <c r="BLQ220" s="18"/>
      <c r="BLR220" s="18"/>
      <c r="BLS220" s="18"/>
      <c r="BLT220" s="18"/>
      <c r="BLU220" s="18"/>
      <c r="BLV220" s="18"/>
      <c r="BLW220" s="18"/>
      <c r="BLX220" s="18"/>
      <c r="BLY220" s="18"/>
      <c r="BLZ220" s="18"/>
      <c r="BMA220" s="18"/>
      <c r="BMB220" s="18"/>
      <c r="BMC220" s="18"/>
      <c r="BMD220" s="18"/>
      <c r="BME220" s="18"/>
      <c r="BMF220" s="18"/>
      <c r="BMG220" s="18"/>
      <c r="BMH220" s="18"/>
      <c r="BMI220" s="18"/>
      <c r="BMJ220" s="18"/>
      <c r="BMK220" s="18"/>
      <c r="BML220" s="18"/>
      <c r="BMM220" s="18"/>
      <c r="BMN220" s="18"/>
      <c r="BMO220" s="18"/>
      <c r="BMP220" s="18"/>
      <c r="BMQ220" s="18"/>
      <c r="BMR220" s="18"/>
      <c r="BMS220" s="18"/>
      <c r="BMT220" s="18"/>
      <c r="BMU220" s="18"/>
      <c r="BMV220" s="18"/>
      <c r="BMW220" s="18"/>
      <c r="BMX220" s="18"/>
      <c r="BMY220" s="18"/>
      <c r="BMZ220" s="18"/>
      <c r="BNA220" s="18"/>
      <c r="BNB220" s="18"/>
      <c r="BNC220" s="18"/>
      <c r="BND220" s="18"/>
      <c r="BNE220" s="18"/>
      <c r="BNF220" s="18"/>
      <c r="BNG220" s="18"/>
      <c r="BNH220" s="18"/>
      <c r="BNI220" s="18"/>
      <c r="BNJ220" s="18"/>
      <c r="BNK220" s="18"/>
      <c r="BNL220" s="18"/>
      <c r="BNM220" s="18"/>
      <c r="BNN220" s="18"/>
      <c r="BNO220" s="18"/>
      <c r="BNP220" s="18"/>
      <c r="BNQ220" s="18"/>
      <c r="BNR220" s="18"/>
      <c r="BNS220" s="18"/>
      <c r="BNT220" s="18"/>
      <c r="BNU220" s="18"/>
      <c r="BNV220" s="18"/>
      <c r="BNW220" s="18"/>
      <c r="BNX220" s="18"/>
      <c r="BNY220" s="18"/>
      <c r="BNZ220" s="18"/>
      <c r="BOA220" s="18"/>
      <c r="BOB220" s="18"/>
      <c r="BOC220" s="18"/>
      <c r="BOD220" s="18"/>
      <c r="BOE220" s="18"/>
      <c r="BOF220" s="18"/>
      <c r="BOG220" s="18"/>
      <c r="BOH220" s="18"/>
      <c r="BOI220" s="18"/>
      <c r="BOJ220" s="18"/>
      <c r="BOK220" s="18"/>
      <c r="BOL220" s="18"/>
      <c r="BOM220" s="18"/>
      <c r="BON220" s="18"/>
      <c r="BOO220" s="18"/>
      <c r="BOP220" s="18"/>
      <c r="BOQ220" s="18"/>
      <c r="BOR220" s="18"/>
      <c r="BOS220" s="18"/>
      <c r="BOT220" s="18"/>
      <c r="BOU220" s="18"/>
      <c r="BOV220" s="18"/>
      <c r="BOW220" s="18"/>
      <c r="BOX220" s="18"/>
      <c r="BOY220" s="18"/>
      <c r="BOZ220" s="18"/>
      <c r="BPA220" s="18"/>
      <c r="BPB220" s="18"/>
      <c r="BPC220" s="18"/>
      <c r="BPD220" s="18"/>
      <c r="BPE220" s="18"/>
      <c r="BPF220" s="18"/>
      <c r="BPG220" s="18"/>
      <c r="BPH220" s="18"/>
      <c r="BPI220" s="18"/>
      <c r="BPJ220" s="18"/>
      <c r="BPK220" s="18"/>
      <c r="BPL220" s="18"/>
      <c r="BPM220" s="18"/>
      <c r="BPN220" s="18"/>
      <c r="BPO220" s="18"/>
      <c r="BPP220" s="18"/>
      <c r="BPQ220" s="18"/>
      <c r="BPR220" s="18"/>
      <c r="BPS220" s="18"/>
      <c r="BPT220" s="18"/>
      <c r="BPU220" s="18"/>
      <c r="BPV220" s="18"/>
      <c r="BPW220" s="18"/>
      <c r="BPX220" s="18"/>
      <c r="BPY220" s="18"/>
      <c r="BPZ220" s="18"/>
      <c r="BQA220" s="18"/>
      <c r="BQB220" s="18"/>
      <c r="BQC220" s="18"/>
      <c r="BQD220" s="18"/>
      <c r="BQE220" s="18"/>
      <c r="BQF220" s="18"/>
      <c r="BQG220" s="18"/>
      <c r="BQH220" s="18"/>
      <c r="BQI220" s="18"/>
      <c r="BQJ220" s="18"/>
      <c r="BQK220" s="18"/>
      <c r="BQL220" s="18"/>
      <c r="BQM220" s="18"/>
      <c r="BQN220" s="18"/>
      <c r="BQO220" s="18"/>
      <c r="BQP220" s="18"/>
      <c r="BQQ220" s="18"/>
      <c r="BQR220" s="18"/>
      <c r="BQS220" s="18"/>
      <c r="BQT220" s="18"/>
      <c r="BQU220" s="18"/>
      <c r="BQV220" s="18"/>
      <c r="BQW220" s="18"/>
      <c r="BQX220" s="18"/>
      <c r="BQY220" s="18"/>
      <c r="BQZ220" s="18"/>
      <c r="BRA220" s="18"/>
      <c r="BRB220" s="18"/>
      <c r="BRC220" s="18"/>
      <c r="BRD220" s="18"/>
      <c r="BRE220" s="18"/>
      <c r="BRF220" s="18"/>
      <c r="BRG220" s="18"/>
      <c r="BRH220" s="18"/>
      <c r="BRI220" s="18"/>
      <c r="BRJ220" s="18"/>
      <c r="BRK220" s="18"/>
      <c r="BRL220" s="18"/>
      <c r="BRM220" s="18"/>
      <c r="BRN220" s="18"/>
      <c r="BRO220" s="18"/>
      <c r="BRP220" s="18"/>
      <c r="BRQ220" s="18"/>
      <c r="BRR220" s="18"/>
      <c r="BRS220" s="18"/>
      <c r="BRT220" s="18"/>
      <c r="BRU220" s="18"/>
      <c r="BRV220" s="18"/>
      <c r="BRW220" s="18"/>
      <c r="BRX220" s="18"/>
      <c r="BRY220" s="18"/>
      <c r="BRZ220" s="18"/>
      <c r="BSA220" s="18"/>
      <c r="BSB220" s="18"/>
      <c r="BSC220" s="18"/>
      <c r="BSD220" s="18"/>
      <c r="BSE220" s="18"/>
      <c r="BSF220" s="18"/>
      <c r="BSG220" s="18"/>
      <c r="BSH220" s="18"/>
      <c r="BSI220" s="18"/>
      <c r="BSJ220" s="18"/>
      <c r="BSK220" s="18"/>
      <c r="BSL220" s="18"/>
      <c r="BSM220" s="18"/>
      <c r="BSN220" s="18"/>
      <c r="BSO220" s="18"/>
      <c r="BSP220" s="18"/>
      <c r="BSQ220" s="18"/>
      <c r="BSR220" s="18"/>
      <c r="BSS220" s="18"/>
      <c r="BST220" s="18"/>
      <c r="BSU220" s="18"/>
      <c r="BSV220" s="18"/>
      <c r="BSW220" s="18"/>
      <c r="BSX220" s="18"/>
      <c r="BSY220" s="18"/>
      <c r="BSZ220" s="18"/>
      <c r="BTA220" s="18"/>
      <c r="BTB220" s="18"/>
      <c r="BTC220" s="18"/>
      <c r="BTD220" s="18"/>
      <c r="BTE220" s="18"/>
      <c r="BTF220" s="18"/>
      <c r="BTG220" s="18"/>
      <c r="BTH220" s="18"/>
    </row>
    <row r="221" spans="1:1880" s="396" customFormat="1" ht="81.75" customHeight="1" x14ac:dyDescent="0.3">
      <c r="A221" s="98">
        <v>598</v>
      </c>
      <c r="B221" s="345" t="s">
        <v>58</v>
      </c>
      <c r="C221" s="345" t="s">
        <v>263</v>
      </c>
      <c r="D221" s="355" t="s">
        <v>315</v>
      </c>
      <c r="E221" s="343" t="e">
        <f>INDEX('PY1 Data(H)'!$A$1:$CZ$260,MATCH('Unit Data from Audit Worksheet'!$A221,'PY1 Data(H)'!$A$1:$A$260,0),MATCH('Unit Data from Audit Worksheet'!$D$2,'PY1 Data(H)'!$A$1:$CZ$1,0))</f>
        <v>#N/A</v>
      </c>
      <c r="F221" s="182">
        <v>0</v>
      </c>
      <c r="G221" s="375">
        <f>IF(F221&lt;0,"Error: Enter as positive.",)</f>
        <v>0</v>
      </c>
      <c r="H221" s="874"/>
      <c r="I221" s="859"/>
      <c r="J221" s="173"/>
      <c r="K221" s="551"/>
      <c r="L221"/>
      <c r="M221" s="18"/>
      <c r="N221" s="183"/>
      <c r="O221" s="18"/>
      <c r="P221" s="18"/>
      <c r="Q221" s="18"/>
      <c r="R221" s="18"/>
      <c r="S221" s="18"/>
      <c r="T221" s="18"/>
      <c r="U221" s="18"/>
      <c r="V221" s="18"/>
      <c r="W221" s="18"/>
      <c r="X221" s="18"/>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c r="GQ221" s="18"/>
      <c r="GR221" s="18"/>
      <c r="GS221" s="18"/>
      <c r="GT221" s="18"/>
      <c r="GU221" s="18"/>
      <c r="GV221" s="18"/>
      <c r="GW221" s="18"/>
      <c r="GX221" s="18"/>
      <c r="GY221" s="18"/>
      <c r="GZ221" s="18"/>
      <c r="HA221" s="18"/>
      <c r="HB221" s="18"/>
      <c r="HC221" s="18"/>
      <c r="HD221" s="18"/>
      <c r="HE221" s="18"/>
      <c r="HF221" s="18"/>
      <c r="HG221" s="18"/>
      <c r="HH221" s="18"/>
      <c r="HI221" s="18"/>
      <c r="HJ221" s="18"/>
      <c r="HK221" s="18"/>
      <c r="HL221" s="18"/>
      <c r="HM221" s="18"/>
      <c r="HN221" s="18"/>
      <c r="HO221" s="18"/>
      <c r="HP221" s="18"/>
      <c r="HQ221" s="18"/>
      <c r="HR221" s="18"/>
      <c r="HS221" s="18"/>
      <c r="HT221" s="18"/>
      <c r="HU221" s="18"/>
      <c r="HV221" s="18"/>
      <c r="HW221" s="18"/>
      <c r="HX221" s="18"/>
      <c r="HY221" s="18"/>
      <c r="HZ221" s="18"/>
      <c r="IA221" s="18"/>
      <c r="IB221" s="18"/>
      <c r="IC221" s="18"/>
      <c r="ID221" s="18"/>
      <c r="IE221" s="18"/>
      <c r="IF221" s="18"/>
      <c r="IG221" s="18"/>
      <c r="IH221" s="18"/>
      <c r="II221" s="18"/>
      <c r="IJ221" s="18"/>
      <c r="IK221" s="18"/>
      <c r="IL221" s="18"/>
      <c r="IM221" s="18"/>
      <c r="IN221" s="18"/>
      <c r="IO221" s="18"/>
      <c r="IP221" s="18"/>
      <c r="IQ221" s="18"/>
      <c r="IR221" s="18"/>
      <c r="IS221" s="18"/>
      <c r="IT221" s="18"/>
      <c r="IU221" s="18"/>
      <c r="IV221" s="18"/>
      <c r="IW221" s="18"/>
      <c r="IX221" s="18"/>
      <c r="IY221" s="18"/>
      <c r="IZ221" s="18"/>
      <c r="JA221" s="18"/>
      <c r="JB221" s="18"/>
      <c r="JC221" s="18"/>
      <c r="JD221" s="18"/>
      <c r="JE221" s="18"/>
      <c r="JF221" s="18"/>
      <c r="JG221" s="18"/>
      <c r="JH221" s="18"/>
      <c r="JI221" s="18"/>
      <c r="JJ221" s="18"/>
      <c r="JK221" s="18"/>
      <c r="JL221" s="18"/>
      <c r="JM221" s="18"/>
      <c r="JN221" s="18"/>
      <c r="JO221" s="18"/>
      <c r="JP221" s="18"/>
      <c r="JQ221" s="18"/>
      <c r="JR221" s="18"/>
      <c r="JS221" s="18"/>
      <c r="JT221" s="18"/>
      <c r="JU221" s="18"/>
      <c r="JV221" s="18"/>
      <c r="JW221" s="18"/>
      <c r="JX221" s="18"/>
      <c r="JY221" s="18"/>
      <c r="JZ221" s="18"/>
      <c r="KA221" s="18"/>
      <c r="KB221" s="18"/>
      <c r="KC221" s="18"/>
      <c r="KD221" s="18"/>
      <c r="KE221" s="18"/>
      <c r="KF221" s="18"/>
      <c r="KG221" s="18"/>
      <c r="KH221" s="18"/>
      <c r="KI221" s="18"/>
      <c r="KJ221" s="18"/>
      <c r="KK221" s="18"/>
      <c r="KL221" s="18"/>
      <c r="KM221" s="18"/>
      <c r="KN221" s="18"/>
      <c r="KO221" s="18"/>
      <c r="KP221" s="18"/>
      <c r="KQ221" s="18"/>
      <c r="KR221" s="18"/>
      <c r="KS221" s="18"/>
      <c r="KT221" s="18"/>
      <c r="KU221" s="18"/>
      <c r="KV221" s="18"/>
      <c r="KW221" s="18"/>
      <c r="KX221" s="18"/>
      <c r="KY221" s="18"/>
      <c r="KZ221" s="18"/>
      <c r="LA221" s="18"/>
      <c r="LB221" s="18"/>
      <c r="LC221" s="18"/>
      <c r="LD221" s="18"/>
      <c r="LE221" s="18"/>
      <c r="LF221" s="18"/>
      <c r="LG221" s="18"/>
      <c r="LH221" s="18"/>
      <c r="LI221" s="18"/>
      <c r="LJ221" s="18"/>
      <c r="LK221" s="18"/>
      <c r="LL221" s="18"/>
      <c r="LM221" s="18"/>
      <c r="LN221" s="18"/>
      <c r="LO221" s="18"/>
      <c r="LP221" s="18"/>
      <c r="LQ221" s="18"/>
      <c r="LR221" s="18"/>
      <c r="LS221" s="18"/>
      <c r="LT221" s="18"/>
      <c r="LU221" s="18"/>
      <c r="LV221" s="18"/>
      <c r="LW221" s="18"/>
      <c r="LX221" s="18"/>
      <c r="LY221" s="18"/>
      <c r="LZ221" s="18"/>
      <c r="MA221" s="18"/>
      <c r="MB221" s="18"/>
      <c r="MC221" s="18"/>
      <c r="MD221" s="18"/>
      <c r="ME221" s="18"/>
      <c r="MF221" s="18"/>
      <c r="MG221" s="18"/>
      <c r="MH221" s="18"/>
      <c r="MI221" s="18"/>
      <c r="MJ221" s="18"/>
      <c r="MK221" s="18"/>
      <c r="ML221" s="18"/>
      <c r="MM221" s="18"/>
      <c r="MN221" s="18"/>
      <c r="MO221" s="18"/>
      <c r="MP221" s="18"/>
      <c r="MQ221" s="18"/>
      <c r="MR221" s="18"/>
      <c r="MS221" s="18"/>
      <c r="MT221" s="18"/>
      <c r="MU221" s="18"/>
      <c r="MV221" s="18"/>
      <c r="MW221" s="18"/>
      <c r="MX221" s="18"/>
      <c r="MY221" s="18"/>
      <c r="MZ221" s="18"/>
      <c r="NA221" s="18"/>
      <c r="NB221" s="18"/>
      <c r="NC221" s="18"/>
      <c r="ND221" s="18"/>
      <c r="NE221" s="18"/>
      <c r="NF221" s="18"/>
      <c r="NG221" s="18"/>
      <c r="NH221" s="18"/>
      <c r="NI221" s="18"/>
      <c r="NJ221" s="18"/>
      <c r="NK221" s="18"/>
      <c r="NL221" s="18"/>
      <c r="NM221" s="18"/>
      <c r="NN221" s="18"/>
      <c r="NO221" s="18"/>
      <c r="NP221" s="18"/>
      <c r="NQ221" s="18"/>
      <c r="NR221" s="18"/>
      <c r="NS221" s="18"/>
      <c r="NT221" s="18"/>
      <c r="NU221" s="18"/>
      <c r="NV221" s="18"/>
      <c r="NW221" s="18"/>
      <c r="NX221" s="18"/>
      <c r="NY221" s="18"/>
      <c r="NZ221" s="18"/>
      <c r="OA221" s="18"/>
      <c r="OB221" s="18"/>
      <c r="OC221" s="18"/>
      <c r="OD221" s="18"/>
      <c r="OE221" s="18"/>
      <c r="OF221" s="18"/>
      <c r="OG221" s="18"/>
      <c r="OH221" s="18"/>
      <c r="OI221" s="18"/>
      <c r="OJ221" s="18"/>
      <c r="OK221" s="18"/>
      <c r="OL221" s="18"/>
      <c r="OM221" s="18"/>
      <c r="ON221" s="18"/>
      <c r="OO221" s="18"/>
      <c r="OP221" s="18"/>
      <c r="OQ221" s="18"/>
      <c r="OR221" s="18"/>
      <c r="OS221" s="18"/>
      <c r="OT221" s="18"/>
      <c r="OU221" s="18"/>
      <c r="OV221" s="18"/>
      <c r="OW221" s="18"/>
      <c r="OX221" s="18"/>
      <c r="OY221" s="18"/>
      <c r="OZ221" s="18"/>
      <c r="PA221" s="18"/>
      <c r="PB221" s="18"/>
      <c r="PC221" s="18"/>
      <c r="PD221" s="18"/>
      <c r="PE221" s="18"/>
      <c r="PF221" s="18"/>
      <c r="PG221" s="18"/>
      <c r="PH221" s="18"/>
      <c r="PI221" s="18"/>
      <c r="PJ221" s="18"/>
      <c r="PK221" s="18"/>
      <c r="PL221" s="18"/>
      <c r="PM221" s="18"/>
      <c r="PN221" s="18"/>
      <c r="PO221" s="18"/>
      <c r="PP221" s="18"/>
      <c r="PQ221" s="18"/>
      <c r="PR221" s="18"/>
      <c r="PS221" s="18"/>
      <c r="PT221" s="18"/>
      <c r="PU221" s="18"/>
      <c r="PV221" s="18"/>
      <c r="PW221" s="18"/>
      <c r="PX221" s="18"/>
      <c r="PY221" s="18"/>
      <c r="PZ221" s="18"/>
      <c r="QA221" s="18"/>
      <c r="QB221" s="18"/>
      <c r="QC221" s="18"/>
      <c r="QD221" s="18"/>
      <c r="QE221" s="18"/>
      <c r="QF221" s="18"/>
      <c r="QG221" s="18"/>
      <c r="QH221" s="18"/>
      <c r="QI221" s="18"/>
      <c r="QJ221" s="18"/>
      <c r="QK221" s="18"/>
      <c r="QL221" s="18"/>
      <c r="QM221" s="18"/>
      <c r="QN221" s="18"/>
      <c r="QO221" s="18"/>
      <c r="QP221" s="18"/>
      <c r="QQ221" s="18"/>
      <c r="QR221" s="18"/>
      <c r="QS221" s="18"/>
      <c r="QT221" s="18"/>
      <c r="QU221" s="18"/>
      <c r="QV221" s="18"/>
      <c r="QW221" s="18"/>
      <c r="QX221" s="18"/>
      <c r="QY221" s="18"/>
      <c r="QZ221" s="18"/>
      <c r="RA221" s="18"/>
      <c r="RB221" s="18"/>
      <c r="RC221" s="18"/>
      <c r="RD221" s="18"/>
      <c r="RE221" s="18"/>
      <c r="RF221" s="18"/>
      <c r="RG221" s="18"/>
      <c r="RH221" s="18"/>
      <c r="RI221" s="18"/>
      <c r="RJ221" s="18"/>
      <c r="RK221" s="18"/>
      <c r="RL221" s="18"/>
      <c r="RM221" s="18"/>
      <c r="RN221" s="18"/>
      <c r="RO221" s="18"/>
      <c r="RP221" s="18"/>
      <c r="RQ221" s="18"/>
      <c r="RR221" s="18"/>
      <c r="RS221" s="18"/>
      <c r="RT221" s="18"/>
      <c r="RU221" s="18"/>
      <c r="RV221" s="18"/>
      <c r="RW221" s="18"/>
      <c r="RX221" s="18"/>
      <c r="RY221" s="18"/>
      <c r="RZ221" s="18"/>
      <c r="SA221" s="18"/>
      <c r="SB221" s="18"/>
      <c r="SC221" s="18"/>
      <c r="SD221" s="18"/>
      <c r="SE221" s="18"/>
      <c r="SF221" s="18"/>
      <c r="SG221" s="18"/>
      <c r="SH221" s="18"/>
      <c r="SI221" s="18"/>
      <c r="SJ221" s="18"/>
      <c r="SK221" s="18"/>
      <c r="SL221" s="18"/>
      <c r="SM221" s="18"/>
      <c r="SN221" s="18"/>
      <c r="SO221" s="18"/>
      <c r="SP221" s="18"/>
      <c r="SQ221" s="18"/>
      <c r="SR221" s="18"/>
      <c r="SS221" s="18"/>
      <c r="ST221" s="18"/>
      <c r="SU221" s="18"/>
      <c r="SV221" s="18"/>
      <c r="SW221" s="18"/>
      <c r="SX221" s="18"/>
      <c r="SY221" s="18"/>
      <c r="SZ221" s="18"/>
      <c r="TA221" s="18"/>
      <c r="TB221" s="18"/>
      <c r="TC221" s="18"/>
      <c r="TD221" s="18"/>
      <c r="TE221" s="18"/>
      <c r="TF221" s="18"/>
      <c r="TG221" s="18"/>
      <c r="TH221" s="18"/>
      <c r="TI221" s="18"/>
      <c r="TJ221" s="18"/>
      <c r="TK221" s="18"/>
      <c r="TL221" s="18"/>
      <c r="TM221" s="18"/>
      <c r="TN221" s="18"/>
      <c r="TO221" s="18"/>
      <c r="TP221" s="18"/>
      <c r="TQ221" s="18"/>
      <c r="TR221" s="18"/>
      <c r="TS221" s="18"/>
      <c r="TT221" s="18"/>
      <c r="TU221" s="18"/>
      <c r="TV221" s="18"/>
      <c r="TW221" s="18"/>
      <c r="TX221" s="18"/>
      <c r="TY221" s="18"/>
      <c r="TZ221" s="18"/>
      <c r="UA221" s="18"/>
      <c r="UB221" s="18"/>
      <c r="UC221" s="18"/>
      <c r="UD221" s="18"/>
      <c r="UE221" s="18"/>
      <c r="UF221" s="18"/>
      <c r="UG221" s="18"/>
      <c r="UH221" s="18"/>
      <c r="UI221" s="18"/>
      <c r="UJ221" s="18"/>
      <c r="UK221" s="18"/>
      <c r="UL221" s="18"/>
      <c r="UM221" s="18"/>
      <c r="UN221" s="18"/>
      <c r="UO221" s="18"/>
      <c r="UP221" s="18"/>
      <c r="UQ221" s="18"/>
      <c r="UR221" s="18"/>
      <c r="US221" s="18"/>
      <c r="UT221" s="18"/>
      <c r="UU221" s="18"/>
      <c r="UV221" s="18"/>
      <c r="UW221" s="18"/>
      <c r="UX221" s="18"/>
      <c r="UY221" s="18"/>
      <c r="UZ221" s="18"/>
      <c r="VA221" s="18"/>
      <c r="VB221" s="18"/>
      <c r="VC221" s="18"/>
      <c r="VD221" s="18"/>
      <c r="VE221" s="18"/>
      <c r="VF221" s="18"/>
      <c r="VG221" s="18"/>
      <c r="VH221" s="18"/>
      <c r="VI221" s="18"/>
      <c r="VJ221" s="18"/>
      <c r="VK221" s="18"/>
      <c r="VL221" s="18"/>
      <c r="VM221" s="18"/>
      <c r="VN221" s="18"/>
      <c r="VO221" s="18"/>
      <c r="VP221" s="18"/>
      <c r="VQ221" s="18"/>
      <c r="VR221" s="18"/>
      <c r="VS221" s="18"/>
      <c r="VT221" s="18"/>
      <c r="VU221" s="18"/>
      <c r="VV221" s="18"/>
      <c r="VW221" s="18"/>
      <c r="VX221" s="18"/>
      <c r="VY221" s="18"/>
      <c r="VZ221" s="18"/>
      <c r="WA221" s="18"/>
      <c r="WB221" s="18"/>
      <c r="WC221" s="18"/>
      <c r="WD221" s="18"/>
      <c r="WE221" s="18"/>
      <c r="WF221" s="18"/>
      <c r="WG221" s="18"/>
      <c r="WH221" s="18"/>
      <c r="WI221" s="18"/>
      <c r="WJ221" s="18"/>
      <c r="WK221" s="18"/>
      <c r="WL221" s="18"/>
      <c r="WM221" s="18"/>
      <c r="WN221" s="18"/>
      <c r="WO221" s="18"/>
      <c r="WP221" s="18"/>
      <c r="WQ221" s="18"/>
      <c r="WR221" s="18"/>
      <c r="WS221" s="18"/>
      <c r="WT221" s="18"/>
      <c r="WU221" s="18"/>
      <c r="WV221" s="18"/>
      <c r="WW221" s="18"/>
      <c r="WX221" s="18"/>
      <c r="WY221" s="18"/>
      <c r="WZ221" s="18"/>
      <c r="XA221" s="18"/>
      <c r="XB221" s="18"/>
      <c r="XC221" s="18"/>
      <c r="XD221" s="18"/>
      <c r="XE221" s="18"/>
      <c r="XF221" s="18"/>
      <c r="XG221" s="18"/>
      <c r="XH221" s="18"/>
      <c r="XI221" s="18"/>
      <c r="XJ221" s="18"/>
      <c r="XK221" s="18"/>
      <c r="XL221" s="18"/>
      <c r="XM221" s="18"/>
      <c r="XN221" s="18"/>
      <c r="XO221" s="18"/>
      <c r="XP221" s="18"/>
      <c r="XQ221" s="18"/>
      <c r="XR221" s="18"/>
      <c r="XS221" s="18"/>
      <c r="XT221" s="18"/>
      <c r="XU221" s="18"/>
      <c r="XV221" s="18"/>
      <c r="XW221" s="18"/>
      <c r="XX221" s="18"/>
      <c r="XY221" s="18"/>
      <c r="XZ221" s="18"/>
      <c r="YA221" s="18"/>
      <c r="YB221" s="18"/>
      <c r="YC221" s="18"/>
      <c r="YD221" s="18"/>
      <c r="YE221" s="18"/>
      <c r="YF221" s="18"/>
      <c r="YG221" s="18"/>
      <c r="YH221" s="18"/>
      <c r="YI221" s="18"/>
      <c r="YJ221" s="18"/>
      <c r="YK221" s="18"/>
      <c r="YL221" s="18"/>
      <c r="YM221" s="18"/>
      <c r="YN221" s="18"/>
      <c r="YO221" s="18"/>
      <c r="YP221" s="18"/>
      <c r="YQ221" s="18"/>
      <c r="YR221" s="18"/>
      <c r="YS221" s="18"/>
      <c r="YT221" s="18"/>
      <c r="YU221" s="18"/>
      <c r="YV221" s="18"/>
      <c r="YW221" s="18"/>
      <c r="YX221" s="18"/>
      <c r="YY221" s="18"/>
      <c r="YZ221" s="18"/>
      <c r="ZA221" s="18"/>
      <c r="ZB221" s="18"/>
      <c r="ZC221" s="18"/>
      <c r="ZD221" s="18"/>
      <c r="ZE221" s="18"/>
      <c r="ZF221" s="18"/>
      <c r="ZG221" s="18"/>
      <c r="ZH221" s="18"/>
      <c r="ZI221" s="18"/>
      <c r="ZJ221" s="18"/>
      <c r="ZK221" s="18"/>
      <c r="ZL221" s="18"/>
      <c r="ZM221" s="18"/>
      <c r="ZN221" s="18"/>
      <c r="ZO221" s="18"/>
      <c r="ZP221" s="18"/>
      <c r="ZQ221" s="18"/>
      <c r="ZR221" s="18"/>
      <c r="ZS221" s="18"/>
      <c r="ZT221" s="18"/>
      <c r="ZU221" s="18"/>
      <c r="ZV221" s="18"/>
      <c r="ZW221" s="18"/>
      <c r="ZX221" s="18"/>
      <c r="ZY221" s="18"/>
      <c r="ZZ221" s="18"/>
      <c r="AAA221" s="18"/>
      <c r="AAB221" s="18"/>
      <c r="AAC221" s="18"/>
      <c r="AAD221" s="18"/>
      <c r="AAE221" s="18"/>
      <c r="AAF221" s="18"/>
      <c r="AAG221" s="18"/>
      <c r="AAH221" s="18"/>
      <c r="AAI221" s="18"/>
      <c r="AAJ221" s="18"/>
      <c r="AAK221" s="18"/>
      <c r="AAL221" s="18"/>
      <c r="AAM221" s="18"/>
      <c r="AAN221" s="18"/>
      <c r="AAO221" s="18"/>
      <c r="AAP221" s="18"/>
      <c r="AAQ221" s="18"/>
      <c r="AAR221" s="18"/>
      <c r="AAS221" s="18"/>
      <c r="AAT221" s="18"/>
      <c r="AAU221" s="18"/>
      <c r="AAV221" s="18"/>
      <c r="AAW221" s="18"/>
      <c r="AAX221" s="18"/>
      <c r="AAY221" s="18"/>
      <c r="AAZ221" s="18"/>
      <c r="ABA221" s="18"/>
      <c r="ABB221" s="18"/>
      <c r="ABC221" s="18"/>
      <c r="ABD221" s="18"/>
      <c r="ABE221" s="18"/>
      <c r="ABF221" s="18"/>
      <c r="ABG221" s="18"/>
      <c r="ABH221" s="18"/>
      <c r="ABI221" s="18"/>
      <c r="ABJ221" s="18"/>
      <c r="ABK221" s="18"/>
      <c r="ABL221" s="18"/>
      <c r="ABM221" s="18"/>
      <c r="ABN221" s="18"/>
      <c r="ABO221" s="18"/>
      <c r="ABP221" s="18"/>
      <c r="ABQ221" s="18"/>
      <c r="ABR221" s="18"/>
      <c r="ABS221" s="18"/>
      <c r="ABT221" s="18"/>
      <c r="ABU221" s="18"/>
      <c r="ABV221" s="18"/>
      <c r="ABW221" s="18"/>
      <c r="ABX221" s="18"/>
      <c r="ABY221" s="18"/>
      <c r="ABZ221" s="18"/>
      <c r="ACA221" s="18"/>
      <c r="ACB221" s="18"/>
      <c r="ACC221" s="18"/>
      <c r="ACD221" s="18"/>
      <c r="ACE221" s="18"/>
      <c r="ACF221" s="18"/>
      <c r="ACG221" s="18"/>
      <c r="ACH221" s="18"/>
      <c r="ACI221" s="18"/>
      <c r="ACJ221" s="18"/>
      <c r="ACK221" s="18"/>
      <c r="ACL221" s="18"/>
      <c r="ACM221" s="18"/>
      <c r="ACN221" s="18"/>
      <c r="ACO221" s="18"/>
      <c r="ACP221" s="18"/>
      <c r="ACQ221" s="18"/>
      <c r="ACR221" s="18"/>
      <c r="ACS221" s="18"/>
      <c r="ACT221" s="18"/>
      <c r="ACU221" s="18"/>
      <c r="ACV221" s="18"/>
      <c r="ACW221" s="18"/>
      <c r="ACX221" s="18"/>
      <c r="ACY221" s="18"/>
      <c r="ACZ221" s="18"/>
      <c r="ADA221" s="18"/>
      <c r="ADB221" s="18"/>
      <c r="ADC221" s="18"/>
      <c r="ADD221" s="18"/>
      <c r="ADE221" s="18"/>
      <c r="ADF221" s="18"/>
      <c r="ADG221" s="18"/>
      <c r="ADH221" s="18"/>
      <c r="ADI221" s="18"/>
      <c r="ADJ221" s="18"/>
      <c r="ADK221" s="18"/>
      <c r="ADL221" s="18"/>
      <c r="ADM221" s="18"/>
      <c r="ADN221" s="18"/>
      <c r="ADO221" s="18"/>
      <c r="ADP221" s="18"/>
      <c r="ADQ221" s="18"/>
      <c r="ADR221" s="18"/>
      <c r="ADS221" s="18"/>
      <c r="ADT221" s="18"/>
      <c r="ADU221" s="18"/>
      <c r="ADV221" s="18"/>
      <c r="ADW221" s="18"/>
      <c r="ADX221" s="18"/>
      <c r="ADY221" s="18"/>
      <c r="ADZ221" s="18"/>
      <c r="AEA221" s="18"/>
      <c r="AEB221" s="18"/>
      <c r="AEC221" s="18"/>
      <c r="AED221" s="18"/>
      <c r="AEE221" s="18"/>
      <c r="AEF221" s="18"/>
      <c r="AEG221" s="18"/>
      <c r="AEH221" s="18"/>
      <c r="AEI221" s="18"/>
      <c r="AEJ221" s="18"/>
      <c r="AEK221" s="18"/>
      <c r="AEL221" s="18"/>
      <c r="AEM221" s="18"/>
      <c r="AEN221" s="18"/>
      <c r="AEO221" s="18"/>
      <c r="AEP221" s="18"/>
      <c r="AEQ221" s="18"/>
      <c r="AER221" s="18"/>
      <c r="AES221" s="18"/>
      <c r="AET221" s="18"/>
      <c r="AEU221" s="18"/>
      <c r="AEV221" s="18"/>
      <c r="AEW221" s="18"/>
      <c r="AEX221" s="18"/>
      <c r="AEY221" s="18"/>
      <c r="AEZ221" s="18"/>
      <c r="AFA221" s="18"/>
      <c r="AFB221" s="18"/>
      <c r="AFC221" s="18"/>
      <c r="AFD221" s="18"/>
      <c r="AFE221" s="18"/>
      <c r="AFF221" s="18"/>
      <c r="AFG221" s="18"/>
      <c r="AFH221" s="18"/>
      <c r="AFI221" s="18"/>
      <c r="AFJ221" s="18"/>
      <c r="AFK221" s="18"/>
      <c r="AFL221" s="18"/>
      <c r="AFM221" s="18"/>
      <c r="AFN221" s="18"/>
      <c r="AFO221" s="18"/>
      <c r="AFP221" s="18"/>
      <c r="AFQ221" s="18"/>
      <c r="AFR221" s="18"/>
      <c r="AFS221" s="18"/>
      <c r="AFT221" s="18"/>
      <c r="AFU221" s="18"/>
      <c r="AFV221" s="18"/>
      <c r="AFW221" s="18"/>
      <c r="AFX221" s="18"/>
      <c r="AFY221" s="18"/>
      <c r="AFZ221" s="18"/>
      <c r="AGA221" s="18"/>
      <c r="AGB221" s="18"/>
      <c r="AGC221" s="18"/>
      <c r="AGD221" s="18"/>
      <c r="AGE221" s="18"/>
      <c r="AGF221" s="18"/>
      <c r="AGG221" s="18"/>
      <c r="AGH221" s="18"/>
      <c r="AGI221" s="18"/>
      <c r="AGJ221" s="18"/>
      <c r="AGK221" s="18"/>
      <c r="AGL221" s="18"/>
      <c r="AGM221" s="18"/>
      <c r="AGN221" s="18"/>
      <c r="AGO221" s="18"/>
      <c r="AGP221" s="18"/>
      <c r="AGQ221" s="18"/>
      <c r="AGR221" s="18"/>
      <c r="AGS221" s="18"/>
      <c r="AGT221" s="18"/>
      <c r="AGU221" s="18"/>
      <c r="AGV221" s="18"/>
      <c r="AGW221" s="18"/>
      <c r="AGX221" s="18"/>
      <c r="AGY221" s="18"/>
      <c r="AGZ221" s="18"/>
      <c r="AHA221" s="18"/>
      <c r="AHB221" s="18"/>
      <c r="AHC221" s="18"/>
      <c r="AHD221" s="18"/>
      <c r="AHE221" s="18"/>
      <c r="AHF221" s="18"/>
      <c r="AHG221" s="18"/>
      <c r="AHH221" s="18"/>
      <c r="AHI221" s="18"/>
      <c r="AHJ221" s="18"/>
      <c r="AHK221" s="18"/>
      <c r="AHL221" s="18"/>
      <c r="AHM221" s="18"/>
      <c r="AHN221" s="18"/>
      <c r="AHO221" s="18"/>
      <c r="AHP221" s="18"/>
      <c r="AHQ221" s="18"/>
      <c r="AHR221" s="18"/>
      <c r="AHS221" s="18"/>
      <c r="AHT221" s="18"/>
      <c r="AHU221" s="18"/>
      <c r="AHV221" s="18"/>
      <c r="AHW221" s="18"/>
      <c r="AHX221" s="18"/>
      <c r="AHY221" s="18"/>
      <c r="AHZ221" s="18"/>
      <c r="AIA221" s="18"/>
      <c r="AIB221" s="18"/>
      <c r="AIC221" s="18"/>
      <c r="AID221" s="18"/>
      <c r="AIE221" s="18"/>
      <c r="AIF221" s="18"/>
      <c r="AIG221" s="18"/>
      <c r="AIH221" s="18"/>
      <c r="AII221" s="18"/>
      <c r="AIJ221" s="18"/>
      <c r="AIK221" s="18"/>
      <c r="AIL221" s="18"/>
      <c r="AIM221" s="18"/>
      <c r="AIN221" s="18"/>
      <c r="AIO221" s="18"/>
      <c r="AIP221" s="18"/>
      <c r="AIQ221" s="18"/>
      <c r="AIR221" s="18"/>
      <c r="AIS221" s="18"/>
      <c r="AIT221" s="18"/>
      <c r="AIU221" s="18"/>
      <c r="AIV221" s="18"/>
      <c r="AIW221" s="18"/>
      <c r="AIX221" s="18"/>
      <c r="AIY221" s="18"/>
      <c r="AIZ221" s="18"/>
      <c r="AJA221" s="18"/>
      <c r="AJB221" s="18"/>
      <c r="AJC221" s="18"/>
      <c r="AJD221" s="18"/>
      <c r="AJE221" s="18"/>
      <c r="AJF221" s="18"/>
      <c r="AJG221" s="18"/>
      <c r="AJH221" s="18"/>
      <c r="AJI221" s="18"/>
      <c r="AJJ221" s="18"/>
      <c r="AJK221" s="18"/>
      <c r="AJL221" s="18"/>
      <c r="AJM221" s="18"/>
      <c r="AJN221" s="18"/>
      <c r="AJO221" s="18"/>
      <c r="AJP221" s="18"/>
      <c r="AJQ221" s="18"/>
      <c r="AJR221" s="18"/>
      <c r="AJS221" s="18"/>
      <c r="AJT221" s="18"/>
      <c r="AJU221" s="18"/>
      <c r="AJV221" s="18"/>
      <c r="AJW221" s="18"/>
      <c r="AJX221" s="18"/>
      <c r="AJY221" s="18"/>
      <c r="AJZ221" s="18"/>
      <c r="AKA221" s="18"/>
      <c r="AKB221" s="18"/>
      <c r="AKC221" s="18"/>
      <c r="AKD221" s="18"/>
      <c r="AKE221" s="18"/>
      <c r="AKF221" s="18"/>
      <c r="AKG221" s="18"/>
      <c r="AKH221" s="18"/>
      <c r="AKI221" s="18"/>
      <c r="AKJ221" s="18"/>
      <c r="AKK221" s="18"/>
      <c r="AKL221" s="18"/>
      <c r="AKM221" s="18"/>
      <c r="AKN221" s="18"/>
      <c r="AKO221" s="18"/>
      <c r="AKP221" s="18"/>
      <c r="AKQ221" s="18"/>
      <c r="AKR221" s="18"/>
      <c r="AKS221" s="18"/>
      <c r="AKT221" s="18"/>
      <c r="AKU221" s="18"/>
      <c r="AKV221" s="18"/>
      <c r="AKW221" s="18"/>
      <c r="AKX221" s="18"/>
      <c r="AKY221" s="18"/>
      <c r="AKZ221" s="18"/>
      <c r="ALA221" s="18"/>
      <c r="ALB221" s="18"/>
      <c r="ALC221" s="18"/>
      <c r="ALD221" s="18"/>
      <c r="ALE221" s="18"/>
      <c r="ALF221" s="18"/>
      <c r="ALG221" s="18"/>
      <c r="ALH221" s="18"/>
      <c r="ALI221" s="18"/>
      <c r="ALJ221" s="18"/>
      <c r="ALK221" s="18"/>
      <c r="ALL221" s="18"/>
      <c r="ALM221" s="18"/>
      <c r="ALN221" s="18"/>
      <c r="ALO221" s="18"/>
      <c r="ALP221" s="18"/>
      <c r="ALQ221" s="18"/>
      <c r="ALR221" s="18"/>
      <c r="ALS221" s="18"/>
      <c r="ALT221" s="18"/>
      <c r="ALU221" s="18"/>
      <c r="ALV221" s="18"/>
      <c r="ALW221" s="18"/>
      <c r="ALX221" s="18"/>
      <c r="ALY221" s="18"/>
      <c r="ALZ221" s="18"/>
      <c r="AMA221" s="18"/>
      <c r="AMB221" s="18"/>
      <c r="AMC221" s="18"/>
      <c r="AMD221" s="18"/>
      <c r="AME221" s="18"/>
      <c r="AMF221" s="18"/>
      <c r="AMG221" s="18"/>
      <c r="AMH221" s="18"/>
      <c r="AMI221" s="18"/>
      <c r="AMJ221" s="18"/>
      <c r="AMK221" s="18"/>
      <c r="AML221" s="18"/>
      <c r="AMM221" s="18"/>
      <c r="AMN221" s="18"/>
      <c r="AMO221" s="18"/>
      <c r="AMP221" s="18"/>
      <c r="AMQ221" s="18"/>
      <c r="AMR221" s="18"/>
      <c r="AMS221" s="18"/>
      <c r="AMT221" s="18"/>
      <c r="AMU221" s="18"/>
      <c r="AMV221" s="18"/>
      <c r="AMW221" s="18"/>
      <c r="AMX221" s="18"/>
      <c r="AMY221" s="18"/>
      <c r="AMZ221" s="18"/>
      <c r="ANA221" s="18"/>
      <c r="ANB221" s="18"/>
      <c r="ANC221" s="18"/>
      <c r="AND221" s="18"/>
      <c r="ANE221" s="18"/>
      <c r="ANF221" s="18"/>
      <c r="ANG221" s="18"/>
      <c r="ANH221" s="18"/>
      <c r="ANI221" s="18"/>
      <c r="ANJ221" s="18"/>
      <c r="ANK221" s="18"/>
      <c r="ANL221" s="18"/>
      <c r="ANM221" s="18"/>
      <c r="ANN221" s="18"/>
      <c r="ANO221" s="18"/>
      <c r="ANP221" s="18"/>
      <c r="ANQ221" s="18"/>
      <c r="ANR221" s="18"/>
      <c r="ANS221" s="18"/>
      <c r="ANT221" s="18"/>
      <c r="ANU221" s="18"/>
      <c r="ANV221" s="18"/>
      <c r="ANW221" s="18"/>
      <c r="ANX221" s="18"/>
      <c r="ANY221" s="18"/>
      <c r="ANZ221" s="18"/>
      <c r="AOA221" s="18"/>
      <c r="AOB221" s="18"/>
      <c r="AOC221" s="18"/>
      <c r="AOD221" s="18"/>
      <c r="AOE221" s="18"/>
      <c r="AOF221" s="18"/>
      <c r="AOG221" s="18"/>
      <c r="AOH221" s="18"/>
      <c r="AOI221" s="18"/>
      <c r="AOJ221" s="18"/>
      <c r="AOK221" s="18"/>
      <c r="AOL221" s="18"/>
      <c r="AOM221" s="18"/>
      <c r="AON221" s="18"/>
      <c r="AOO221" s="18"/>
      <c r="AOP221" s="18"/>
      <c r="AOQ221" s="18"/>
      <c r="AOR221" s="18"/>
      <c r="AOS221" s="18"/>
      <c r="AOT221" s="18"/>
      <c r="AOU221" s="18"/>
      <c r="AOV221" s="18"/>
      <c r="AOW221" s="18"/>
      <c r="AOX221" s="18"/>
      <c r="AOY221" s="18"/>
      <c r="AOZ221" s="18"/>
      <c r="APA221" s="18"/>
      <c r="APB221" s="18"/>
      <c r="APC221" s="18"/>
      <c r="APD221" s="18"/>
      <c r="APE221" s="18"/>
      <c r="APF221" s="18"/>
      <c r="APG221" s="18"/>
      <c r="APH221" s="18"/>
      <c r="API221" s="18"/>
      <c r="APJ221" s="18"/>
      <c r="APK221" s="18"/>
      <c r="APL221" s="18"/>
      <c r="APM221" s="18"/>
      <c r="APN221" s="18"/>
      <c r="APO221" s="18"/>
      <c r="APP221" s="18"/>
      <c r="APQ221" s="18"/>
      <c r="APR221" s="18"/>
      <c r="APS221" s="18"/>
      <c r="APT221" s="18"/>
      <c r="APU221" s="18"/>
      <c r="APV221" s="18"/>
      <c r="APW221" s="18"/>
      <c r="APX221" s="18"/>
      <c r="APY221" s="18"/>
      <c r="APZ221" s="18"/>
      <c r="AQA221" s="18"/>
      <c r="AQB221" s="18"/>
      <c r="AQC221" s="18"/>
      <c r="AQD221" s="18"/>
      <c r="AQE221" s="18"/>
      <c r="AQF221" s="18"/>
      <c r="AQG221" s="18"/>
      <c r="AQH221" s="18"/>
      <c r="AQI221" s="18"/>
      <c r="AQJ221" s="18"/>
      <c r="AQK221" s="18"/>
      <c r="AQL221" s="18"/>
      <c r="AQM221" s="18"/>
      <c r="AQN221" s="18"/>
      <c r="AQO221" s="18"/>
      <c r="AQP221" s="18"/>
      <c r="AQQ221" s="18"/>
      <c r="AQR221" s="18"/>
      <c r="AQS221" s="18"/>
      <c r="AQT221" s="18"/>
      <c r="AQU221" s="18"/>
      <c r="AQV221" s="18"/>
      <c r="AQW221" s="18"/>
      <c r="AQX221" s="18"/>
      <c r="AQY221" s="18"/>
      <c r="AQZ221" s="18"/>
      <c r="ARA221" s="18"/>
      <c r="ARB221" s="18"/>
      <c r="ARC221" s="18"/>
      <c r="ARD221" s="18"/>
      <c r="ARE221" s="18"/>
      <c r="ARF221" s="18"/>
      <c r="ARG221" s="18"/>
      <c r="ARH221" s="18"/>
      <c r="ARI221" s="18"/>
      <c r="ARJ221" s="18"/>
      <c r="ARK221" s="18"/>
      <c r="ARL221" s="18"/>
      <c r="ARM221" s="18"/>
      <c r="ARN221" s="18"/>
      <c r="ARO221" s="18"/>
      <c r="ARP221" s="18"/>
      <c r="ARQ221" s="18"/>
      <c r="ARR221" s="18"/>
      <c r="ARS221" s="18"/>
      <c r="ART221" s="18"/>
      <c r="ARU221" s="18"/>
      <c r="ARV221" s="18"/>
      <c r="ARW221" s="18"/>
      <c r="ARX221" s="18"/>
      <c r="ARY221" s="18"/>
      <c r="ARZ221" s="18"/>
      <c r="ASA221" s="18"/>
      <c r="ASB221" s="18"/>
      <c r="ASC221" s="18"/>
      <c r="ASD221" s="18"/>
      <c r="ASE221" s="18"/>
      <c r="ASF221" s="18"/>
      <c r="ASG221" s="18"/>
      <c r="ASH221" s="18"/>
      <c r="ASI221" s="18"/>
      <c r="ASJ221" s="18"/>
      <c r="ASK221" s="18"/>
      <c r="ASL221" s="18"/>
      <c r="ASM221" s="18"/>
      <c r="ASN221" s="18"/>
      <c r="ASO221" s="18"/>
      <c r="ASP221" s="18"/>
      <c r="ASQ221" s="18"/>
      <c r="ASR221" s="18"/>
      <c r="ASS221" s="18"/>
      <c r="AST221" s="18"/>
      <c r="ASU221" s="18"/>
      <c r="ASV221" s="18"/>
      <c r="ASW221" s="18"/>
      <c r="ASX221" s="18"/>
      <c r="ASY221" s="18"/>
      <c r="ASZ221" s="18"/>
      <c r="ATA221" s="18"/>
      <c r="ATB221" s="18"/>
      <c r="ATC221" s="18"/>
      <c r="ATD221" s="18"/>
      <c r="ATE221" s="18"/>
      <c r="ATF221" s="18"/>
      <c r="ATG221" s="18"/>
      <c r="ATH221" s="18"/>
      <c r="ATI221" s="18"/>
      <c r="ATJ221" s="18"/>
      <c r="ATK221" s="18"/>
      <c r="ATL221" s="18"/>
      <c r="ATM221" s="18"/>
      <c r="ATN221" s="18"/>
      <c r="ATO221" s="18"/>
      <c r="ATP221" s="18"/>
      <c r="ATQ221" s="18"/>
      <c r="ATR221" s="18"/>
      <c r="ATS221" s="18"/>
      <c r="ATT221" s="18"/>
      <c r="ATU221" s="18"/>
      <c r="ATV221" s="18"/>
      <c r="ATW221" s="18"/>
      <c r="ATX221" s="18"/>
      <c r="ATY221" s="18"/>
      <c r="ATZ221" s="18"/>
      <c r="AUA221" s="18"/>
      <c r="AUB221" s="18"/>
      <c r="AUC221" s="18"/>
      <c r="AUD221" s="18"/>
      <c r="AUE221" s="18"/>
      <c r="AUF221" s="18"/>
      <c r="AUG221" s="18"/>
      <c r="AUH221" s="18"/>
      <c r="AUI221" s="18"/>
      <c r="AUJ221" s="18"/>
      <c r="AUK221" s="18"/>
      <c r="AUL221" s="18"/>
      <c r="AUM221" s="18"/>
      <c r="AUN221" s="18"/>
      <c r="AUO221" s="18"/>
      <c r="AUP221" s="18"/>
      <c r="AUQ221" s="18"/>
      <c r="AUR221" s="18"/>
      <c r="AUS221" s="18"/>
      <c r="AUT221" s="18"/>
      <c r="AUU221" s="18"/>
      <c r="AUV221" s="18"/>
      <c r="AUW221" s="18"/>
      <c r="AUX221" s="18"/>
      <c r="AUY221" s="18"/>
      <c r="AUZ221" s="18"/>
      <c r="AVA221" s="18"/>
      <c r="AVB221" s="18"/>
      <c r="AVC221" s="18"/>
      <c r="AVD221" s="18"/>
      <c r="AVE221" s="18"/>
      <c r="AVF221" s="18"/>
      <c r="AVG221" s="18"/>
      <c r="AVH221" s="18"/>
      <c r="AVI221" s="18"/>
      <c r="AVJ221" s="18"/>
      <c r="AVK221" s="18"/>
      <c r="AVL221" s="18"/>
      <c r="AVM221" s="18"/>
      <c r="AVN221" s="18"/>
      <c r="AVO221" s="18"/>
      <c r="AVP221" s="18"/>
      <c r="AVQ221" s="18"/>
      <c r="AVR221" s="18"/>
      <c r="AVS221" s="18"/>
      <c r="AVT221" s="18"/>
      <c r="AVU221" s="18"/>
      <c r="AVV221" s="18"/>
      <c r="AVW221" s="18"/>
      <c r="AVX221" s="18"/>
      <c r="AVY221" s="18"/>
      <c r="AVZ221" s="18"/>
      <c r="AWA221" s="18"/>
      <c r="AWB221" s="18"/>
      <c r="AWC221" s="18"/>
      <c r="AWD221" s="18"/>
      <c r="AWE221" s="18"/>
      <c r="AWF221" s="18"/>
      <c r="AWG221" s="18"/>
      <c r="AWH221" s="18"/>
      <c r="AWI221" s="18"/>
      <c r="AWJ221" s="18"/>
      <c r="AWK221" s="18"/>
      <c r="AWL221" s="18"/>
      <c r="AWM221" s="18"/>
      <c r="AWN221" s="18"/>
      <c r="AWO221" s="18"/>
      <c r="AWP221" s="18"/>
      <c r="AWQ221" s="18"/>
      <c r="AWR221" s="18"/>
      <c r="AWS221" s="18"/>
      <c r="AWT221" s="18"/>
      <c r="AWU221" s="18"/>
      <c r="AWV221" s="18"/>
      <c r="AWW221" s="18"/>
      <c r="AWX221" s="18"/>
      <c r="AWY221" s="18"/>
      <c r="AWZ221" s="18"/>
      <c r="AXA221" s="18"/>
      <c r="AXB221" s="18"/>
      <c r="AXC221" s="18"/>
      <c r="AXD221" s="18"/>
      <c r="AXE221" s="18"/>
      <c r="AXF221" s="18"/>
      <c r="AXG221" s="18"/>
      <c r="AXH221" s="18"/>
      <c r="AXI221" s="18"/>
      <c r="AXJ221" s="18"/>
      <c r="AXK221" s="18"/>
      <c r="AXL221" s="18"/>
      <c r="AXM221" s="18"/>
      <c r="AXN221" s="18"/>
      <c r="AXO221" s="18"/>
      <c r="AXP221" s="18"/>
      <c r="AXQ221" s="18"/>
      <c r="AXR221" s="18"/>
      <c r="AXS221" s="18"/>
      <c r="AXT221" s="18"/>
      <c r="AXU221" s="18"/>
      <c r="AXV221" s="18"/>
      <c r="AXW221" s="18"/>
      <c r="AXX221" s="18"/>
      <c r="AXY221" s="18"/>
      <c r="AXZ221" s="18"/>
      <c r="AYA221" s="18"/>
      <c r="AYB221" s="18"/>
      <c r="AYC221" s="18"/>
      <c r="AYD221" s="18"/>
      <c r="AYE221" s="18"/>
      <c r="AYF221" s="18"/>
      <c r="AYG221" s="18"/>
      <c r="AYH221" s="18"/>
      <c r="AYI221" s="18"/>
      <c r="AYJ221" s="18"/>
      <c r="AYK221" s="18"/>
      <c r="AYL221" s="18"/>
      <c r="AYM221" s="18"/>
      <c r="AYN221" s="18"/>
      <c r="AYO221" s="18"/>
      <c r="AYP221" s="18"/>
      <c r="AYQ221" s="18"/>
      <c r="AYR221" s="18"/>
      <c r="AYS221" s="18"/>
      <c r="AYT221" s="18"/>
      <c r="AYU221" s="18"/>
      <c r="AYV221" s="18"/>
      <c r="AYW221" s="18"/>
      <c r="AYX221" s="18"/>
      <c r="AYY221" s="18"/>
      <c r="AYZ221" s="18"/>
      <c r="AZA221" s="18"/>
      <c r="AZB221" s="18"/>
      <c r="AZC221" s="18"/>
      <c r="AZD221" s="18"/>
      <c r="AZE221" s="18"/>
      <c r="AZF221" s="18"/>
      <c r="AZG221" s="18"/>
      <c r="AZH221" s="18"/>
      <c r="AZI221" s="18"/>
      <c r="AZJ221" s="18"/>
      <c r="AZK221" s="18"/>
      <c r="AZL221" s="18"/>
      <c r="AZM221" s="18"/>
      <c r="AZN221" s="18"/>
      <c r="AZO221" s="18"/>
      <c r="AZP221" s="18"/>
      <c r="AZQ221" s="18"/>
      <c r="AZR221" s="18"/>
      <c r="AZS221" s="18"/>
      <c r="AZT221" s="18"/>
      <c r="AZU221" s="18"/>
      <c r="AZV221" s="18"/>
      <c r="AZW221" s="18"/>
      <c r="AZX221" s="18"/>
      <c r="AZY221" s="18"/>
      <c r="AZZ221" s="18"/>
      <c r="BAA221" s="18"/>
      <c r="BAB221" s="18"/>
      <c r="BAC221" s="18"/>
      <c r="BAD221" s="18"/>
      <c r="BAE221" s="18"/>
      <c r="BAF221" s="18"/>
      <c r="BAG221" s="18"/>
      <c r="BAH221" s="18"/>
      <c r="BAI221" s="18"/>
      <c r="BAJ221" s="18"/>
      <c r="BAK221" s="18"/>
      <c r="BAL221" s="18"/>
      <c r="BAM221" s="18"/>
      <c r="BAN221" s="18"/>
      <c r="BAO221" s="18"/>
      <c r="BAP221" s="18"/>
      <c r="BAQ221" s="18"/>
      <c r="BAR221" s="18"/>
      <c r="BAS221" s="18"/>
      <c r="BAT221" s="18"/>
      <c r="BAU221" s="18"/>
      <c r="BAV221" s="18"/>
      <c r="BAW221" s="18"/>
      <c r="BAX221" s="18"/>
      <c r="BAY221" s="18"/>
      <c r="BAZ221" s="18"/>
      <c r="BBA221" s="18"/>
      <c r="BBB221" s="18"/>
      <c r="BBC221" s="18"/>
      <c r="BBD221" s="18"/>
      <c r="BBE221" s="18"/>
      <c r="BBF221" s="18"/>
      <c r="BBG221" s="18"/>
      <c r="BBH221" s="18"/>
      <c r="BBI221" s="18"/>
      <c r="BBJ221" s="18"/>
      <c r="BBK221" s="18"/>
      <c r="BBL221" s="18"/>
      <c r="BBM221" s="18"/>
      <c r="BBN221" s="18"/>
      <c r="BBO221" s="18"/>
      <c r="BBP221" s="18"/>
      <c r="BBQ221" s="18"/>
      <c r="BBR221" s="18"/>
      <c r="BBS221" s="18"/>
      <c r="BBT221" s="18"/>
      <c r="BBU221" s="18"/>
      <c r="BBV221" s="18"/>
      <c r="BBW221" s="18"/>
      <c r="BBX221" s="18"/>
      <c r="BBY221" s="18"/>
      <c r="BBZ221" s="18"/>
      <c r="BCA221" s="18"/>
      <c r="BCB221" s="18"/>
      <c r="BCC221" s="18"/>
      <c r="BCD221" s="18"/>
      <c r="BCE221" s="18"/>
      <c r="BCF221" s="18"/>
      <c r="BCG221" s="18"/>
      <c r="BCH221" s="18"/>
      <c r="BCI221" s="18"/>
      <c r="BCJ221" s="18"/>
      <c r="BCK221" s="18"/>
      <c r="BCL221" s="18"/>
      <c r="BCM221" s="18"/>
      <c r="BCN221" s="18"/>
      <c r="BCO221" s="18"/>
      <c r="BCP221" s="18"/>
      <c r="BCQ221" s="18"/>
      <c r="BCR221" s="18"/>
      <c r="BCS221" s="18"/>
      <c r="BCT221" s="18"/>
      <c r="BCU221" s="18"/>
      <c r="BCV221" s="18"/>
      <c r="BCW221" s="18"/>
      <c r="BCX221" s="18"/>
      <c r="BCY221" s="18"/>
      <c r="BCZ221" s="18"/>
      <c r="BDA221" s="18"/>
      <c r="BDB221" s="18"/>
      <c r="BDC221" s="18"/>
      <c r="BDD221" s="18"/>
      <c r="BDE221" s="18"/>
      <c r="BDF221" s="18"/>
      <c r="BDG221" s="18"/>
      <c r="BDH221" s="18"/>
      <c r="BDI221" s="18"/>
      <c r="BDJ221" s="18"/>
      <c r="BDK221" s="18"/>
      <c r="BDL221" s="18"/>
      <c r="BDM221" s="18"/>
      <c r="BDN221" s="18"/>
      <c r="BDO221" s="18"/>
      <c r="BDP221" s="18"/>
      <c r="BDQ221" s="18"/>
      <c r="BDR221" s="18"/>
      <c r="BDS221" s="18"/>
      <c r="BDT221" s="18"/>
      <c r="BDU221" s="18"/>
      <c r="BDV221" s="18"/>
      <c r="BDW221" s="18"/>
      <c r="BDX221" s="18"/>
      <c r="BDY221" s="18"/>
      <c r="BDZ221" s="18"/>
      <c r="BEA221" s="18"/>
      <c r="BEB221" s="18"/>
      <c r="BEC221" s="18"/>
      <c r="BED221" s="18"/>
      <c r="BEE221" s="18"/>
      <c r="BEF221" s="18"/>
      <c r="BEG221" s="18"/>
      <c r="BEH221" s="18"/>
      <c r="BEI221" s="18"/>
      <c r="BEJ221" s="18"/>
      <c r="BEK221" s="18"/>
      <c r="BEL221" s="18"/>
      <c r="BEM221" s="18"/>
      <c r="BEN221" s="18"/>
      <c r="BEO221" s="18"/>
      <c r="BEP221" s="18"/>
      <c r="BEQ221" s="18"/>
      <c r="BER221" s="18"/>
      <c r="BES221" s="18"/>
      <c r="BET221" s="18"/>
      <c r="BEU221" s="18"/>
      <c r="BEV221" s="18"/>
      <c r="BEW221" s="18"/>
      <c r="BEX221" s="18"/>
      <c r="BEY221" s="18"/>
      <c r="BEZ221" s="18"/>
      <c r="BFA221" s="18"/>
      <c r="BFB221" s="18"/>
      <c r="BFC221" s="18"/>
      <c r="BFD221" s="18"/>
      <c r="BFE221" s="18"/>
      <c r="BFF221" s="18"/>
      <c r="BFG221" s="18"/>
      <c r="BFH221" s="18"/>
      <c r="BFI221" s="18"/>
      <c r="BFJ221" s="18"/>
      <c r="BFK221" s="18"/>
      <c r="BFL221" s="18"/>
      <c r="BFM221" s="18"/>
      <c r="BFN221" s="18"/>
      <c r="BFO221" s="18"/>
      <c r="BFP221" s="18"/>
      <c r="BFQ221" s="18"/>
      <c r="BFR221" s="18"/>
      <c r="BFS221" s="18"/>
      <c r="BFT221" s="18"/>
      <c r="BFU221" s="18"/>
      <c r="BFV221" s="18"/>
      <c r="BFW221" s="18"/>
      <c r="BFX221" s="18"/>
      <c r="BFY221" s="18"/>
      <c r="BFZ221" s="18"/>
      <c r="BGA221" s="18"/>
      <c r="BGB221" s="18"/>
      <c r="BGC221" s="18"/>
      <c r="BGD221" s="18"/>
      <c r="BGE221" s="18"/>
      <c r="BGF221" s="18"/>
      <c r="BGG221" s="18"/>
      <c r="BGH221" s="18"/>
      <c r="BGI221" s="18"/>
      <c r="BGJ221" s="18"/>
      <c r="BGK221" s="18"/>
      <c r="BGL221" s="18"/>
      <c r="BGM221" s="18"/>
      <c r="BGN221" s="18"/>
      <c r="BGO221" s="18"/>
      <c r="BGP221" s="18"/>
      <c r="BGQ221" s="18"/>
      <c r="BGR221" s="18"/>
      <c r="BGS221" s="18"/>
      <c r="BGT221" s="18"/>
      <c r="BGU221" s="18"/>
      <c r="BGV221" s="18"/>
      <c r="BGW221" s="18"/>
      <c r="BGX221" s="18"/>
      <c r="BGY221" s="18"/>
      <c r="BGZ221" s="18"/>
      <c r="BHA221" s="18"/>
      <c r="BHB221" s="18"/>
      <c r="BHC221" s="18"/>
      <c r="BHD221" s="18"/>
      <c r="BHE221" s="18"/>
      <c r="BHF221" s="18"/>
      <c r="BHG221" s="18"/>
      <c r="BHH221" s="18"/>
      <c r="BHI221" s="18"/>
      <c r="BHJ221" s="18"/>
      <c r="BHK221" s="18"/>
      <c r="BHL221" s="18"/>
      <c r="BHM221" s="18"/>
      <c r="BHN221" s="18"/>
      <c r="BHO221" s="18"/>
      <c r="BHP221" s="18"/>
      <c r="BHQ221" s="18"/>
      <c r="BHR221" s="18"/>
      <c r="BHS221" s="18"/>
      <c r="BHT221" s="18"/>
      <c r="BHU221" s="18"/>
      <c r="BHV221" s="18"/>
      <c r="BHW221" s="18"/>
      <c r="BHX221" s="18"/>
      <c r="BHY221" s="18"/>
      <c r="BHZ221" s="18"/>
      <c r="BIA221" s="18"/>
      <c r="BIB221" s="18"/>
      <c r="BIC221" s="18"/>
      <c r="BID221" s="18"/>
      <c r="BIE221" s="18"/>
      <c r="BIF221" s="18"/>
      <c r="BIG221" s="18"/>
      <c r="BIH221" s="18"/>
      <c r="BII221" s="18"/>
      <c r="BIJ221" s="18"/>
      <c r="BIK221" s="18"/>
      <c r="BIL221" s="18"/>
      <c r="BIM221" s="18"/>
      <c r="BIN221" s="18"/>
      <c r="BIO221" s="18"/>
      <c r="BIP221" s="18"/>
      <c r="BIQ221" s="18"/>
      <c r="BIR221" s="18"/>
      <c r="BIS221" s="18"/>
      <c r="BIT221" s="18"/>
      <c r="BIU221" s="18"/>
      <c r="BIV221" s="18"/>
      <c r="BIW221" s="18"/>
      <c r="BIX221" s="18"/>
      <c r="BIY221" s="18"/>
      <c r="BIZ221" s="18"/>
      <c r="BJA221" s="18"/>
      <c r="BJB221" s="18"/>
      <c r="BJC221" s="18"/>
      <c r="BJD221" s="18"/>
      <c r="BJE221" s="18"/>
      <c r="BJF221" s="18"/>
      <c r="BJG221" s="18"/>
      <c r="BJH221" s="18"/>
      <c r="BJI221" s="18"/>
      <c r="BJJ221" s="18"/>
      <c r="BJK221" s="18"/>
      <c r="BJL221" s="18"/>
      <c r="BJM221" s="18"/>
      <c r="BJN221" s="18"/>
      <c r="BJO221" s="18"/>
      <c r="BJP221" s="18"/>
      <c r="BJQ221" s="18"/>
      <c r="BJR221" s="18"/>
      <c r="BJS221" s="18"/>
      <c r="BJT221" s="18"/>
      <c r="BJU221" s="18"/>
      <c r="BJV221" s="18"/>
      <c r="BJW221" s="18"/>
      <c r="BJX221" s="18"/>
      <c r="BJY221" s="18"/>
      <c r="BJZ221" s="18"/>
      <c r="BKA221" s="18"/>
      <c r="BKB221" s="18"/>
      <c r="BKC221" s="18"/>
      <c r="BKD221" s="18"/>
      <c r="BKE221" s="18"/>
      <c r="BKF221" s="18"/>
      <c r="BKG221" s="18"/>
      <c r="BKH221" s="18"/>
      <c r="BKI221" s="18"/>
      <c r="BKJ221" s="18"/>
      <c r="BKK221" s="18"/>
      <c r="BKL221" s="18"/>
      <c r="BKM221" s="18"/>
      <c r="BKN221" s="18"/>
      <c r="BKO221" s="18"/>
      <c r="BKP221" s="18"/>
      <c r="BKQ221" s="18"/>
      <c r="BKR221" s="18"/>
      <c r="BKS221" s="18"/>
      <c r="BKT221" s="18"/>
      <c r="BKU221" s="18"/>
      <c r="BKV221" s="18"/>
      <c r="BKW221" s="18"/>
      <c r="BKX221" s="18"/>
      <c r="BKY221" s="18"/>
      <c r="BKZ221" s="18"/>
      <c r="BLA221" s="18"/>
      <c r="BLB221" s="18"/>
      <c r="BLC221" s="18"/>
      <c r="BLD221" s="18"/>
      <c r="BLE221" s="18"/>
      <c r="BLF221" s="18"/>
      <c r="BLG221" s="18"/>
      <c r="BLH221" s="18"/>
      <c r="BLI221" s="18"/>
      <c r="BLJ221" s="18"/>
      <c r="BLK221" s="18"/>
      <c r="BLL221" s="18"/>
      <c r="BLM221" s="18"/>
      <c r="BLN221" s="18"/>
      <c r="BLO221" s="18"/>
      <c r="BLP221" s="18"/>
      <c r="BLQ221" s="18"/>
      <c r="BLR221" s="18"/>
      <c r="BLS221" s="18"/>
      <c r="BLT221" s="18"/>
      <c r="BLU221" s="18"/>
      <c r="BLV221" s="18"/>
      <c r="BLW221" s="18"/>
      <c r="BLX221" s="18"/>
      <c r="BLY221" s="18"/>
      <c r="BLZ221" s="18"/>
      <c r="BMA221" s="18"/>
      <c r="BMB221" s="18"/>
      <c r="BMC221" s="18"/>
      <c r="BMD221" s="18"/>
      <c r="BME221" s="18"/>
      <c r="BMF221" s="18"/>
      <c r="BMG221" s="18"/>
      <c r="BMH221" s="18"/>
      <c r="BMI221" s="18"/>
      <c r="BMJ221" s="18"/>
      <c r="BMK221" s="18"/>
      <c r="BML221" s="18"/>
      <c r="BMM221" s="18"/>
      <c r="BMN221" s="18"/>
      <c r="BMO221" s="18"/>
      <c r="BMP221" s="18"/>
      <c r="BMQ221" s="18"/>
      <c r="BMR221" s="18"/>
      <c r="BMS221" s="18"/>
      <c r="BMT221" s="18"/>
      <c r="BMU221" s="18"/>
      <c r="BMV221" s="18"/>
      <c r="BMW221" s="18"/>
      <c r="BMX221" s="18"/>
      <c r="BMY221" s="18"/>
      <c r="BMZ221" s="18"/>
      <c r="BNA221" s="18"/>
      <c r="BNB221" s="18"/>
      <c r="BNC221" s="18"/>
      <c r="BND221" s="18"/>
      <c r="BNE221" s="18"/>
      <c r="BNF221" s="18"/>
      <c r="BNG221" s="18"/>
      <c r="BNH221" s="18"/>
      <c r="BNI221" s="18"/>
      <c r="BNJ221" s="18"/>
      <c r="BNK221" s="18"/>
      <c r="BNL221" s="18"/>
      <c r="BNM221" s="18"/>
      <c r="BNN221" s="18"/>
      <c r="BNO221" s="18"/>
      <c r="BNP221" s="18"/>
      <c r="BNQ221" s="18"/>
      <c r="BNR221" s="18"/>
      <c r="BNS221" s="18"/>
      <c r="BNT221" s="18"/>
      <c r="BNU221" s="18"/>
      <c r="BNV221" s="18"/>
      <c r="BNW221" s="18"/>
      <c r="BNX221" s="18"/>
      <c r="BNY221" s="18"/>
      <c r="BNZ221" s="18"/>
      <c r="BOA221" s="18"/>
      <c r="BOB221" s="18"/>
      <c r="BOC221" s="18"/>
      <c r="BOD221" s="18"/>
      <c r="BOE221" s="18"/>
      <c r="BOF221" s="18"/>
      <c r="BOG221" s="18"/>
      <c r="BOH221" s="18"/>
      <c r="BOI221" s="18"/>
      <c r="BOJ221" s="18"/>
      <c r="BOK221" s="18"/>
      <c r="BOL221" s="18"/>
      <c r="BOM221" s="18"/>
      <c r="BON221" s="18"/>
      <c r="BOO221" s="18"/>
      <c r="BOP221" s="18"/>
      <c r="BOQ221" s="18"/>
      <c r="BOR221" s="18"/>
      <c r="BOS221" s="18"/>
      <c r="BOT221" s="18"/>
      <c r="BOU221" s="18"/>
      <c r="BOV221" s="18"/>
      <c r="BOW221" s="18"/>
      <c r="BOX221" s="18"/>
      <c r="BOY221" s="18"/>
      <c r="BOZ221" s="18"/>
      <c r="BPA221" s="18"/>
      <c r="BPB221" s="18"/>
      <c r="BPC221" s="18"/>
      <c r="BPD221" s="18"/>
      <c r="BPE221" s="18"/>
      <c r="BPF221" s="18"/>
      <c r="BPG221" s="18"/>
      <c r="BPH221" s="18"/>
      <c r="BPI221" s="18"/>
      <c r="BPJ221" s="18"/>
      <c r="BPK221" s="18"/>
      <c r="BPL221" s="18"/>
      <c r="BPM221" s="18"/>
      <c r="BPN221" s="18"/>
      <c r="BPO221" s="18"/>
      <c r="BPP221" s="18"/>
      <c r="BPQ221" s="18"/>
      <c r="BPR221" s="18"/>
      <c r="BPS221" s="18"/>
      <c r="BPT221" s="18"/>
      <c r="BPU221" s="18"/>
      <c r="BPV221" s="18"/>
      <c r="BPW221" s="18"/>
      <c r="BPX221" s="18"/>
      <c r="BPY221" s="18"/>
      <c r="BPZ221" s="18"/>
      <c r="BQA221" s="18"/>
      <c r="BQB221" s="18"/>
      <c r="BQC221" s="18"/>
      <c r="BQD221" s="18"/>
      <c r="BQE221" s="18"/>
      <c r="BQF221" s="18"/>
      <c r="BQG221" s="18"/>
      <c r="BQH221" s="18"/>
      <c r="BQI221" s="18"/>
      <c r="BQJ221" s="18"/>
      <c r="BQK221" s="18"/>
      <c r="BQL221" s="18"/>
      <c r="BQM221" s="18"/>
      <c r="BQN221" s="18"/>
      <c r="BQO221" s="18"/>
      <c r="BQP221" s="18"/>
      <c r="BQQ221" s="18"/>
      <c r="BQR221" s="18"/>
      <c r="BQS221" s="18"/>
      <c r="BQT221" s="18"/>
      <c r="BQU221" s="18"/>
      <c r="BQV221" s="18"/>
      <c r="BQW221" s="18"/>
      <c r="BQX221" s="18"/>
      <c r="BQY221" s="18"/>
      <c r="BQZ221" s="18"/>
      <c r="BRA221" s="18"/>
      <c r="BRB221" s="18"/>
      <c r="BRC221" s="18"/>
      <c r="BRD221" s="18"/>
      <c r="BRE221" s="18"/>
      <c r="BRF221" s="18"/>
      <c r="BRG221" s="18"/>
      <c r="BRH221" s="18"/>
      <c r="BRI221" s="18"/>
      <c r="BRJ221" s="18"/>
      <c r="BRK221" s="18"/>
      <c r="BRL221" s="18"/>
      <c r="BRM221" s="18"/>
      <c r="BRN221" s="18"/>
      <c r="BRO221" s="18"/>
      <c r="BRP221" s="18"/>
      <c r="BRQ221" s="18"/>
      <c r="BRR221" s="18"/>
      <c r="BRS221" s="18"/>
      <c r="BRT221" s="18"/>
      <c r="BRU221" s="18"/>
      <c r="BRV221" s="18"/>
      <c r="BRW221" s="18"/>
      <c r="BRX221" s="18"/>
      <c r="BRY221" s="18"/>
      <c r="BRZ221" s="18"/>
      <c r="BSA221" s="18"/>
      <c r="BSB221" s="18"/>
      <c r="BSC221" s="18"/>
      <c r="BSD221" s="18"/>
      <c r="BSE221" s="18"/>
      <c r="BSF221" s="18"/>
      <c r="BSG221" s="18"/>
      <c r="BSH221" s="18"/>
      <c r="BSI221" s="18"/>
      <c r="BSJ221" s="18"/>
      <c r="BSK221" s="18"/>
      <c r="BSL221" s="18"/>
      <c r="BSM221" s="18"/>
      <c r="BSN221" s="18"/>
      <c r="BSO221" s="18"/>
      <c r="BSP221" s="18"/>
      <c r="BSQ221" s="18"/>
      <c r="BSR221" s="18"/>
      <c r="BSS221" s="18"/>
      <c r="BST221" s="18"/>
      <c r="BSU221" s="18"/>
      <c r="BSV221" s="18"/>
      <c r="BSW221" s="18"/>
      <c r="BSX221" s="18"/>
      <c r="BSY221" s="18"/>
      <c r="BSZ221" s="18"/>
      <c r="BTA221" s="18"/>
      <c r="BTB221" s="18"/>
      <c r="BTC221" s="18"/>
      <c r="BTD221" s="18"/>
      <c r="BTE221" s="18"/>
      <c r="BTF221" s="18"/>
      <c r="BTG221" s="18"/>
      <c r="BTH221" s="18"/>
    </row>
    <row r="222" spans="1:1880" s="396" customFormat="1" ht="53.25" customHeight="1" x14ac:dyDescent="0.3">
      <c r="A222" s="98">
        <v>599</v>
      </c>
      <c r="B222" s="345" t="s">
        <v>58</v>
      </c>
      <c r="C222" s="345" t="s">
        <v>263</v>
      </c>
      <c r="D222" s="24" t="s">
        <v>316</v>
      </c>
      <c r="E222" s="343" t="e">
        <f>INDEX('PY1 Data(H)'!$A$1:$CZ$260,MATCH('Unit Data from Audit Worksheet'!$A222,'PY1 Data(H)'!$A$1:$A$260,0),MATCH('Unit Data from Audit Worksheet'!$D$2,'PY1 Data(H)'!$A$1:$CZ$1,0))</f>
        <v>#N/A</v>
      </c>
      <c r="F222" s="182">
        <v>0</v>
      </c>
      <c r="G222" s="399" t="str">
        <f>IF(ISBLANK(F222),"Please do not leave blank","")</f>
        <v/>
      </c>
      <c r="H222" s="874">
        <f>IF(F222&lt;0,"Error: Enter as positive.",)</f>
        <v>0</v>
      </c>
      <c r="I222" s="859"/>
      <c r="J222" s="173"/>
      <c r="K222" s="551"/>
      <c r="L222"/>
      <c r="M222" s="18"/>
      <c r="N222" s="183"/>
      <c r="O222" s="18"/>
      <c r="P222" s="18"/>
      <c r="Q222" s="18"/>
      <c r="R222" s="18"/>
      <c r="S222" s="18"/>
      <c r="T222" s="18"/>
      <c r="U222" s="18"/>
      <c r="V222" s="18"/>
      <c r="W222" s="18"/>
      <c r="X222" s="18"/>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c r="IW222" s="18"/>
      <c r="IX222" s="18"/>
      <c r="IY222" s="18"/>
      <c r="IZ222" s="18"/>
      <c r="JA222" s="18"/>
      <c r="JB222" s="18"/>
      <c r="JC222" s="18"/>
      <c r="JD222" s="18"/>
      <c r="JE222" s="18"/>
      <c r="JF222" s="18"/>
      <c r="JG222" s="18"/>
      <c r="JH222" s="18"/>
      <c r="JI222" s="18"/>
      <c r="JJ222" s="18"/>
      <c r="JK222" s="18"/>
      <c r="JL222" s="18"/>
      <c r="JM222" s="18"/>
      <c r="JN222" s="18"/>
      <c r="JO222" s="18"/>
      <c r="JP222" s="18"/>
      <c r="JQ222" s="18"/>
      <c r="JR222" s="18"/>
      <c r="JS222" s="18"/>
      <c r="JT222" s="18"/>
      <c r="JU222" s="18"/>
      <c r="JV222" s="18"/>
      <c r="JW222" s="18"/>
      <c r="JX222" s="18"/>
      <c r="JY222" s="18"/>
      <c r="JZ222" s="18"/>
      <c r="KA222" s="18"/>
      <c r="KB222" s="18"/>
      <c r="KC222" s="18"/>
      <c r="KD222" s="18"/>
      <c r="KE222" s="18"/>
      <c r="KF222" s="18"/>
      <c r="KG222" s="18"/>
      <c r="KH222" s="18"/>
      <c r="KI222" s="18"/>
      <c r="KJ222" s="18"/>
      <c r="KK222" s="18"/>
      <c r="KL222" s="18"/>
      <c r="KM222" s="18"/>
      <c r="KN222" s="18"/>
      <c r="KO222" s="18"/>
      <c r="KP222" s="18"/>
      <c r="KQ222" s="18"/>
      <c r="KR222" s="18"/>
      <c r="KS222" s="18"/>
      <c r="KT222" s="18"/>
      <c r="KU222" s="18"/>
      <c r="KV222" s="18"/>
      <c r="KW222" s="18"/>
      <c r="KX222" s="18"/>
      <c r="KY222" s="18"/>
      <c r="KZ222" s="18"/>
      <c r="LA222" s="18"/>
      <c r="LB222" s="18"/>
      <c r="LC222" s="18"/>
      <c r="LD222" s="18"/>
      <c r="LE222" s="18"/>
      <c r="LF222" s="18"/>
      <c r="LG222" s="18"/>
      <c r="LH222" s="18"/>
      <c r="LI222" s="18"/>
      <c r="LJ222" s="18"/>
      <c r="LK222" s="18"/>
      <c r="LL222" s="18"/>
      <c r="LM222" s="18"/>
      <c r="LN222" s="18"/>
      <c r="LO222" s="18"/>
      <c r="LP222" s="18"/>
      <c r="LQ222" s="18"/>
      <c r="LR222" s="18"/>
      <c r="LS222" s="18"/>
      <c r="LT222" s="18"/>
      <c r="LU222" s="18"/>
      <c r="LV222" s="18"/>
      <c r="LW222" s="18"/>
      <c r="LX222" s="18"/>
      <c r="LY222" s="18"/>
      <c r="LZ222" s="18"/>
      <c r="MA222" s="18"/>
      <c r="MB222" s="18"/>
      <c r="MC222" s="18"/>
      <c r="MD222" s="18"/>
      <c r="ME222" s="18"/>
      <c r="MF222" s="18"/>
      <c r="MG222" s="18"/>
      <c r="MH222" s="18"/>
      <c r="MI222" s="18"/>
      <c r="MJ222" s="18"/>
      <c r="MK222" s="18"/>
      <c r="ML222" s="18"/>
      <c r="MM222" s="18"/>
      <c r="MN222" s="18"/>
      <c r="MO222" s="18"/>
      <c r="MP222" s="18"/>
      <c r="MQ222" s="18"/>
      <c r="MR222" s="18"/>
      <c r="MS222" s="18"/>
      <c r="MT222" s="18"/>
      <c r="MU222" s="18"/>
      <c r="MV222" s="18"/>
      <c r="MW222" s="18"/>
      <c r="MX222" s="18"/>
      <c r="MY222" s="18"/>
      <c r="MZ222" s="18"/>
      <c r="NA222" s="18"/>
      <c r="NB222" s="18"/>
      <c r="NC222" s="18"/>
      <c r="ND222" s="18"/>
      <c r="NE222" s="18"/>
      <c r="NF222" s="18"/>
      <c r="NG222" s="18"/>
      <c r="NH222" s="18"/>
      <c r="NI222" s="18"/>
      <c r="NJ222" s="18"/>
      <c r="NK222" s="18"/>
      <c r="NL222" s="18"/>
      <c r="NM222" s="18"/>
      <c r="NN222" s="18"/>
      <c r="NO222" s="18"/>
      <c r="NP222" s="18"/>
      <c r="NQ222" s="18"/>
      <c r="NR222" s="18"/>
      <c r="NS222" s="18"/>
      <c r="NT222" s="18"/>
      <c r="NU222" s="18"/>
      <c r="NV222" s="18"/>
      <c r="NW222" s="18"/>
      <c r="NX222" s="18"/>
      <c r="NY222" s="18"/>
      <c r="NZ222" s="18"/>
      <c r="OA222" s="18"/>
      <c r="OB222" s="18"/>
      <c r="OC222" s="18"/>
      <c r="OD222" s="18"/>
      <c r="OE222" s="18"/>
      <c r="OF222" s="18"/>
      <c r="OG222" s="18"/>
      <c r="OH222" s="18"/>
      <c r="OI222" s="18"/>
      <c r="OJ222" s="18"/>
      <c r="OK222" s="18"/>
      <c r="OL222" s="18"/>
      <c r="OM222" s="18"/>
      <c r="ON222" s="18"/>
      <c r="OO222" s="18"/>
      <c r="OP222" s="18"/>
      <c r="OQ222" s="18"/>
      <c r="OR222" s="18"/>
      <c r="OS222" s="18"/>
      <c r="OT222" s="18"/>
      <c r="OU222" s="18"/>
      <c r="OV222" s="18"/>
      <c r="OW222" s="18"/>
      <c r="OX222" s="18"/>
      <c r="OY222" s="18"/>
      <c r="OZ222" s="18"/>
      <c r="PA222" s="18"/>
      <c r="PB222" s="18"/>
      <c r="PC222" s="18"/>
      <c r="PD222" s="18"/>
      <c r="PE222" s="18"/>
      <c r="PF222" s="18"/>
      <c r="PG222" s="18"/>
      <c r="PH222" s="18"/>
      <c r="PI222" s="18"/>
      <c r="PJ222" s="18"/>
      <c r="PK222" s="18"/>
      <c r="PL222" s="18"/>
      <c r="PM222" s="18"/>
      <c r="PN222" s="18"/>
      <c r="PO222" s="18"/>
      <c r="PP222" s="18"/>
      <c r="PQ222" s="18"/>
      <c r="PR222" s="18"/>
      <c r="PS222" s="18"/>
      <c r="PT222" s="18"/>
      <c r="PU222" s="18"/>
      <c r="PV222" s="18"/>
      <c r="PW222" s="18"/>
      <c r="PX222" s="18"/>
      <c r="PY222" s="18"/>
      <c r="PZ222" s="18"/>
      <c r="QA222" s="18"/>
      <c r="QB222" s="18"/>
      <c r="QC222" s="18"/>
      <c r="QD222" s="18"/>
      <c r="QE222" s="18"/>
      <c r="QF222" s="18"/>
      <c r="QG222" s="18"/>
      <c r="QH222" s="18"/>
      <c r="QI222" s="18"/>
      <c r="QJ222" s="18"/>
      <c r="QK222" s="18"/>
      <c r="QL222" s="18"/>
      <c r="QM222" s="18"/>
      <c r="QN222" s="18"/>
      <c r="QO222" s="18"/>
      <c r="QP222" s="18"/>
      <c r="QQ222" s="18"/>
      <c r="QR222" s="18"/>
      <c r="QS222" s="18"/>
      <c r="QT222" s="18"/>
      <c r="QU222" s="18"/>
      <c r="QV222" s="18"/>
      <c r="QW222" s="18"/>
      <c r="QX222" s="18"/>
      <c r="QY222" s="18"/>
      <c r="QZ222" s="18"/>
      <c r="RA222" s="18"/>
      <c r="RB222" s="18"/>
      <c r="RC222" s="18"/>
      <c r="RD222" s="18"/>
      <c r="RE222" s="18"/>
      <c r="RF222" s="18"/>
      <c r="RG222" s="18"/>
      <c r="RH222" s="18"/>
      <c r="RI222" s="18"/>
      <c r="RJ222" s="18"/>
      <c r="RK222" s="18"/>
      <c r="RL222" s="18"/>
      <c r="RM222" s="18"/>
      <c r="RN222" s="18"/>
      <c r="RO222" s="18"/>
      <c r="RP222" s="18"/>
      <c r="RQ222" s="18"/>
      <c r="RR222" s="18"/>
      <c r="RS222" s="18"/>
      <c r="RT222" s="18"/>
      <c r="RU222" s="18"/>
      <c r="RV222" s="18"/>
      <c r="RW222" s="18"/>
      <c r="RX222" s="18"/>
      <c r="RY222" s="18"/>
      <c r="RZ222" s="18"/>
      <c r="SA222" s="18"/>
      <c r="SB222" s="18"/>
      <c r="SC222" s="18"/>
      <c r="SD222" s="18"/>
      <c r="SE222" s="18"/>
      <c r="SF222" s="18"/>
      <c r="SG222" s="18"/>
      <c r="SH222" s="18"/>
      <c r="SI222" s="18"/>
      <c r="SJ222" s="18"/>
      <c r="SK222" s="18"/>
      <c r="SL222" s="18"/>
      <c r="SM222" s="18"/>
      <c r="SN222" s="18"/>
      <c r="SO222" s="18"/>
      <c r="SP222" s="18"/>
      <c r="SQ222" s="18"/>
      <c r="SR222" s="18"/>
      <c r="SS222" s="18"/>
      <c r="ST222" s="18"/>
      <c r="SU222" s="18"/>
      <c r="SV222" s="18"/>
      <c r="SW222" s="18"/>
      <c r="SX222" s="18"/>
      <c r="SY222" s="18"/>
      <c r="SZ222" s="18"/>
      <c r="TA222" s="18"/>
      <c r="TB222" s="18"/>
      <c r="TC222" s="18"/>
      <c r="TD222" s="18"/>
      <c r="TE222" s="18"/>
      <c r="TF222" s="18"/>
      <c r="TG222" s="18"/>
      <c r="TH222" s="18"/>
      <c r="TI222" s="18"/>
      <c r="TJ222" s="18"/>
      <c r="TK222" s="18"/>
      <c r="TL222" s="18"/>
      <c r="TM222" s="18"/>
      <c r="TN222" s="18"/>
      <c r="TO222" s="18"/>
      <c r="TP222" s="18"/>
      <c r="TQ222" s="18"/>
      <c r="TR222" s="18"/>
      <c r="TS222" s="18"/>
      <c r="TT222" s="18"/>
      <c r="TU222" s="18"/>
      <c r="TV222" s="18"/>
      <c r="TW222" s="18"/>
      <c r="TX222" s="18"/>
      <c r="TY222" s="18"/>
      <c r="TZ222" s="18"/>
      <c r="UA222" s="18"/>
      <c r="UB222" s="18"/>
      <c r="UC222" s="18"/>
      <c r="UD222" s="18"/>
      <c r="UE222" s="18"/>
      <c r="UF222" s="18"/>
      <c r="UG222" s="18"/>
      <c r="UH222" s="18"/>
      <c r="UI222" s="18"/>
      <c r="UJ222" s="18"/>
      <c r="UK222" s="18"/>
      <c r="UL222" s="18"/>
      <c r="UM222" s="18"/>
      <c r="UN222" s="18"/>
      <c r="UO222" s="18"/>
      <c r="UP222" s="18"/>
      <c r="UQ222" s="18"/>
      <c r="UR222" s="18"/>
      <c r="US222" s="18"/>
      <c r="UT222" s="18"/>
      <c r="UU222" s="18"/>
      <c r="UV222" s="18"/>
      <c r="UW222" s="18"/>
      <c r="UX222" s="18"/>
      <c r="UY222" s="18"/>
      <c r="UZ222" s="18"/>
      <c r="VA222" s="18"/>
      <c r="VB222" s="18"/>
      <c r="VC222" s="18"/>
      <c r="VD222" s="18"/>
      <c r="VE222" s="18"/>
      <c r="VF222" s="18"/>
      <c r="VG222" s="18"/>
      <c r="VH222" s="18"/>
      <c r="VI222" s="18"/>
      <c r="VJ222" s="18"/>
      <c r="VK222" s="18"/>
      <c r="VL222" s="18"/>
      <c r="VM222" s="18"/>
      <c r="VN222" s="18"/>
      <c r="VO222" s="18"/>
      <c r="VP222" s="18"/>
      <c r="VQ222" s="18"/>
      <c r="VR222" s="18"/>
      <c r="VS222" s="18"/>
      <c r="VT222" s="18"/>
      <c r="VU222" s="18"/>
      <c r="VV222" s="18"/>
      <c r="VW222" s="18"/>
      <c r="VX222" s="18"/>
      <c r="VY222" s="18"/>
      <c r="VZ222" s="18"/>
      <c r="WA222" s="18"/>
      <c r="WB222" s="18"/>
      <c r="WC222" s="18"/>
      <c r="WD222" s="18"/>
      <c r="WE222" s="18"/>
      <c r="WF222" s="18"/>
      <c r="WG222" s="18"/>
      <c r="WH222" s="18"/>
      <c r="WI222" s="18"/>
      <c r="WJ222" s="18"/>
      <c r="WK222" s="18"/>
      <c r="WL222" s="18"/>
      <c r="WM222" s="18"/>
      <c r="WN222" s="18"/>
      <c r="WO222" s="18"/>
      <c r="WP222" s="18"/>
      <c r="WQ222" s="18"/>
      <c r="WR222" s="18"/>
      <c r="WS222" s="18"/>
      <c r="WT222" s="18"/>
      <c r="WU222" s="18"/>
      <c r="WV222" s="18"/>
      <c r="WW222" s="18"/>
      <c r="WX222" s="18"/>
      <c r="WY222" s="18"/>
      <c r="WZ222" s="18"/>
      <c r="XA222" s="18"/>
      <c r="XB222" s="18"/>
      <c r="XC222" s="18"/>
      <c r="XD222" s="18"/>
      <c r="XE222" s="18"/>
      <c r="XF222" s="18"/>
      <c r="XG222" s="18"/>
      <c r="XH222" s="18"/>
      <c r="XI222" s="18"/>
      <c r="XJ222" s="18"/>
      <c r="XK222" s="18"/>
      <c r="XL222" s="18"/>
      <c r="XM222" s="18"/>
      <c r="XN222" s="18"/>
      <c r="XO222" s="18"/>
      <c r="XP222" s="18"/>
      <c r="XQ222" s="18"/>
      <c r="XR222" s="18"/>
      <c r="XS222" s="18"/>
      <c r="XT222" s="18"/>
      <c r="XU222" s="18"/>
      <c r="XV222" s="18"/>
      <c r="XW222" s="18"/>
      <c r="XX222" s="18"/>
      <c r="XY222" s="18"/>
      <c r="XZ222" s="18"/>
      <c r="YA222" s="18"/>
      <c r="YB222" s="18"/>
      <c r="YC222" s="18"/>
      <c r="YD222" s="18"/>
      <c r="YE222" s="18"/>
      <c r="YF222" s="18"/>
      <c r="YG222" s="18"/>
      <c r="YH222" s="18"/>
      <c r="YI222" s="18"/>
      <c r="YJ222" s="18"/>
      <c r="YK222" s="18"/>
      <c r="YL222" s="18"/>
      <c r="YM222" s="18"/>
      <c r="YN222" s="18"/>
      <c r="YO222" s="18"/>
      <c r="YP222" s="18"/>
      <c r="YQ222" s="18"/>
      <c r="YR222" s="18"/>
      <c r="YS222" s="18"/>
      <c r="YT222" s="18"/>
      <c r="YU222" s="18"/>
      <c r="YV222" s="18"/>
      <c r="YW222" s="18"/>
      <c r="YX222" s="18"/>
      <c r="YY222" s="18"/>
      <c r="YZ222" s="18"/>
      <c r="ZA222" s="18"/>
      <c r="ZB222" s="18"/>
      <c r="ZC222" s="18"/>
      <c r="ZD222" s="18"/>
      <c r="ZE222" s="18"/>
      <c r="ZF222" s="18"/>
      <c r="ZG222" s="18"/>
      <c r="ZH222" s="18"/>
      <c r="ZI222" s="18"/>
      <c r="ZJ222" s="18"/>
      <c r="ZK222" s="18"/>
      <c r="ZL222" s="18"/>
      <c r="ZM222" s="18"/>
      <c r="ZN222" s="18"/>
      <c r="ZO222" s="18"/>
      <c r="ZP222" s="18"/>
      <c r="ZQ222" s="18"/>
      <c r="ZR222" s="18"/>
      <c r="ZS222" s="18"/>
      <c r="ZT222" s="18"/>
      <c r="ZU222" s="18"/>
      <c r="ZV222" s="18"/>
      <c r="ZW222" s="18"/>
      <c r="ZX222" s="18"/>
      <c r="ZY222" s="18"/>
      <c r="ZZ222" s="18"/>
      <c r="AAA222" s="18"/>
      <c r="AAB222" s="18"/>
      <c r="AAC222" s="18"/>
      <c r="AAD222" s="18"/>
      <c r="AAE222" s="18"/>
      <c r="AAF222" s="18"/>
      <c r="AAG222" s="18"/>
      <c r="AAH222" s="18"/>
      <c r="AAI222" s="18"/>
      <c r="AAJ222" s="18"/>
      <c r="AAK222" s="18"/>
      <c r="AAL222" s="18"/>
      <c r="AAM222" s="18"/>
      <c r="AAN222" s="18"/>
      <c r="AAO222" s="18"/>
      <c r="AAP222" s="18"/>
      <c r="AAQ222" s="18"/>
      <c r="AAR222" s="18"/>
      <c r="AAS222" s="18"/>
      <c r="AAT222" s="18"/>
      <c r="AAU222" s="18"/>
      <c r="AAV222" s="18"/>
      <c r="AAW222" s="18"/>
      <c r="AAX222" s="18"/>
      <c r="AAY222" s="18"/>
      <c r="AAZ222" s="18"/>
      <c r="ABA222" s="18"/>
      <c r="ABB222" s="18"/>
      <c r="ABC222" s="18"/>
      <c r="ABD222" s="18"/>
      <c r="ABE222" s="18"/>
      <c r="ABF222" s="18"/>
      <c r="ABG222" s="18"/>
      <c r="ABH222" s="18"/>
      <c r="ABI222" s="18"/>
      <c r="ABJ222" s="18"/>
      <c r="ABK222" s="18"/>
      <c r="ABL222" s="18"/>
      <c r="ABM222" s="18"/>
      <c r="ABN222" s="18"/>
      <c r="ABO222" s="18"/>
      <c r="ABP222" s="18"/>
      <c r="ABQ222" s="18"/>
      <c r="ABR222" s="18"/>
      <c r="ABS222" s="18"/>
      <c r="ABT222" s="18"/>
      <c r="ABU222" s="18"/>
      <c r="ABV222" s="18"/>
      <c r="ABW222" s="18"/>
      <c r="ABX222" s="18"/>
      <c r="ABY222" s="18"/>
      <c r="ABZ222" s="18"/>
      <c r="ACA222" s="18"/>
      <c r="ACB222" s="18"/>
      <c r="ACC222" s="18"/>
      <c r="ACD222" s="18"/>
      <c r="ACE222" s="18"/>
      <c r="ACF222" s="18"/>
      <c r="ACG222" s="18"/>
      <c r="ACH222" s="18"/>
      <c r="ACI222" s="18"/>
      <c r="ACJ222" s="18"/>
      <c r="ACK222" s="18"/>
      <c r="ACL222" s="18"/>
      <c r="ACM222" s="18"/>
      <c r="ACN222" s="18"/>
      <c r="ACO222" s="18"/>
      <c r="ACP222" s="18"/>
      <c r="ACQ222" s="18"/>
      <c r="ACR222" s="18"/>
      <c r="ACS222" s="18"/>
      <c r="ACT222" s="18"/>
      <c r="ACU222" s="18"/>
      <c r="ACV222" s="18"/>
      <c r="ACW222" s="18"/>
      <c r="ACX222" s="18"/>
      <c r="ACY222" s="18"/>
      <c r="ACZ222" s="18"/>
      <c r="ADA222" s="18"/>
      <c r="ADB222" s="18"/>
      <c r="ADC222" s="18"/>
      <c r="ADD222" s="18"/>
      <c r="ADE222" s="18"/>
      <c r="ADF222" s="18"/>
      <c r="ADG222" s="18"/>
      <c r="ADH222" s="18"/>
      <c r="ADI222" s="18"/>
      <c r="ADJ222" s="18"/>
      <c r="ADK222" s="18"/>
      <c r="ADL222" s="18"/>
      <c r="ADM222" s="18"/>
      <c r="ADN222" s="18"/>
      <c r="ADO222" s="18"/>
      <c r="ADP222" s="18"/>
      <c r="ADQ222" s="18"/>
      <c r="ADR222" s="18"/>
      <c r="ADS222" s="18"/>
      <c r="ADT222" s="18"/>
      <c r="ADU222" s="18"/>
      <c r="ADV222" s="18"/>
      <c r="ADW222" s="18"/>
      <c r="ADX222" s="18"/>
      <c r="ADY222" s="18"/>
      <c r="ADZ222" s="18"/>
      <c r="AEA222" s="18"/>
      <c r="AEB222" s="18"/>
      <c r="AEC222" s="18"/>
      <c r="AED222" s="18"/>
      <c r="AEE222" s="18"/>
      <c r="AEF222" s="18"/>
      <c r="AEG222" s="18"/>
      <c r="AEH222" s="18"/>
      <c r="AEI222" s="18"/>
      <c r="AEJ222" s="18"/>
      <c r="AEK222" s="18"/>
      <c r="AEL222" s="18"/>
      <c r="AEM222" s="18"/>
      <c r="AEN222" s="18"/>
      <c r="AEO222" s="18"/>
      <c r="AEP222" s="18"/>
      <c r="AEQ222" s="18"/>
      <c r="AER222" s="18"/>
      <c r="AES222" s="18"/>
      <c r="AET222" s="18"/>
      <c r="AEU222" s="18"/>
      <c r="AEV222" s="18"/>
      <c r="AEW222" s="18"/>
      <c r="AEX222" s="18"/>
      <c r="AEY222" s="18"/>
      <c r="AEZ222" s="18"/>
      <c r="AFA222" s="18"/>
      <c r="AFB222" s="18"/>
      <c r="AFC222" s="18"/>
      <c r="AFD222" s="18"/>
      <c r="AFE222" s="18"/>
      <c r="AFF222" s="18"/>
      <c r="AFG222" s="18"/>
      <c r="AFH222" s="18"/>
      <c r="AFI222" s="18"/>
      <c r="AFJ222" s="18"/>
      <c r="AFK222" s="18"/>
      <c r="AFL222" s="18"/>
      <c r="AFM222" s="18"/>
      <c r="AFN222" s="18"/>
      <c r="AFO222" s="18"/>
      <c r="AFP222" s="18"/>
      <c r="AFQ222" s="18"/>
      <c r="AFR222" s="18"/>
      <c r="AFS222" s="18"/>
      <c r="AFT222" s="18"/>
      <c r="AFU222" s="18"/>
      <c r="AFV222" s="18"/>
      <c r="AFW222" s="18"/>
      <c r="AFX222" s="18"/>
      <c r="AFY222" s="18"/>
      <c r="AFZ222" s="18"/>
      <c r="AGA222" s="18"/>
      <c r="AGB222" s="18"/>
      <c r="AGC222" s="18"/>
      <c r="AGD222" s="18"/>
      <c r="AGE222" s="18"/>
      <c r="AGF222" s="18"/>
      <c r="AGG222" s="18"/>
      <c r="AGH222" s="18"/>
      <c r="AGI222" s="18"/>
      <c r="AGJ222" s="18"/>
      <c r="AGK222" s="18"/>
      <c r="AGL222" s="18"/>
      <c r="AGM222" s="18"/>
      <c r="AGN222" s="18"/>
      <c r="AGO222" s="18"/>
      <c r="AGP222" s="18"/>
      <c r="AGQ222" s="18"/>
      <c r="AGR222" s="18"/>
      <c r="AGS222" s="18"/>
      <c r="AGT222" s="18"/>
      <c r="AGU222" s="18"/>
      <c r="AGV222" s="18"/>
      <c r="AGW222" s="18"/>
      <c r="AGX222" s="18"/>
      <c r="AGY222" s="18"/>
      <c r="AGZ222" s="18"/>
      <c r="AHA222" s="18"/>
      <c r="AHB222" s="18"/>
      <c r="AHC222" s="18"/>
      <c r="AHD222" s="18"/>
      <c r="AHE222" s="18"/>
      <c r="AHF222" s="18"/>
      <c r="AHG222" s="18"/>
      <c r="AHH222" s="18"/>
      <c r="AHI222" s="18"/>
      <c r="AHJ222" s="18"/>
      <c r="AHK222" s="18"/>
      <c r="AHL222" s="18"/>
      <c r="AHM222" s="18"/>
      <c r="AHN222" s="18"/>
      <c r="AHO222" s="18"/>
      <c r="AHP222" s="18"/>
      <c r="AHQ222" s="18"/>
      <c r="AHR222" s="18"/>
      <c r="AHS222" s="18"/>
      <c r="AHT222" s="18"/>
      <c r="AHU222" s="18"/>
      <c r="AHV222" s="18"/>
      <c r="AHW222" s="18"/>
      <c r="AHX222" s="18"/>
      <c r="AHY222" s="18"/>
      <c r="AHZ222" s="18"/>
      <c r="AIA222" s="18"/>
      <c r="AIB222" s="18"/>
      <c r="AIC222" s="18"/>
      <c r="AID222" s="18"/>
      <c r="AIE222" s="18"/>
      <c r="AIF222" s="18"/>
      <c r="AIG222" s="18"/>
      <c r="AIH222" s="18"/>
      <c r="AII222" s="18"/>
      <c r="AIJ222" s="18"/>
      <c r="AIK222" s="18"/>
      <c r="AIL222" s="18"/>
      <c r="AIM222" s="18"/>
      <c r="AIN222" s="18"/>
      <c r="AIO222" s="18"/>
      <c r="AIP222" s="18"/>
      <c r="AIQ222" s="18"/>
      <c r="AIR222" s="18"/>
      <c r="AIS222" s="18"/>
      <c r="AIT222" s="18"/>
      <c r="AIU222" s="18"/>
      <c r="AIV222" s="18"/>
      <c r="AIW222" s="18"/>
      <c r="AIX222" s="18"/>
      <c r="AIY222" s="18"/>
      <c r="AIZ222" s="18"/>
      <c r="AJA222" s="18"/>
      <c r="AJB222" s="18"/>
      <c r="AJC222" s="18"/>
      <c r="AJD222" s="18"/>
      <c r="AJE222" s="18"/>
      <c r="AJF222" s="18"/>
      <c r="AJG222" s="18"/>
      <c r="AJH222" s="18"/>
      <c r="AJI222" s="18"/>
      <c r="AJJ222" s="18"/>
      <c r="AJK222" s="18"/>
      <c r="AJL222" s="18"/>
      <c r="AJM222" s="18"/>
      <c r="AJN222" s="18"/>
      <c r="AJO222" s="18"/>
      <c r="AJP222" s="18"/>
      <c r="AJQ222" s="18"/>
      <c r="AJR222" s="18"/>
      <c r="AJS222" s="18"/>
      <c r="AJT222" s="18"/>
      <c r="AJU222" s="18"/>
      <c r="AJV222" s="18"/>
      <c r="AJW222" s="18"/>
      <c r="AJX222" s="18"/>
      <c r="AJY222" s="18"/>
      <c r="AJZ222" s="18"/>
      <c r="AKA222" s="18"/>
      <c r="AKB222" s="18"/>
      <c r="AKC222" s="18"/>
      <c r="AKD222" s="18"/>
      <c r="AKE222" s="18"/>
      <c r="AKF222" s="18"/>
      <c r="AKG222" s="18"/>
      <c r="AKH222" s="18"/>
      <c r="AKI222" s="18"/>
      <c r="AKJ222" s="18"/>
      <c r="AKK222" s="18"/>
      <c r="AKL222" s="18"/>
      <c r="AKM222" s="18"/>
      <c r="AKN222" s="18"/>
      <c r="AKO222" s="18"/>
      <c r="AKP222" s="18"/>
      <c r="AKQ222" s="18"/>
      <c r="AKR222" s="18"/>
      <c r="AKS222" s="18"/>
      <c r="AKT222" s="18"/>
      <c r="AKU222" s="18"/>
      <c r="AKV222" s="18"/>
      <c r="AKW222" s="18"/>
      <c r="AKX222" s="18"/>
      <c r="AKY222" s="18"/>
      <c r="AKZ222" s="18"/>
      <c r="ALA222" s="18"/>
      <c r="ALB222" s="18"/>
      <c r="ALC222" s="18"/>
      <c r="ALD222" s="18"/>
      <c r="ALE222" s="18"/>
      <c r="ALF222" s="18"/>
      <c r="ALG222" s="18"/>
      <c r="ALH222" s="18"/>
      <c r="ALI222" s="18"/>
      <c r="ALJ222" s="18"/>
      <c r="ALK222" s="18"/>
      <c r="ALL222" s="18"/>
      <c r="ALM222" s="18"/>
      <c r="ALN222" s="18"/>
      <c r="ALO222" s="18"/>
      <c r="ALP222" s="18"/>
      <c r="ALQ222" s="18"/>
      <c r="ALR222" s="18"/>
      <c r="ALS222" s="18"/>
      <c r="ALT222" s="18"/>
      <c r="ALU222" s="18"/>
      <c r="ALV222" s="18"/>
      <c r="ALW222" s="18"/>
      <c r="ALX222" s="18"/>
      <c r="ALY222" s="18"/>
      <c r="ALZ222" s="18"/>
      <c r="AMA222" s="18"/>
      <c r="AMB222" s="18"/>
      <c r="AMC222" s="18"/>
      <c r="AMD222" s="18"/>
      <c r="AME222" s="18"/>
      <c r="AMF222" s="18"/>
      <c r="AMG222" s="18"/>
      <c r="AMH222" s="18"/>
      <c r="AMI222" s="18"/>
      <c r="AMJ222" s="18"/>
      <c r="AMK222" s="18"/>
      <c r="AML222" s="18"/>
      <c r="AMM222" s="18"/>
      <c r="AMN222" s="18"/>
      <c r="AMO222" s="18"/>
      <c r="AMP222" s="18"/>
      <c r="AMQ222" s="18"/>
      <c r="AMR222" s="18"/>
      <c r="AMS222" s="18"/>
      <c r="AMT222" s="18"/>
      <c r="AMU222" s="18"/>
      <c r="AMV222" s="18"/>
      <c r="AMW222" s="18"/>
      <c r="AMX222" s="18"/>
      <c r="AMY222" s="18"/>
      <c r="AMZ222" s="18"/>
      <c r="ANA222" s="18"/>
      <c r="ANB222" s="18"/>
      <c r="ANC222" s="18"/>
      <c r="AND222" s="18"/>
      <c r="ANE222" s="18"/>
      <c r="ANF222" s="18"/>
      <c r="ANG222" s="18"/>
      <c r="ANH222" s="18"/>
      <c r="ANI222" s="18"/>
      <c r="ANJ222" s="18"/>
      <c r="ANK222" s="18"/>
      <c r="ANL222" s="18"/>
      <c r="ANM222" s="18"/>
      <c r="ANN222" s="18"/>
      <c r="ANO222" s="18"/>
      <c r="ANP222" s="18"/>
      <c r="ANQ222" s="18"/>
      <c r="ANR222" s="18"/>
      <c r="ANS222" s="18"/>
      <c r="ANT222" s="18"/>
      <c r="ANU222" s="18"/>
      <c r="ANV222" s="18"/>
      <c r="ANW222" s="18"/>
      <c r="ANX222" s="18"/>
      <c r="ANY222" s="18"/>
      <c r="ANZ222" s="18"/>
      <c r="AOA222" s="18"/>
      <c r="AOB222" s="18"/>
      <c r="AOC222" s="18"/>
      <c r="AOD222" s="18"/>
      <c r="AOE222" s="18"/>
      <c r="AOF222" s="18"/>
      <c r="AOG222" s="18"/>
      <c r="AOH222" s="18"/>
      <c r="AOI222" s="18"/>
      <c r="AOJ222" s="18"/>
      <c r="AOK222" s="18"/>
      <c r="AOL222" s="18"/>
      <c r="AOM222" s="18"/>
      <c r="AON222" s="18"/>
      <c r="AOO222" s="18"/>
      <c r="AOP222" s="18"/>
      <c r="AOQ222" s="18"/>
      <c r="AOR222" s="18"/>
      <c r="AOS222" s="18"/>
      <c r="AOT222" s="18"/>
      <c r="AOU222" s="18"/>
      <c r="AOV222" s="18"/>
      <c r="AOW222" s="18"/>
      <c r="AOX222" s="18"/>
      <c r="AOY222" s="18"/>
      <c r="AOZ222" s="18"/>
      <c r="APA222" s="18"/>
      <c r="APB222" s="18"/>
      <c r="APC222" s="18"/>
      <c r="APD222" s="18"/>
      <c r="APE222" s="18"/>
      <c r="APF222" s="18"/>
      <c r="APG222" s="18"/>
      <c r="APH222" s="18"/>
      <c r="API222" s="18"/>
      <c r="APJ222" s="18"/>
      <c r="APK222" s="18"/>
      <c r="APL222" s="18"/>
      <c r="APM222" s="18"/>
      <c r="APN222" s="18"/>
      <c r="APO222" s="18"/>
      <c r="APP222" s="18"/>
      <c r="APQ222" s="18"/>
      <c r="APR222" s="18"/>
      <c r="APS222" s="18"/>
      <c r="APT222" s="18"/>
      <c r="APU222" s="18"/>
      <c r="APV222" s="18"/>
      <c r="APW222" s="18"/>
      <c r="APX222" s="18"/>
      <c r="APY222" s="18"/>
      <c r="APZ222" s="18"/>
      <c r="AQA222" s="18"/>
      <c r="AQB222" s="18"/>
      <c r="AQC222" s="18"/>
      <c r="AQD222" s="18"/>
      <c r="AQE222" s="18"/>
      <c r="AQF222" s="18"/>
      <c r="AQG222" s="18"/>
      <c r="AQH222" s="18"/>
      <c r="AQI222" s="18"/>
      <c r="AQJ222" s="18"/>
      <c r="AQK222" s="18"/>
      <c r="AQL222" s="18"/>
      <c r="AQM222" s="18"/>
      <c r="AQN222" s="18"/>
      <c r="AQO222" s="18"/>
      <c r="AQP222" s="18"/>
      <c r="AQQ222" s="18"/>
      <c r="AQR222" s="18"/>
      <c r="AQS222" s="18"/>
      <c r="AQT222" s="18"/>
      <c r="AQU222" s="18"/>
      <c r="AQV222" s="18"/>
      <c r="AQW222" s="18"/>
      <c r="AQX222" s="18"/>
      <c r="AQY222" s="18"/>
      <c r="AQZ222" s="18"/>
      <c r="ARA222" s="18"/>
      <c r="ARB222" s="18"/>
      <c r="ARC222" s="18"/>
      <c r="ARD222" s="18"/>
      <c r="ARE222" s="18"/>
      <c r="ARF222" s="18"/>
      <c r="ARG222" s="18"/>
      <c r="ARH222" s="18"/>
      <c r="ARI222" s="18"/>
      <c r="ARJ222" s="18"/>
      <c r="ARK222" s="18"/>
      <c r="ARL222" s="18"/>
      <c r="ARM222" s="18"/>
      <c r="ARN222" s="18"/>
      <c r="ARO222" s="18"/>
      <c r="ARP222" s="18"/>
      <c r="ARQ222" s="18"/>
      <c r="ARR222" s="18"/>
      <c r="ARS222" s="18"/>
      <c r="ART222" s="18"/>
      <c r="ARU222" s="18"/>
      <c r="ARV222" s="18"/>
      <c r="ARW222" s="18"/>
      <c r="ARX222" s="18"/>
      <c r="ARY222" s="18"/>
      <c r="ARZ222" s="18"/>
      <c r="ASA222" s="18"/>
      <c r="ASB222" s="18"/>
      <c r="ASC222" s="18"/>
      <c r="ASD222" s="18"/>
      <c r="ASE222" s="18"/>
      <c r="ASF222" s="18"/>
      <c r="ASG222" s="18"/>
      <c r="ASH222" s="18"/>
      <c r="ASI222" s="18"/>
      <c r="ASJ222" s="18"/>
      <c r="ASK222" s="18"/>
      <c r="ASL222" s="18"/>
      <c r="ASM222" s="18"/>
      <c r="ASN222" s="18"/>
      <c r="ASO222" s="18"/>
      <c r="ASP222" s="18"/>
      <c r="ASQ222" s="18"/>
      <c r="ASR222" s="18"/>
      <c r="ASS222" s="18"/>
      <c r="AST222" s="18"/>
      <c r="ASU222" s="18"/>
      <c r="ASV222" s="18"/>
      <c r="ASW222" s="18"/>
      <c r="ASX222" s="18"/>
      <c r="ASY222" s="18"/>
      <c r="ASZ222" s="18"/>
      <c r="ATA222" s="18"/>
      <c r="ATB222" s="18"/>
      <c r="ATC222" s="18"/>
      <c r="ATD222" s="18"/>
      <c r="ATE222" s="18"/>
      <c r="ATF222" s="18"/>
      <c r="ATG222" s="18"/>
      <c r="ATH222" s="18"/>
      <c r="ATI222" s="18"/>
      <c r="ATJ222" s="18"/>
      <c r="ATK222" s="18"/>
      <c r="ATL222" s="18"/>
      <c r="ATM222" s="18"/>
      <c r="ATN222" s="18"/>
      <c r="ATO222" s="18"/>
      <c r="ATP222" s="18"/>
      <c r="ATQ222" s="18"/>
      <c r="ATR222" s="18"/>
      <c r="ATS222" s="18"/>
      <c r="ATT222" s="18"/>
      <c r="ATU222" s="18"/>
      <c r="ATV222" s="18"/>
      <c r="ATW222" s="18"/>
      <c r="ATX222" s="18"/>
      <c r="ATY222" s="18"/>
      <c r="ATZ222" s="18"/>
      <c r="AUA222" s="18"/>
      <c r="AUB222" s="18"/>
      <c r="AUC222" s="18"/>
      <c r="AUD222" s="18"/>
      <c r="AUE222" s="18"/>
      <c r="AUF222" s="18"/>
      <c r="AUG222" s="18"/>
      <c r="AUH222" s="18"/>
      <c r="AUI222" s="18"/>
      <c r="AUJ222" s="18"/>
      <c r="AUK222" s="18"/>
      <c r="AUL222" s="18"/>
      <c r="AUM222" s="18"/>
      <c r="AUN222" s="18"/>
      <c r="AUO222" s="18"/>
      <c r="AUP222" s="18"/>
      <c r="AUQ222" s="18"/>
      <c r="AUR222" s="18"/>
      <c r="AUS222" s="18"/>
      <c r="AUT222" s="18"/>
      <c r="AUU222" s="18"/>
      <c r="AUV222" s="18"/>
      <c r="AUW222" s="18"/>
      <c r="AUX222" s="18"/>
      <c r="AUY222" s="18"/>
      <c r="AUZ222" s="18"/>
      <c r="AVA222" s="18"/>
      <c r="AVB222" s="18"/>
      <c r="AVC222" s="18"/>
      <c r="AVD222" s="18"/>
      <c r="AVE222" s="18"/>
      <c r="AVF222" s="18"/>
      <c r="AVG222" s="18"/>
      <c r="AVH222" s="18"/>
      <c r="AVI222" s="18"/>
      <c r="AVJ222" s="18"/>
      <c r="AVK222" s="18"/>
      <c r="AVL222" s="18"/>
      <c r="AVM222" s="18"/>
      <c r="AVN222" s="18"/>
      <c r="AVO222" s="18"/>
      <c r="AVP222" s="18"/>
      <c r="AVQ222" s="18"/>
      <c r="AVR222" s="18"/>
      <c r="AVS222" s="18"/>
      <c r="AVT222" s="18"/>
      <c r="AVU222" s="18"/>
      <c r="AVV222" s="18"/>
      <c r="AVW222" s="18"/>
      <c r="AVX222" s="18"/>
      <c r="AVY222" s="18"/>
      <c r="AVZ222" s="18"/>
      <c r="AWA222" s="18"/>
      <c r="AWB222" s="18"/>
      <c r="AWC222" s="18"/>
      <c r="AWD222" s="18"/>
      <c r="AWE222" s="18"/>
      <c r="AWF222" s="18"/>
      <c r="AWG222" s="18"/>
      <c r="AWH222" s="18"/>
      <c r="AWI222" s="18"/>
      <c r="AWJ222" s="18"/>
      <c r="AWK222" s="18"/>
      <c r="AWL222" s="18"/>
      <c r="AWM222" s="18"/>
      <c r="AWN222" s="18"/>
      <c r="AWO222" s="18"/>
      <c r="AWP222" s="18"/>
      <c r="AWQ222" s="18"/>
      <c r="AWR222" s="18"/>
      <c r="AWS222" s="18"/>
      <c r="AWT222" s="18"/>
      <c r="AWU222" s="18"/>
      <c r="AWV222" s="18"/>
      <c r="AWW222" s="18"/>
      <c r="AWX222" s="18"/>
      <c r="AWY222" s="18"/>
      <c r="AWZ222" s="18"/>
      <c r="AXA222" s="18"/>
      <c r="AXB222" s="18"/>
      <c r="AXC222" s="18"/>
      <c r="AXD222" s="18"/>
      <c r="AXE222" s="18"/>
      <c r="AXF222" s="18"/>
      <c r="AXG222" s="18"/>
      <c r="AXH222" s="18"/>
      <c r="AXI222" s="18"/>
      <c r="AXJ222" s="18"/>
      <c r="AXK222" s="18"/>
      <c r="AXL222" s="18"/>
      <c r="AXM222" s="18"/>
      <c r="AXN222" s="18"/>
      <c r="AXO222" s="18"/>
      <c r="AXP222" s="18"/>
      <c r="AXQ222" s="18"/>
      <c r="AXR222" s="18"/>
      <c r="AXS222" s="18"/>
      <c r="AXT222" s="18"/>
      <c r="AXU222" s="18"/>
      <c r="AXV222" s="18"/>
      <c r="AXW222" s="18"/>
      <c r="AXX222" s="18"/>
      <c r="AXY222" s="18"/>
      <c r="AXZ222" s="18"/>
      <c r="AYA222" s="18"/>
      <c r="AYB222" s="18"/>
      <c r="AYC222" s="18"/>
      <c r="AYD222" s="18"/>
      <c r="AYE222" s="18"/>
      <c r="AYF222" s="18"/>
      <c r="AYG222" s="18"/>
      <c r="AYH222" s="18"/>
      <c r="AYI222" s="18"/>
      <c r="AYJ222" s="18"/>
      <c r="AYK222" s="18"/>
      <c r="AYL222" s="18"/>
      <c r="AYM222" s="18"/>
      <c r="AYN222" s="18"/>
      <c r="AYO222" s="18"/>
      <c r="AYP222" s="18"/>
      <c r="AYQ222" s="18"/>
      <c r="AYR222" s="18"/>
      <c r="AYS222" s="18"/>
      <c r="AYT222" s="18"/>
      <c r="AYU222" s="18"/>
      <c r="AYV222" s="18"/>
      <c r="AYW222" s="18"/>
      <c r="AYX222" s="18"/>
      <c r="AYY222" s="18"/>
      <c r="AYZ222" s="18"/>
      <c r="AZA222" s="18"/>
      <c r="AZB222" s="18"/>
      <c r="AZC222" s="18"/>
      <c r="AZD222" s="18"/>
      <c r="AZE222" s="18"/>
      <c r="AZF222" s="18"/>
      <c r="AZG222" s="18"/>
      <c r="AZH222" s="18"/>
      <c r="AZI222" s="18"/>
      <c r="AZJ222" s="18"/>
      <c r="AZK222" s="18"/>
      <c r="AZL222" s="18"/>
      <c r="AZM222" s="18"/>
      <c r="AZN222" s="18"/>
      <c r="AZO222" s="18"/>
      <c r="AZP222" s="18"/>
      <c r="AZQ222" s="18"/>
      <c r="AZR222" s="18"/>
      <c r="AZS222" s="18"/>
      <c r="AZT222" s="18"/>
      <c r="AZU222" s="18"/>
      <c r="AZV222" s="18"/>
      <c r="AZW222" s="18"/>
      <c r="AZX222" s="18"/>
      <c r="AZY222" s="18"/>
      <c r="AZZ222" s="18"/>
      <c r="BAA222" s="18"/>
      <c r="BAB222" s="18"/>
      <c r="BAC222" s="18"/>
      <c r="BAD222" s="18"/>
      <c r="BAE222" s="18"/>
      <c r="BAF222" s="18"/>
      <c r="BAG222" s="18"/>
      <c r="BAH222" s="18"/>
      <c r="BAI222" s="18"/>
      <c r="BAJ222" s="18"/>
      <c r="BAK222" s="18"/>
      <c r="BAL222" s="18"/>
      <c r="BAM222" s="18"/>
      <c r="BAN222" s="18"/>
      <c r="BAO222" s="18"/>
      <c r="BAP222" s="18"/>
      <c r="BAQ222" s="18"/>
      <c r="BAR222" s="18"/>
      <c r="BAS222" s="18"/>
      <c r="BAT222" s="18"/>
      <c r="BAU222" s="18"/>
      <c r="BAV222" s="18"/>
      <c r="BAW222" s="18"/>
      <c r="BAX222" s="18"/>
      <c r="BAY222" s="18"/>
      <c r="BAZ222" s="18"/>
      <c r="BBA222" s="18"/>
      <c r="BBB222" s="18"/>
      <c r="BBC222" s="18"/>
      <c r="BBD222" s="18"/>
      <c r="BBE222" s="18"/>
      <c r="BBF222" s="18"/>
      <c r="BBG222" s="18"/>
      <c r="BBH222" s="18"/>
      <c r="BBI222" s="18"/>
      <c r="BBJ222" s="18"/>
      <c r="BBK222" s="18"/>
      <c r="BBL222" s="18"/>
      <c r="BBM222" s="18"/>
      <c r="BBN222" s="18"/>
      <c r="BBO222" s="18"/>
      <c r="BBP222" s="18"/>
      <c r="BBQ222" s="18"/>
      <c r="BBR222" s="18"/>
      <c r="BBS222" s="18"/>
      <c r="BBT222" s="18"/>
      <c r="BBU222" s="18"/>
      <c r="BBV222" s="18"/>
      <c r="BBW222" s="18"/>
      <c r="BBX222" s="18"/>
      <c r="BBY222" s="18"/>
      <c r="BBZ222" s="18"/>
      <c r="BCA222" s="18"/>
      <c r="BCB222" s="18"/>
      <c r="BCC222" s="18"/>
      <c r="BCD222" s="18"/>
      <c r="BCE222" s="18"/>
      <c r="BCF222" s="18"/>
      <c r="BCG222" s="18"/>
      <c r="BCH222" s="18"/>
      <c r="BCI222" s="18"/>
      <c r="BCJ222" s="18"/>
      <c r="BCK222" s="18"/>
      <c r="BCL222" s="18"/>
      <c r="BCM222" s="18"/>
      <c r="BCN222" s="18"/>
      <c r="BCO222" s="18"/>
      <c r="BCP222" s="18"/>
      <c r="BCQ222" s="18"/>
      <c r="BCR222" s="18"/>
      <c r="BCS222" s="18"/>
      <c r="BCT222" s="18"/>
      <c r="BCU222" s="18"/>
      <c r="BCV222" s="18"/>
      <c r="BCW222" s="18"/>
      <c r="BCX222" s="18"/>
      <c r="BCY222" s="18"/>
      <c r="BCZ222" s="18"/>
      <c r="BDA222" s="18"/>
      <c r="BDB222" s="18"/>
      <c r="BDC222" s="18"/>
      <c r="BDD222" s="18"/>
      <c r="BDE222" s="18"/>
      <c r="BDF222" s="18"/>
      <c r="BDG222" s="18"/>
      <c r="BDH222" s="18"/>
      <c r="BDI222" s="18"/>
      <c r="BDJ222" s="18"/>
      <c r="BDK222" s="18"/>
      <c r="BDL222" s="18"/>
      <c r="BDM222" s="18"/>
      <c r="BDN222" s="18"/>
      <c r="BDO222" s="18"/>
      <c r="BDP222" s="18"/>
      <c r="BDQ222" s="18"/>
      <c r="BDR222" s="18"/>
      <c r="BDS222" s="18"/>
      <c r="BDT222" s="18"/>
      <c r="BDU222" s="18"/>
      <c r="BDV222" s="18"/>
      <c r="BDW222" s="18"/>
      <c r="BDX222" s="18"/>
      <c r="BDY222" s="18"/>
      <c r="BDZ222" s="18"/>
      <c r="BEA222" s="18"/>
      <c r="BEB222" s="18"/>
      <c r="BEC222" s="18"/>
      <c r="BED222" s="18"/>
      <c r="BEE222" s="18"/>
      <c r="BEF222" s="18"/>
      <c r="BEG222" s="18"/>
      <c r="BEH222" s="18"/>
      <c r="BEI222" s="18"/>
      <c r="BEJ222" s="18"/>
      <c r="BEK222" s="18"/>
      <c r="BEL222" s="18"/>
      <c r="BEM222" s="18"/>
      <c r="BEN222" s="18"/>
      <c r="BEO222" s="18"/>
      <c r="BEP222" s="18"/>
      <c r="BEQ222" s="18"/>
      <c r="BER222" s="18"/>
      <c r="BES222" s="18"/>
      <c r="BET222" s="18"/>
      <c r="BEU222" s="18"/>
      <c r="BEV222" s="18"/>
      <c r="BEW222" s="18"/>
      <c r="BEX222" s="18"/>
      <c r="BEY222" s="18"/>
      <c r="BEZ222" s="18"/>
      <c r="BFA222" s="18"/>
      <c r="BFB222" s="18"/>
      <c r="BFC222" s="18"/>
      <c r="BFD222" s="18"/>
      <c r="BFE222" s="18"/>
      <c r="BFF222" s="18"/>
      <c r="BFG222" s="18"/>
      <c r="BFH222" s="18"/>
      <c r="BFI222" s="18"/>
      <c r="BFJ222" s="18"/>
      <c r="BFK222" s="18"/>
      <c r="BFL222" s="18"/>
      <c r="BFM222" s="18"/>
      <c r="BFN222" s="18"/>
      <c r="BFO222" s="18"/>
      <c r="BFP222" s="18"/>
      <c r="BFQ222" s="18"/>
      <c r="BFR222" s="18"/>
      <c r="BFS222" s="18"/>
      <c r="BFT222" s="18"/>
      <c r="BFU222" s="18"/>
      <c r="BFV222" s="18"/>
      <c r="BFW222" s="18"/>
      <c r="BFX222" s="18"/>
      <c r="BFY222" s="18"/>
      <c r="BFZ222" s="18"/>
      <c r="BGA222" s="18"/>
      <c r="BGB222" s="18"/>
      <c r="BGC222" s="18"/>
      <c r="BGD222" s="18"/>
      <c r="BGE222" s="18"/>
      <c r="BGF222" s="18"/>
      <c r="BGG222" s="18"/>
      <c r="BGH222" s="18"/>
      <c r="BGI222" s="18"/>
      <c r="BGJ222" s="18"/>
      <c r="BGK222" s="18"/>
      <c r="BGL222" s="18"/>
      <c r="BGM222" s="18"/>
      <c r="BGN222" s="18"/>
      <c r="BGO222" s="18"/>
      <c r="BGP222" s="18"/>
      <c r="BGQ222" s="18"/>
      <c r="BGR222" s="18"/>
      <c r="BGS222" s="18"/>
      <c r="BGT222" s="18"/>
      <c r="BGU222" s="18"/>
      <c r="BGV222" s="18"/>
      <c r="BGW222" s="18"/>
      <c r="BGX222" s="18"/>
      <c r="BGY222" s="18"/>
      <c r="BGZ222" s="18"/>
      <c r="BHA222" s="18"/>
      <c r="BHB222" s="18"/>
      <c r="BHC222" s="18"/>
      <c r="BHD222" s="18"/>
      <c r="BHE222" s="18"/>
      <c r="BHF222" s="18"/>
      <c r="BHG222" s="18"/>
      <c r="BHH222" s="18"/>
      <c r="BHI222" s="18"/>
      <c r="BHJ222" s="18"/>
      <c r="BHK222" s="18"/>
      <c r="BHL222" s="18"/>
      <c r="BHM222" s="18"/>
      <c r="BHN222" s="18"/>
      <c r="BHO222" s="18"/>
      <c r="BHP222" s="18"/>
      <c r="BHQ222" s="18"/>
      <c r="BHR222" s="18"/>
      <c r="BHS222" s="18"/>
      <c r="BHT222" s="18"/>
      <c r="BHU222" s="18"/>
      <c r="BHV222" s="18"/>
      <c r="BHW222" s="18"/>
      <c r="BHX222" s="18"/>
      <c r="BHY222" s="18"/>
      <c r="BHZ222" s="18"/>
      <c r="BIA222" s="18"/>
      <c r="BIB222" s="18"/>
      <c r="BIC222" s="18"/>
      <c r="BID222" s="18"/>
      <c r="BIE222" s="18"/>
      <c r="BIF222" s="18"/>
      <c r="BIG222" s="18"/>
      <c r="BIH222" s="18"/>
      <c r="BII222" s="18"/>
      <c r="BIJ222" s="18"/>
      <c r="BIK222" s="18"/>
      <c r="BIL222" s="18"/>
      <c r="BIM222" s="18"/>
      <c r="BIN222" s="18"/>
      <c r="BIO222" s="18"/>
      <c r="BIP222" s="18"/>
      <c r="BIQ222" s="18"/>
      <c r="BIR222" s="18"/>
      <c r="BIS222" s="18"/>
      <c r="BIT222" s="18"/>
      <c r="BIU222" s="18"/>
      <c r="BIV222" s="18"/>
      <c r="BIW222" s="18"/>
      <c r="BIX222" s="18"/>
      <c r="BIY222" s="18"/>
      <c r="BIZ222" s="18"/>
      <c r="BJA222" s="18"/>
      <c r="BJB222" s="18"/>
      <c r="BJC222" s="18"/>
      <c r="BJD222" s="18"/>
      <c r="BJE222" s="18"/>
      <c r="BJF222" s="18"/>
      <c r="BJG222" s="18"/>
      <c r="BJH222" s="18"/>
      <c r="BJI222" s="18"/>
      <c r="BJJ222" s="18"/>
      <c r="BJK222" s="18"/>
      <c r="BJL222" s="18"/>
      <c r="BJM222" s="18"/>
      <c r="BJN222" s="18"/>
      <c r="BJO222" s="18"/>
      <c r="BJP222" s="18"/>
      <c r="BJQ222" s="18"/>
      <c r="BJR222" s="18"/>
      <c r="BJS222" s="18"/>
      <c r="BJT222" s="18"/>
      <c r="BJU222" s="18"/>
      <c r="BJV222" s="18"/>
      <c r="BJW222" s="18"/>
      <c r="BJX222" s="18"/>
      <c r="BJY222" s="18"/>
      <c r="BJZ222" s="18"/>
      <c r="BKA222" s="18"/>
      <c r="BKB222" s="18"/>
      <c r="BKC222" s="18"/>
      <c r="BKD222" s="18"/>
      <c r="BKE222" s="18"/>
      <c r="BKF222" s="18"/>
      <c r="BKG222" s="18"/>
      <c r="BKH222" s="18"/>
      <c r="BKI222" s="18"/>
      <c r="BKJ222" s="18"/>
      <c r="BKK222" s="18"/>
      <c r="BKL222" s="18"/>
      <c r="BKM222" s="18"/>
      <c r="BKN222" s="18"/>
      <c r="BKO222" s="18"/>
      <c r="BKP222" s="18"/>
      <c r="BKQ222" s="18"/>
      <c r="BKR222" s="18"/>
      <c r="BKS222" s="18"/>
      <c r="BKT222" s="18"/>
      <c r="BKU222" s="18"/>
      <c r="BKV222" s="18"/>
      <c r="BKW222" s="18"/>
      <c r="BKX222" s="18"/>
      <c r="BKY222" s="18"/>
      <c r="BKZ222" s="18"/>
      <c r="BLA222" s="18"/>
      <c r="BLB222" s="18"/>
      <c r="BLC222" s="18"/>
      <c r="BLD222" s="18"/>
      <c r="BLE222" s="18"/>
      <c r="BLF222" s="18"/>
      <c r="BLG222" s="18"/>
      <c r="BLH222" s="18"/>
      <c r="BLI222" s="18"/>
      <c r="BLJ222" s="18"/>
      <c r="BLK222" s="18"/>
      <c r="BLL222" s="18"/>
      <c r="BLM222" s="18"/>
      <c r="BLN222" s="18"/>
      <c r="BLO222" s="18"/>
      <c r="BLP222" s="18"/>
      <c r="BLQ222" s="18"/>
      <c r="BLR222" s="18"/>
      <c r="BLS222" s="18"/>
      <c r="BLT222" s="18"/>
      <c r="BLU222" s="18"/>
      <c r="BLV222" s="18"/>
      <c r="BLW222" s="18"/>
      <c r="BLX222" s="18"/>
      <c r="BLY222" s="18"/>
      <c r="BLZ222" s="18"/>
      <c r="BMA222" s="18"/>
      <c r="BMB222" s="18"/>
      <c r="BMC222" s="18"/>
      <c r="BMD222" s="18"/>
      <c r="BME222" s="18"/>
      <c r="BMF222" s="18"/>
      <c r="BMG222" s="18"/>
      <c r="BMH222" s="18"/>
      <c r="BMI222" s="18"/>
      <c r="BMJ222" s="18"/>
      <c r="BMK222" s="18"/>
      <c r="BML222" s="18"/>
      <c r="BMM222" s="18"/>
      <c r="BMN222" s="18"/>
      <c r="BMO222" s="18"/>
      <c r="BMP222" s="18"/>
      <c r="BMQ222" s="18"/>
      <c r="BMR222" s="18"/>
      <c r="BMS222" s="18"/>
      <c r="BMT222" s="18"/>
      <c r="BMU222" s="18"/>
      <c r="BMV222" s="18"/>
      <c r="BMW222" s="18"/>
      <c r="BMX222" s="18"/>
      <c r="BMY222" s="18"/>
      <c r="BMZ222" s="18"/>
      <c r="BNA222" s="18"/>
      <c r="BNB222" s="18"/>
      <c r="BNC222" s="18"/>
      <c r="BND222" s="18"/>
      <c r="BNE222" s="18"/>
      <c r="BNF222" s="18"/>
      <c r="BNG222" s="18"/>
      <c r="BNH222" s="18"/>
      <c r="BNI222" s="18"/>
      <c r="BNJ222" s="18"/>
      <c r="BNK222" s="18"/>
      <c r="BNL222" s="18"/>
      <c r="BNM222" s="18"/>
      <c r="BNN222" s="18"/>
      <c r="BNO222" s="18"/>
      <c r="BNP222" s="18"/>
      <c r="BNQ222" s="18"/>
      <c r="BNR222" s="18"/>
      <c r="BNS222" s="18"/>
      <c r="BNT222" s="18"/>
      <c r="BNU222" s="18"/>
      <c r="BNV222" s="18"/>
      <c r="BNW222" s="18"/>
      <c r="BNX222" s="18"/>
      <c r="BNY222" s="18"/>
      <c r="BNZ222" s="18"/>
      <c r="BOA222" s="18"/>
      <c r="BOB222" s="18"/>
      <c r="BOC222" s="18"/>
      <c r="BOD222" s="18"/>
      <c r="BOE222" s="18"/>
      <c r="BOF222" s="18"/>
      <c r="BOG222" s="18"/>
      <c r="BOH222" s="18"/>
      <c r="BOI222" s="18"/>
      <c r="BOJ222" s="18"/>
      <c r="BOK222" s="18"/>
      <c r="BOL222" s="18"/>
      <c r="BOM222" s="18"/>
      <c r="BON222" s="18"/>
      <c r="BOO222" s="18"/>
      <c r="BOP222" s="18"/>
      <c r="BOQ222" s="18"/>
      <c r="BOR222" s="18"/>
      <c r="BOS222" s="18"/>
      <c r="BOT222" s="18"/>
      <c r="BOU222" s="18"/>
      <c r="BOV222" s="18"/>
      <c r="BOW222" s="18"/>
      <c r="BOX222" s="18"/>
      <c r="BOY222" s="18"/>
      <c r="BOZ222" s="18"/>
      <c r="BPA222" s="18"/>
      <c r="BPB222" s="18"/>
      <c r="BPC222" s="18"/>
      <c r="BPD222" s="18"/>
      <c r="BPE222" s="18"/>
      <c r="BPF222" s="18"/>
      <c r="BPG222" s="18"/>
      <c r="BPH222" s="18"/>
      <c r="BPI222" s="18"/>
      <c r="BPJ222" s="18"/>
      <c r="BPK222" s="18"/>
      <c r="BPL222" s="18"/>
      <c r="BPM222" s="18"/>
      <c r="BPN222" s="18"/>
      <c r="BPO222" s="18"/>
      <c r="BPP222" s="18"/>
      <c r="BPQ222" s="18"/>
      <c r="BPR222" s="18"/>
      <c r="BPS222" s="18"/>
      <c r="BPT222" s="18"/>
      <c r="BPU222" s="18"/>
      <c r="BPV222" s="18"/>
      <c r="BPW222" s="18"/>
      <c r="BPX222" s="18"/>
      <c r="BPY222" s="18"/>
      <c r="BPZ222" s="18"/>
      <c r="BQA222" s="18"/>
      <c r="BQB222" s="18"/>
      <c r="BQC222" s="18"/>
      <c r="BQD222" s="18"/>
      <c r="BQE222" s="18"/>
      <c r="BQF222" s="18"/>
      <c r="BQG222" s="18"/>
      <c r="BQH222" s="18"/>
      <c r="BQI222" s="18"/>
      <c r="BQJ222" s="18"/>
      <c r="BQK222" s="18"/>
      <c r="BQL222" s="18"/>
      <c r="BQM222" s="18"/>
      <c r="BQN222" s="18"/>
      <c r="BQO222" s="18"/>
      <c r="BQP222" s="18"/>
      <c r="BQQ222" s="18"/>
      <c r="BQR222" s="18"/>
      <c r="BQS222" s="18"/>
      <c r="BQT222" s="18"/>
      <c r="BQU222" s="18"/>
      <c r="BQV222" s="18"/>
      <c r="BQW222" s="18"/>
      <c r="BQX222" s="18"/>
      <c r="BQY222" s="18"/>
      <c r="BQZ222" s="18"/>
      <c r="BRA222" s="18"/>
      <c r="BRB222" s="18"/>
      <c r="BRC222" s="18"/>
      <c r="BRD222" s="18"/>
      <c r="BRE222" s="18"/>
      <c r="BRF222" s="18"/>
      <c r="BRG222" s="18"/>
      <c r="BRH222" s="18"/>
      <c r="BRI222" s="18"/>
      <c r="BRJ222" s="18"/>
      <c r="BRK222" s="18"/>
      <c r="BRL222" s="18"/>
      <c r="BRM222" s="18"/>
      <c r="BRN222" s="18"/>
      <c r="BRO222" s="18"/>
      <c r="BRP222" s="18"/>
      <c r="BRQ222" s="18"/>
      <c r="BRR222" s="18"/>
      <c r="BRS222" s="18"/>
      <c r="BRT222" s="18"/>
      <c r="BRU222" s="18"/>
      <c r="BRV222" s="18"/>
      <c r="BRW222" s="18"/>
      <c r="BRX222" s="18"/>
      <c r="BRY222" s="18"/>
      <c r="BRZ222" s="18"/>
      <c r="BSA222" s="18"/>
      <c r="BSB222" s="18"/>
      <c r="BSC222" s="18"/>
      <c r="BSD222" s="18"/>
      <c r="BSE222" s="18"/>
      <c r="BSF222" s="18"/>
      <c r="BSG222" s="18"/>
      <c r="BSH222" s="18"/>
      <c r="BSI222" s="18"/>
      <c r="BSJ222" s="18"/>
      <c r="BSK222" s="18"/>
      <c r="BSL222" s="18"/>
      <c r="BSM222" s="18"/>
      <c r="BSN222" s="18"/>
      <c r="BSO222" s="18"/>
      <c r="BSP222" s="18"/>
      <c r="BSQ222" s="18"/>
      <c r="BSR222" s="18"/>
      <c r="BSS222" s="18"/>
      <c r="BST222" s="18"/>
      <c r="BSU222" s="18"/>
      <c r="BSV222" s="18"/>
      <c r="BSW222" s="18"/>
      <c r="BSX222" s="18"/>
      <c r="BSY222" s="18"/>
      <c r="BSZ222" s="18"/>
      <c r="BTA222" s="18"/>
      <c r="BTB222" s="18"/>
      <c r="BTC222" s="18"/>
      <c r="BTD222" s="18"/>
      <c r="BTE222" s="18"/>
      <c r="BTF222" s="18"/>
      <c r="BTG222" s="18"/>
      <c r="BTH222" s="18"/>
    </row>
    <row r="223" spans="1:1880" s="396" customFormat="1" ht="78.75" customHeight="1" x14ac:dyDescent="0.3">
      <c r="A223" s="98">
        <v>602</v>
      </c>
      <c r="B223" s="345" t="s">
        <v>58</v>
      </c>
      <c r="C223" s="345" t="s">
        <v>263</v>
      </c>
      <c r="D223" s="97" t="s">
        <v>320</v>
      </c>
      <c r="E223" s="343" t="e">
        <f>INDEX('PY1 Data(H)'!$A$1:$CZ$260,MATCH('Unit Data from Audit Worksheet'!$A223,'PY1 Data(H)'!$A$1:$A$260,0),MATCH('Unit Data from Audit Worksheet'!$D$2,'PY1 Data(H)'!$A$1:$CZ$1,0))</f>
        <v>#N/A</v>
      </c>
      <c r="F223" s="182">
        <v>0</v>
      </c>
      <c r="G223" s="399" t="str">
        <f>IF(ISBLANK(F223),"Please do not leave blank","")</f>
        <v/>
      </c>
      <c r="H223" s="874">
        <f>IF(F223&lt;0,"Note: Number is normally positive.",)</f>
        <v>0</v>
      </c>
      <c r="I223" s="859"/>
      <c r="J223" s="173"/>
      <c r="K223" s="551"/>
      <c r="L223"/>
      <c r="M223" s="18"/>
      <c r="N223" s="183"/>
      <c r="O223" s="18"/>
      <c r="P223" s="18"/>
      <c r="Q223" s="18"/>
      <c r="R223" s="18"/>
      <c r="S223" s="18"/>
      <c r="T223" s="18"/>
      <c r="U223" s="18"/>
      <c r="V223" s="18"/>
      <c r="W223" s="18"/>
      <c r="X223" s="18"/>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c r="IW223" s="18"/>
      <c r="IX223" s="18"/>
      <c r="IY223" s="18"/>
      <c r="IZ223" s="18"/>
      <c r="JA223" s="18"/>
      <c r="JB223" s="18"/>
      <c r="JC223" s="18"/>
      <c r="JD223" s="18"/>
      <c r="JE223" s="18"/>
      <c r="JF223" s="18"/>
      <c r="JG223" s="18"/>
      <c r="JH223" s="18"/>
      <c r="JI223" s="18"/>
      <c r="JJ223" s="18"/>
      <c r="JK223" s="18"/>
      <c r="JL223" s="18"/>
      <c r="JM223" s="18"/>
      <c r="JN223" s="18"/>
      <c r="JO223" s="18"/>
      <c r="JP223" s="18"/>
      <c r="JQ223" s="18"/>
      <c r="JR223" s="18"/>
      <c r="JS223" s="18"/>
      <c r="JT223" s="18"/>
      <c r="JU223" s="18"/>
      <c r="JV223" s="18"/>
      <c r="JW223" s="18"/>
      <c r="JX223" s="18"/>
      <c r="JY223" s="18"/>
      <c r="JZ223" s="18"/>
      <c r="KA223" s="18"/>
      <c r="KB223" s="18"/>
      <c r="KC223" s="18"/>
      <c r="KD223" s="18"/>
      <c r="KE223" s="18"/>
      <c r="KF223" s="18"/>
      <c r="KG223" s="18"/>
      <c r="KH223" s="18"/>
      <c r="KI223" s="18"/>
      <c r="KJ223" s="18"/>
      <c r="KK223" s="18"/>
      <c r="KL223" s="18"/>
      <c r="KM223" s="18"/>
      <c r="KN223" s="18"/>
      <c r="KO223" s="18"/>
      <c r="KP223" s="18"/>
      <c r="KQ223" s="18"/>
      <c r="KR223" s="18"/>
      <c r="KS223" s="18"/>
      <c r="KT223" s="18"/>
      <c r="KU223" s="18"/>
      <c r="KV223" s="18"/>
      <c r="KW223" s="18"/>
      <c r="KX223" s="18"/>
      <c r="KY223" s="18"/>
      <c r="KZ223" s="18"/>
      <c r="LA223" s="18"/>
      <c r="LB223" s="18"/>
      <c r="LC223" s="18"/>
      <c r="LD223" s="18"/>
      <c r="LE223" s="18"/>
      <c r="LF223" s="18"/>
      <c r="LG223" s="18"/>
      <c r="LH223" s="18"/>
      <c r="LI223" s="18"/>
      <c r="LJ223" s="18"/>
      <c r="LK223" s="18"/>
      <c r="LL223" s="18"/>
      <c r="LM223" s="18"/>
      <c r="LN223" s="18"/>
      <c r="LO223" s="18"/>
      <c r="LP223" s="18"/>
      <c r="LQ223" s="18"/>
      <c r="LR223" s="18"/>
      <c r="LS223" s="18"/>
      <c r="LT223" s="18"/>
      <c r="LU223" s="18"/>
      <c r="LV223" s="18"/>
      <c r="LW223" s="18"/>
      <c r="LX223" s="18"/>
      <c r="LY223" s="18"/>
      <c r="LZ223" s="18"/>
      <c r="MA223" s="18"/>
      <c r="MB223" s="18"/>
      <c r="MC223" s="18"/>
      <c r="MD223" s="18"/>
      <c r="ME223" s="18"/>
      <c r="MF223" s="18"/>
      <c r="MG223" s="18"/>
      <c r="MH223" s="18"/>
      <c r="MI223" s="18"/>
      <c r="MJ223" s="18"/>
      <c r="MK223" s="18"/>
      <c r="ML223" s="18"/>
      <c r="MM223" s="18"/>
      <c r="MN223" s="18"/>
      <c r="MO223" s="18"/>
      <c r="MP223" s="18"/>
      <c r="MQ223" s="18"/>
      <c r="MR223" s="18"/>
      <c r="MS223" s="18"/>
      <c r="MT223" s="18"/>
      <c r="MU223" s="18"/>
      <c r="MV223" s="18"/>
      <c r="MW223" s="18"/>
      <c r="MX223" s="18"/>
      <c r="MY223" s="18"/>
      <c r="MZ223" s="18"/>
      <c r="NA223" s="18"/>
      <c r="NB223" s="18"/>
      <c r="NC223" s="18"/>
      <c r="ND223" s="18"/>
      <c r="NE223" s="18"/>
      <c r="NF223" s="18"/>
      <c r="NG223" s="18"/>
      <c r="NH223" s="18"/>
      <c r="NI223" s="18"/>
      <c r="NJ223" s="18"/>
      <c r="NK223" s="18"/>
      <c r="NL223" s="18"/>
      <c r="NM223" s="18"/>
      <c r="NN223" s="18"/>
      <c r="NO223" s="18"/>
      <c r="NP223" s="18"/>
      <c r="NQ223" s="18"/>
      <c r="NR223" s="18"/>
      <c r="NS223" s="18"/>
      <c r="NT223" s="18"/>
      <c r="NU223" s="18"/>
      <c r="NV223" s="18"/>
      <c r="NW223" s="18"/>
      <c r="NX223" s="18"/>
      <c r="NY223" s="18"/>
      <c r="NZ223" s="18"/>
      <c r="OA223" s="18"/>
      <c r="OB223" s="18"/>
      <c r="OC223" s="18"/>
      <c r="OD223" s="18"/>
      <c r="OE223" s="18"/>
      <c r="OF223" s="18"/>
      <c r="OG223" s="18"/>
      <c r="OH223" s="18"/>
      <c r="OI223" s="18"/>
      <c r="OJ223" s="18"/>
      <c r="OK223" s="18"/>
      <c r="OL223" s="18"/>
      <c r="OM223" s="18"/>
      <c r="ON223" s="18"/>
      <c r="OO223" s="18"/>
      <c r="OP223" s="18"/>
      <c r="OQ223" s="18"/>
      <c r="OR223" s="18"/>
      <c r="OS223" s="18"/>
      <c r="OT223" s="18"/>
      <c r="OU223" s="18"/>
      <c r="OV223" s="18"/>
      <c r="OW223" s="18"/>
      <c r="OX223" s="18"/>
      <c r="OY223" s="18"/>
      <c r="OZ223" s="18"/>
      <c r="PA223" s="18"/>
      <c r="PB223" s="18"/>
      <c r="PC223" s="18"/>
      <c r="PD223" s="18"/>
      <c r="PE223" s="18"/>
      <c r="PF223" s="18"/>
      <c r="PG223" s="18"/>
      <c r="PH223" s="18"/>
      <c r="PI223" s="18"/>
      <c r="PJ223" s="18"/>
      <c r="PK223" s="18"/>
      <c r="PL223" s="18"/>
      <c r="PM223" s="18"/>
      <c r="PN223" s="18"/>
      <c r="PO223" s="18"/>
      <c r="PP223" s="18"/>
      <c r="PQ223" s="18"/>
      <c r="PR223" s="18"/>
      <c r="PS223" s="18"/>
      <c r="PT223" s="18"/>
      <c r="PU223" s="18"/>
      <c r="PV223" s="18"/>
      <c r="PW223" s="18"/>
      <c r="PX223" s="18"/>
      <c r="PY223" s="18"/>
      <c r="PZ223" s="18"/>
      <c r="QA223" s="18"/>
      <c r="QB223" s="18"/>
      <c r="QC223" s="18"/>
      <c r="QD223" s="18"/>
      <c r="QE223" s="18"/>
      <c r="QF223" s="18"/>
      <c r="QG223" s="18"/>
      <c r="QH223" s="18"/>
      <c r="QI223" s="18"/>
      <c r="QJ223" s="18"/>
      <c r="QK223" s="18"/>
      <c r="QL223" s="18"/>
      <c r="QM223" s="18"/>
      <c r="QN223" s="18"/>
      <c r="QO223" s="18"/>
      <c r="QP223" s="18"/>
      <c r="QQ223" s="18"/>
      <c r="QR223" s="18"/>
      <c r="QS223" s="18"/>
      <c r="QT223" s="18"/>
      <c r="QU223" s="18"/>
      <c r="QV223" s="18"/>
      <c r="QW223" s="18"/>
      <c r="QX223" s="18"/>
      <c r="QY223" s="18"/>
      <c r="QZ223" s="18"/>
      <c r="RA223" s="18"/>
      <c r="RB223" s="18"/>
      <c r="RC223" s="18"/>
      <c r="RD223" s="18"/>
      <c r="RE223" s="18"/>
      <c r="RF223" s="18"/>
      <c r="RG223" s="18"/>
      <c r="RH223" s="18"/>
      <c r="RI223" s="18"/>
      <c r="RJ223" s="18"/>
      <c r="RK223" s="18"/>
      <c r="RL223" s="18"/>
      <c r="RM223" s="18"/>
      <c r="RN223" s="18"/>
      <c r="RO223" s="18"/>
      <c r="RP223" s="18"/>
      <c r="RQ223" s="18"/>
      <c r="RR223" s="18"/>
      <c r="RS223" s="18"/>
      <c r="RT223" s="18"/>
      <c r="RU223" s="18"/>
      <c r="RV223" s="18"/>
      <c r="RW223" s="18"/>
      <c r="RX223" s="18"/>
      <c r="RY223" s="18"/>
      <c r="RZ223" s="18"/>
      <c r="SA223" s="18"/>
      <c r="SB223" s="18"/>
      <c r="SC223" s="18"/>
      <c r="SD223" s="18"/>
      <c r="SE223" s="18"/>
      <c r="SF223" s="18"/>
      <c r="SG223" s="18"/>
      <c r="SH223" s="18"/>
      <c r="SI223" s="18"/>
      <c r="SJ223" s="18"/>
      <c r="SK223" s="18"/>
      <c r="SL223" s="18"/>
      <c r="SM223" s="18"/>
      <c r="SN223" s="18"/>
      <c r="SO223" s="18"/>
      <c r="SP223" s="18"/>
      <c r="SQ223" s="18"/>
      <c r="SR223" s="18"/>
      <c r="SS223" s="18"/>
      <c r="ST223" s="18"/>
      <c r="SU223" s="18"/>
      <c r="SV223" s="18"/>
      <c r="SW223" s="18"/>
      <c r="SX223" s="18"/>
      <c r="SY223" s="18"/>
      <c r="SZ223" s="18"/>
      <c r="TA223" s="18"/>
      <c r="TB223" s="18"/>
      <c r="TC223" s="18"/>
      <c r="TD223" s="18"/>
      <c r="TE223" s="18"/>
      <c r="TF223" s="18"/>
      <c r="TG223" s="18"/>
      <c r="TH223" s="18"/>
      <c r="TI223" s="18"/>
      <c r="TJ223" s="18"/>
      <c r="TK223" s="18"/>
      <c r="TL223" s="18"/>
      <c r="TM223" s="18"/>
      <c r="TN223" s="18"/>
      <c r="TO223" s="18"/>
      <c r="TP223" s="18"/>
      <c r="TQ223" s="18"/>
      <c r="TR223" s="18"/>
      <c r="TS223" s="18"/>
      <c r="TT223" s="18"/>
      <c r="TU223" s="18"/>
      <c r="TV223" s="18"/>
      <c r="TW223" s="18"/>
      <c r="TX223" s="18"/>
      <c r="TY223" s="18"/>
      <c r="TZ223" s="18"/>
      <c r="UA223" s="18"/>
      <c r="UB223" s="18"/>
      <c r="UC223" s="18"/>
      <c r="UD223" s="18"/>
      <c r="UE223" s="18"/>
      <c r="UF223" s="18"/>
      <c r="UG223" s="18"/>
      <c r="UH223" s="18"/>
      <c r="UI223" s="18"/>
      <c r="UJ223" s="18"/>
      <c r="UK223" s="18"/>
      <c r="UL223" s="18"/>
      <c r="UM223" s="18"/>
      <c r="UN223" s="18"/>
      <c r="UO223" s="18"/>
      <c r="UP223" s="18"/>
      <c r="UQ223" s="18"/>
      <c r="UR223" s="18"/>
      <c r="US223" s="18"/>
      <c r="UT223" s="18"/>
      <c r="UU223" s="18"/>
      <c r="UV223" s="18"/>
      <c r="UW223" s="18"/>
      <c r="UX223" s="18"/>
      <c r="UY223" s="18"/>
      <c r="UZ223" s="18"/>
      <c r="VA223" s="18"/>
      <c r="VB223" s="18"/>
      <c r="VC223" s="18"/>
      <c r="VD223" s="18"/>
      <c r="VE223" s="18"/>
      <c r="VF223" s="18"/>
      <c r="VG223" s="18"/>
      <c r="VH223" s="18"/>
      <c r="VI223" s="18"/>
      <c r="VJ223" s="18"/>
      <c r="VK223" s="18"/>
      <c r="VL223" s="18"/>
      <c r="VM223" s="18"/>
      <c r="VN223" s="18"/>
      <c r="VO223" s="18"/>
      <c r="VP223" s="18"/>
      <c r="VQ223" s="18"/>
      <c r="VR223" s="18"/>
      <c r="VS223" s="18"/>
      <c r="VT223" s="18"/>
      <c r="VU223" s="18"/>
      <c r="VV223" s="18"/>
      <c r="VW223" s="18"/>
      <c r="VX223" s="18"/>
      <c r="VY223" s="18"/>
      <c r="VZ223" s="18"/>
      <c r="WA223" s="18"/>
      <c r="WB223" s="18"/>
      <c r="WC223" s="18"/>
      <c r="WD223" s="18"/>
      <c r="WE223" s="18"/>
      <c r="WF223" s="18"/>
      <c r="WG223" s="18"/>
      <c r="WH223" s="18"/>
      <c r="WI223" s="18"/>
      <c r="WJ223" s="18"/>
      <c r="WK223" s="18"/>
      <c r="WL223" s="18"/>
      <c r="WM223" s="18"/>
      <c r="WN223" s="18"/>
      <c r="WO223" s="18"/>
      <c r="WP223" s="18"/>
      <c r="WQ223" s="18"/>
      <c r="WR223" s="18"/>
      <c r="WS223" s="18"/>
      <c r="WT223" s="18"/>
      <c r="WU223" s="18"/>
      <c r="WV223" s="18"/>
      <c r="WW223" s="18"/>
      <c r="WX223" s="18"/>
      <c r="WY223" s="18"/>
      <c r="WZ223" s="18"/>
      <c r="XA223" s="18"/>
      <c r="XB223" s="18"/>
      <c r="XC223" s="18"/>
      <c r="XD223" s="18"/>
      <c r="XE223" s="18"/>
      <c r="XF223" s="18"/>
      <c r="XG223" s="18"/>
      <c r="XH223" s="18"/>
      <c r="XI223" s="18"/>
      <c r="XJ223" s="18"/>
      <c r="XK223" s="18"/>
      <c r="XL223" s="18"/>
      <c r="XM223" s="18"/>
      <c r="XN223" s="18"/>
      <c r="XO223" s="18"/>
      <c r="XP223" s="18"/>
      <c r="XQ223" s="18"/>
      <c r="XR223" s="18"/>
      <c r="XS223" s="18"/>
      <c r="XT223" s="18"/>
      <c r="XU223" s="18"/>
      <c r="XV223" s="18"/>
      <c r="XW223" s="18"/>
      <c r="XX223" s="18"/>
      <c r="XY223" s="18"/>
      <c r="XZ223" s="18"/>
      <c r="YA223" s="18"/>
      <c r="YB223" s="18"/>
      <c r="YC223" s="18"/>
      <c r="YD223" s="18"/>
      <c r="YE223" s="18"/>
      <c r="YF223" s="18"/>
      <c r="YG223" s="18"/>
      <c r="YH223" s="18"/>
      <c r="YI223" s="18"/>
      <c r="YJ223" s="18"/>
      <c r="YK223" s="18"/>
      <c r="YL223" s="18"/>
      <c r="YM223" s="18"/>
      <c r="YN223" s="18"/>
      <c r="YO223" s="18"/>
      <c r="YP223" s="18"/>
      <c r="YQ223" s="18"/>
      <c r="YR223" s="18"/>
      <c r="YS223" s="18"/>
      <c r="YT223" s="18"/>
      <c r="YU223" s="18"/>
      <c r="YV223" s="18"/>
      <c r="YW223" s="18"/>
      <c r="YX223" s="18"/>
      <c r="YY223" s="18"/>
      <c r="YZ223" s="18"/>
      <c r="ZA223" s="18"/>
      <c r="ZB223" s="18"/>
      <c r="ZC223" s="18"/>
      <c r="ZD223" s="18"/>
      <c r="ZE223" s="18"/>
      <c r="ZF223" s="18"/>
      <c r="ZG223" s="18"/>
      <c r="ZH223" s="18"/>
      <c r="ZI223" s="18"/>
      <c r="ZJ223" s="18"/>
      <c r="ZK223" s="18"/>
      <c r="ZL223" s="18"/>
      <c r="ZM223" s="18"/>
      <c r="ZN223" s="18"/>
      <c r="ZO223" s="18"/>
      <c r="ZP223" s="18"/>
      <c r="ZQ223" s="18"/>
      <c r="ZR223" s="18"/>
      <c r="ZS223" s="18"/>
      <c r="ZT223" s="18"/>
      <c r="ZU223" s="18"/>
      <c r="ZV223" s="18"/>
      <c r="ZW223" s="18"/>
      <c r="ZX223" s="18"/>
      <c r="ZY223" s="18"/>
      <c r="ZZ223" s="18"/>
      <c r="AAA223" s="18"/>
      <c r="AAB223" s="18"/>
      <c r="AAC223" s="18"/>
      <c r="AAD223" s="18"/>
      <c r="AAE223" s="18"/>
      <c r="AAF223" s="18"/>
      <c r="AAG223" s="18"/>
      <c r="AAH223" s="18"/>
      <c r="AAI223" s="18"/>
      <c r="AAJ223" s="18"/>
      <c r="AAK223" s="18"/>
      <c r="AAL223" s="18"/>
      <c r="AAM223" s="18"/>
      <c r="AAN223" s="18"/>
      <c r="AAO223" s="18"/>
      <c r="AAP223" s="18"/>
      <c r="AAQ223" s="18"/>
      <c r="AAR223" s="18"/>
      <c r="AAS223" s="18"/>
      <c r="AAT223" s="18"/>
      <c r="AAU223" s="18"/>
      <c r="AAV223" s="18"/>
      <c r="AAW223" s="18"/>
      <c r="AAX223" s="18"/>
      <c r="AAY223" s="18"/>
      <c r="AAZ223" s="18"/>
      <c r="ABA223" s="18"/>
      <c r="ABB223" s="18"/>
      <c r="ABC223" s="18"/>
      <c r="ABD223" s="18"/>
      <c r="ABE223" s="18"/>
      <c r="ABF223" s="18"/>
      <c r="ABG223" s="18"/>
      <c r="ABH223" s="18"/>
      <c r="ABI223" s="18"/>
      <c r="ABJ223" s="18"/>
      <c r="ABK223" s="18"/>
      <c r="ABL223" s="18"/>
      <c r="ABM223" s="18"/>
      <c r="ABN223" s="18"/>
      <c r="ABO223" s="18"/>
      <c r="ABP223" s="18"/>
      <c r="ABQ223" s="18"/>
      <c r="ABR223" s="18"/>
      <c r="ABS223" s="18"/>
      <c r="ABT223" s="18"/>
      <c r="ABU223" s="18"/>
      <c r="ABV223" s="18"/>
      <c r="ABW223" s="18"/>
      <c r="ABX223" s="18"/>
      <c r="ABY223" s="18"/>
      <c r="ABZ223" s="18"/>
      <c r="ACA223" s="18"/>
      <c r="ACB223" s="18"/>
      <c r="ACC223" s="18"/>
      <c r="ACD223" s="18"/>
      <c r="ACE223" s="18"/>
      <c r="ACF223" s="18"/>
      <c r="ACG223" s="18"/>
      <c r="ACH223" s="18"/>
      <c r="ACI223" s="18"/>
      <c r="ACJ223" s="18"/>
      <c r="ACK223" s="18"/>
      <c r="ACL223" s="18"/>
      <c r="ACM223" s="18"/>
      <c r="ACN223" s="18"/>
      <c r="ACO223" s="18"/>
      <c r="ACP223" s="18"/>
      <c r="ACQ223" s="18"/>
      <c r="ACR223" s="18"/>
      <c r="ACS223" s="18"/>
      <c r="ACT223" s="18"/>
      <c r="ACU223" s="18"/>
      <c r="ACV223" s="18"/>
      <c r="ACW223" s="18"/>
      <c r="ACX223" s="18"/>
      <c r="ACY223" s="18"/>
      <c r="ACZ223" s="18"/>
      <c r="ADA223" s="18"/>
      <c r="ADB223" s="18"/>
      <c r="ADC223" s="18"/>
      <c r="ADD223" s="18"/>
      <c r="ADE223" s="18"/>
      <c r="ADF223" s="18"/>
      <c r="ADG223" s="18"/>
      <c r="ADH223" s="18"/>
      <c r="ADI223" s="18"/>
      <c r="ADJ223" s="18"/>
      <c r="ADK223" s="18"/>
      <c r="ADL223" s="18"/>
      <c r="ADM223" s="18"/>
      <c r="ADN223" s="18"/>
      <c r="ADO223" s="18"/>
      <c r="ADP223" s="18"/>
      <c r="ADQ223" s="18"/>
      <c r="ADR223" s="18"/>
      <c r="ADS223" s="18"/>
      <c r="ADT223" s="18"/>
      <c r="ADU223" s="18"/>
      <c r="ADV223" s="18"/>
      <c r="ADW223" s="18"/>
      <c r="ADX223" s="18"/>
      <c r="ADY223" s="18"/>
      <c r="ADZ223" s="18"/>
      <c r="AEA223" s="18"/>
      <c r="AEB223" s="18"/>
      <c r="AEC223" s="18"/>
      <c r="AED223" s="18"/>
      <c r="AEE223" s="18"/>
      <c r="AEF223" s="18"/>
      <c r="AEG223" s="18"/>
      <c r="AEH223" s="18"/>
      <c r="AEI223" s="18"/>
      <c r="AEJ223" s="18"/>
      <c r="AEK223" s="18"/>
      <c r="AEL223" s="18"/>
      <c r="AEM223" s="18"/>
      <c r="AEN223" s="18"/>
      <c r="AEO223" s="18"/>
      <c r="AEP223" s="18"/>
      <c r="AEQ223" s="18"/>
      <c r="AER223" s="18"/>
      <c r="AES223" s="18"/>
      <c r="AET223" s="18"/>
      <c r="AEU223" s="18"/>
      <c r="AEV223" s="18"/>
      <c r="AEW223" s="18"/>
      <c r="AEX223" s="18"/>
      <c r="AEY223" s="18"/>
      <c r="AEZ223" s="18"/>
      <c r="AFA223" s="18"/>
      <c r="AFB223" s="18"/>
      <c r="AFC223" s="18"/>
      <c r="AFD223" s="18"/>
      <c r="AFE223" s="18"/>
      <c r="AFF223" s="18"/>
      <c r="AFG223" s="18"/>
      <c r="AFH223" s="18"/>
      <c r="AFI223" s="18"/>
      <c r="AFJ223" s="18"/>
      <c r="AFK223" s="18"/>
      <c r="AFL223" s="18"/>
      <c r="AFM223" s="18"/>
      <c r="AFN223" s="18"/>
      <c r="AFO223" s="18"/>
      <c r="AFP223" s="18"/>
      <c r="AFQ223" s="18"/>
      <c r="AFR223" s="18"/>
      <c r="AFS223" s="18"/>
      <c r="AFT223" s="18"/>
      <c r="AFU223" s="18"/>
      <c r="AFV223" s="18"/>
      <c r="AFW223" s="18"/>
      <c r="AFX223" s="18"/>
      <c r="AFY223" s="18"/>
      <c r="AFZ223" s="18"/>
      <c r="AGA223" s="18"/>
      <c r="AGB223" s="18"/>
      <c r="AGC223" s="18"/>
      <c r="AGD223" s="18"/>
      <c r="AGE223" s="18"/>
      <c r="AGF223" s="18"/>
      <c r="AGG223" s="18"/>
      <c r="AGH223" s="18"/>
      <c r="AGI223" s="18"/>
      <c r="AGJ223" s="18"/>
      <c r="AGK223" s="18"/>
      <c r="AGL223" s="18"/>
      <c r="AGM223" s="18"/>
      <c r="AGN223" s="18"/>
      <c r="AGO223" s="18"/>
      <c r="AGP223" s="18"/>
      <c r="AGQ223" s="18"/>
      <c r="AGR223" s="18"/>
      <c r="AGS223" s="18"/>
      <c r="AGT223" s="18"/>
      <c r="AGU223" s="18"/>
      <c r="AGV223" s="18"/>
      <c r="AGW223" s="18"/>
      <c r="AGX223" s="18"/>
      <c r="AGY223" s="18"/>
      <c r="AGZ223" s="18"/>
      <c r="AHA223" s="18"/>
      <c r="AHB223" s="18"/>
      <c r="AHC223" s="18"/>
      <c r="AHD223" s="18"/>
      <c r="AHE223" s="18"/>
      <c r="AHF223" s="18"/>
      <c r="AHG223" s="18"/>
      <c r="AHH223" s="18"/>
      <c r="AHI223" s="18"/>
      <c r="AHJ223" s="18"/>
      <c r="AHK223" s="18"/>
      <c r="AHL223" s="18"/>
      <c r="AHM223" s="18"/>
      <c r="AHN223" s="18"/>
      <c r="AHO223" s="18"/>
      <c r="AHP223" s="18"/>
      <c r="AHQ223" s="18"/>
      <c r="AHR223" s="18"/>
      <c r="AHS223" s="18"/>
      <c r="AHT223" s="18"/>
      <c r="AHU223" s="18"/>
      <c r="AHV223" s="18"/>
      <c r="AHW223" s="18"/>
      <c r="AHX223" s="18"/>
      <c r="AHY223" s="18"/>
      <c r="AHZ223" s="18"/>
      <c r="AIA223" s="18"/>
      <c r="AIB223" s="18"/>
      <c r="AIC223" s="18"/>
      <c r="AID223" s="18"/>
      <c r="AIE223" s="18"/>
      <c r="AIF223" s="18"/>
      <c r="AIG223" s="18"/>
      <c r="AIH223" s="18"/>
      <c r="AII223" s="18"/>
      <c r="AIJ223" s="18"/>
      <c r="AIK223" s="18"/>
      <c r="AIL223" s="18"/>
      <c r="AIM223" s="18"/>
      <c r="AIN223" s="18"/>
      <c r="AIO223" s="18"/>
      <c r="AIP223" s="18"/>
      <c r="AIQ223" s="18"/>
      <c r="AIR223" s="18"/>
      <c r="AIS223" s="18"/>
      <c r="AIT223" s="18"/>
      <c r="AIU223" s="18"/>
      <c r="AIV223" s="18"/>
      <c r="AIW223" s="18"/>
      <c r="AIX223" s="18"/>
      <c r="AIY223" s="18"/>
      <c r="AIZ223" s="18"/>
      <c r="AJA223" s="18"/>
      <c r="AJB223" s="18"/>
      <c r="AJC223" s="18"/>
      <c r="AJD223" s="18"/>
      <c r="AJE223" s="18"/>
      <c r="AJF223" s="18"/>
      <c r="AJG223" s="18"/>
      <c r="AJH223" s="18"/>
      <c r="AJI223" s="18"/>
      <c r="AJJ223" s="18"/>
      <c r="AJK223" s="18"/>
      <c r="AJL223" s="18"/>
      <c r="AJM223" s="18"/>
      <c r="AJN223" s="18"/>
      <c r="AJO223" s="18"/>
      <c r="AJP223" s="18"/>
      <c r="AJQ223" s="18"/>
      <c r="AJR223" s="18"/>
      <c r="AJS223" s="18"/>
      <c r="AJT223" s="18"/>
      <c r="AJU223" s="18"/>
      <c r="AJV223" s="18"/>
      <c r="AJW223" s="18"/>
      <c r="AJX223" s="18"/>
      <c r="AJY223" s="18"/>
      <c r="AJZ223" s="18"/>
      <c r="AKA223" s="18"/>
      <c r="AKB223" s="18"/>
      <c r="AKC223" s="18"/>
      <c r="AKD223" s="18"/>
      <c r="AKE223" s="18"/>
      <c r="AKF223" s="18"/>
      <c r="AKG223" s="18"/>
      <c r="AKH223" s="18"/>
      <c r="AKI223" s="18"/>
      <c r="AKJ223" s="18"/>
      <c r="AKK223" s="18"/>
      <c r="AKL223" s="18"/>
      <c r="AKM223" s="18"/>
      <c r="AKN223" s="18"/>
      <c r="AKO223" s="18"/>
      <c r="AKP223" s="18"/>
      <c r="AKQ223" s="18"/>
      <c r="AKR223" s="18"/>
      <c r="AKS223" s="18"/>
      <c r="AKT223" s="18"/>
      <c r="AKU223" s="18"/>
      <c r="AKV223" s="18"/>
      <c r="AKW223" s="18"/>
      <c r="AKX223" s="18"/>
      <c r="AKY223" s="18"/>
      <c r="AKZ223" s="18"/>
      <c r="ALA223" s="18"/>
      <c r="ALB223" s="18"/>
      <c r="ALC223" s="18"/>
      <c r="ALD223" s="18"/>
      <c r="ALE223" s="18"/>
      <c r="ALF223" s="18"/>
      <c r="ALG223" s="18"/>
      <c r="ALH223" s="18"/>
      <c r="ALI223" s="18"/>
      <c r="ALJ223" s="18"/>
      <c r="ALK223" s="18"/>
      <c r="ALL223" s="18"/>
      <c r="ALM223" s="18"/>
      <c r="ALN223" s="18"/>
      <c r="ALO223" s="18"/>
      <c r="ALP223" s="18"/>
      <c r="ALQ223" s="18"/>
      <c r="ALR223" s="18"/>
      <c r="ALS223" s="18"/>
      <c r="ALT223" s="18"/>
      <c r="ALU223" s="18"/>
      <c r="ALV223" s="18"/>
      <c r="ALW223" s="18"/>
      <c r="ALX223" s="18"/>
      <c r="ALY223" s="18"/>
      <c r="ALZ223" s="18"/>
      <c r="AMA223" s="18"/>
      <c r="AMB223" s="18"/>
      <c r="AMC223" s="18"/>
      <c r="AMD223" s="18"/>
      <c r="AME223" s="18"/>
      <c r="AMF223" s="18"/>
      <c r="AMG223" s="18"/>
      <c r="AMH223" s="18"/>
      <c r="AMI223" s="18"/>
      <c r="AMJ223" s="18"/>
      <c r="AMK223" s="18"/>
      <c r="AML223" s="18"/>
      <c r="AMM223" s="18"/>
      <c r="AMN223" s="18"/>
      <c r="AMO223" s="18"/>
      <c r="AMP223" s="18"/>
      <c r="AMQ223" s="18"/>
      <c r="AMR223" s="18"/>
      <c r="AMS223" s="18"/>
      <c r="AMT223" s="18"/>
      <c r="AMU223" s="18"/>
      <c r="AMV223" s="18"/>
      <c r="AMW223" s="18"/>
      <c r="AMX223" s="18"/>
      <c r="AMY223" s="18"/>
      <c r="AMZ223" s="18"/>
      <c r="ANA223" s="18"/>
      <c r="ANB223" s="18"/>
      <c r="ANC223" s="18"/>
      <c r="AND223" s="18"/>
      <c r="ANE223" s="18"/>
      <c r="ANF223" s="18"/>
      <c r="ANG223" s="18"/>
      <c r="ANH223" s="18"/>
      <c r="ANI223" s="18"/>
      <c r="ANJ223" s="18"/>
      <c r="ANK223" s="18"/>
      <c r="ANL223" s="18"/>
      <c r="ANM223" s="18"/>
      <c r="ANN223" s="18"/>
      <c r="ANO223" s="18"/>
      <c r="ANP223" s="18"/>
      <c r="ANQ223" s="18"/>
      <c r="ANR223" s="18"/>
      <c r="ANS223" s="18"/>
      <c r="ANT223" s="18"/>
      <c r="ANU223" s="18"/>
      <c r="ANV223" s="18"/>
      <c r="ANW223" s="18"/>
      <c r="ANX223" s="18"/>
      <c r="ANY223" s="18"/>
      <c r="ANZ223" s="18"/>
      <c r="AOA223" s="18"/>
      <c r="AOB223" s="18"/>
      <c r="AOC223" s="18"/>
      <c r="AOD223" s="18"/>
      <c r="AOE223" s="18"/>
      <c r="AOF223" s="18"/>
      <c r="AOG223" s="18"/>
      <c r="AOH223" s="18"/>
      <c r="AOI223" s="18"/>
      <c r="AOJ223" s="18"/>
      <c r="AOK223" s="18"/>
      <c r="AOL223" s="18"/>
      <c r="AOM223" s="18"/>
      <c r="AON223" s="18"/>
      <c r="AOO223" s="18"/>
      <c r="AOP223" s="18"/>
      <c r="AOQ223" s="18"/>
      <c r="AOR223" s="18"/>
      <c r="AOS223" s="18"/>
      <c r="AOT223" s="18"/>
      <c r="AOU223" s="18"/>
      <c r="AOV223" s="18"/>
      <c r="AOW223" s="18"/>
      <c r="AOX223" s="18"/>
      <c r="AOY223" s="18"/>
      <c r="AOZ223" s="18"/>
      <c r="APA223" s="18"/>
      <c r="APB223" s="18"/>
      <c r="APC223" s="18"/>
      <c r="APD223" s="18"/>
      <c r="APE223" s="18"/>
      <c r="APF223" s="18"/>
      <c r="APG223" s="18"/>
      <c r="APH223" s="18"/>
      <c r="API223" s="18"/>
      <c r="APJ223" s="18"/>
      <c r="APK223" s="18"/>
      <c r="APL223" s="18"/>
      <c r="APM223" s="18"/>
      <c r="APN223" s="18"/>
      <c r="APO223" s="18"/>
      <c r="APP223" s="18"/>
      <c r="APQ223" s="18"/>
      <c r="APR223" s="18"/>
      <c r="APS223" s="18"/>
      <c r="APT223" s="18"/>
      <c r="APU223" s="18"/>
      <c r="APV223" s="18"/>
      <c r="APW223" s="18"/>
      <c r="APX223" s="18"/>
      <c r="APY223" s="18"/>
      <c r="APZ223" s="18"/>
      <c r="AQA223" s="18"/>
      <c r="AQB223" s="18"/>
      <c r="AQC223" s="18"/>
      <c r="AQD223" s="18"/>
      <c r="AQE223" s="18"/>
      <c r="AQF223" s="18"/>
      <c r="AQG223" s="18"/>
      <c r="AQH223" s="18"/>
      <c r="AQI223" s="18"/>
      <c r="AQJ223" s="18"/>
      <c r="AQK223" s="18"/>
      <c r="AQL223" s="18"/>
      <c r="AQM223" s="18"/>
      <c r="AQN223" s="18"/>
      <c r="AQO223" s="18"/>
      <c r="AQP223" s="18"/>
      <c r="AQQ223" s="18"/>
      <c r="AQR223" s="18"/>
      <c r="AQS223" s="18"/>
      <c r="AQT223" s="18"/>
      <c r="AQU223" s="18"/>
      <c r="AQV223" s="18"/>
      <c r="AQW223" s="18"/>
      <c r="AQX223" s="18"/>
      <c r="AQY223" s="18"/>
      <c r="AQZ223" s="18"/>
      <c r="ARA223" s="18"/>
      <c r="ARB223" s="18"/>
      <c r="ARC223" s="18"/>
      <c r="ARD223" s="18"/>
      <c r="ARE223" s="18"/>
      <c r="ARF223" s="18"/>
      <c r="ARG223" s="18"/>
      <c r="ARH223" s="18"/>
      <c r="ARI223" s="18"/>
      <c r="ARJ223" s="18"/>
      <c r="ARK223" s="18"/>
      <c r="ARL223" s="18"/>
      <c r="ARM223" s="18"/>
      <c r="ARN223" s="18"/>
      <c r="ARO223" s="18"/>
      <c r="ARP223" s="18"/>
      <c r="ARQ223" s="18"/>
      <c r="ARR223" s="18"/>
      <c r="ARS223" s="18"/>
      <c r="ART223" s="18"/>
      <c r="ARU223" s="18"/>
      <c r="ARV223" s="18"/>
      <c r="ARW223" s="18"/>
      <c r="ARX223" s="18"/>
      <c r="ARY223" s="18"/>
      <c r="ARZ223" s="18"/>
      <c r="ASA223" s="18"/>
      <c r="ASB223" s="18"/>
      <c r="ASC223" s="18"/>
      <c r="ASD223" s="18"/>
      <c r="ASE223" s="18"/>
      <c r="ASF223" s="18"/>
      <c r="ASG223" s="18"/>
      <c r="ASH223" s="18"/>
      <c r="ASI223" s="18"/>
      <c r="ASJ223" s="18"/>
      <c r="ASK223" s="18"/>
      <c r="ASL223" s="18"/>
      <c r="ASM223" s="18"/>
      <c r="ASN223" s="18"/>
      <c r="ASO223" s="18"/>
      <c r="ASP223" s="18"/>
      <c r="ASQ223" s="18"/>
      <c r="ASR223" s="18"/>
      <c r="ASS223" s="18"/>
      <c r="AST223" s="18"/>
      <c r="ASU223" s="18"/>
      <c r="ASV223" s="18"/>
      <c r="ASW223" s="18"/>
      <c r="ASX223" s="18"/>
      <c r="ASY223" s="18"/>
      <c r="ASZ223" s="18"/>
      <c r="ATA223" s="18"/>
      <c r="ATB223" s="18"/>
      <c r="ATC223" s="18"/>
      <c r="ATD223" s="18"/>
      <c r="ATE223" s="18"/>
      <c r="ATF223" s="18"/>
      <c r="ATG223" s="18"/>
      <c r="ATH223" s="18"/>
      <c r="ATI223" s="18"/>
      <c r="ATJ223" s="18"/>
      <c r="ATK223" s="18"/>
      <c r="ATL223" s="18"/>
      <c r="ATM223" s="18"/>
      <c r="ATN223" s="18"/>
      <c r="ATO223" s="18"/>
      <c r="ATP223" s="18"/>
      <c r="ATQ223" s="18"/>
      <c r="ATR223" s="18"/>
      <c r="ATS223" s="18"/>
      <c r="ATT223" s="18"/>
      <c r="ATU223" s="18"/>
      <c r="ATV223" s="18"/>
      <c r="ATW223" s="18"/>
      <c r="ATX223" s="18"/>
      <c r="ATY223" s="18"/>
      <c r="ATZ223" s="18"/>
      <c r="AUA223" s="18"/>
      <c r="AUB223" s="18"/>
      <c r="AUC223" s="18"/>
      <c r="AUD223" s="18"/>
      <c r="AUE223" s="18"/>
      <c r="AUF223" s="18"/>
      <c r="AUG223" s="18"/>
      <c r="AUH223" s="18"/>
      <c r="AUI223" s="18"/>
      <c r="AUJ223" s="18"/>
      <c r="AUK223" s="18"/>
      <c r="AUL223" s="18"/>
      <c r="AUM223" s="18"/>
      <c r="AUN223" s="18"/>
      <c r="AUO223" s="18"/>
      <c r="AUP223" s="18"/>
      <c r="AUQ223" s="18"/>
      <c r="AUR223" s="18"/>
      <c r="AUS223" s="18"/>
      <c r="AUT223" s="18"/>
      <c r="AUU223" s="18"/>
      <c r="AUV223" s="18"/>
      <c r="AUW223" s="18"/>
      <c r="AUX223" s="18"/>
      <c r="AUY223" s="18"/>
      <c r="AUZ223" s="18"/>
      <c r="AVA223" s="18"/>
      <c r="AVB223" s="18"/>
      <c r="AVC223" s="18"/>
      <c r="AVD223" s="18"/>
      <c r="AVE223" s="18"/>
      <c r="AVF223" s="18"/>
      <c r="AVG223" s="18"/>
      <c r="AVH223" s="18"/>
      <c r="AVI223" s="18"/>
      <c r="AVJ223" s="18"/>
      <c r="AVK223" s="18"/>
      <c r="AVL223" s="18"/>
      <c r="AVM223" s="18"/>
      <c r="AVN223" s="18"/>
      <c r="AVO223" s="18"/>
      <c r="AVP223" s="18"/>
      <c r="AVQ223" s="18"/>
      <c r="AVR223" s="18"/>
      <c r="AVS223" s="18"/>
      <c r="AVT223" s="18"/>
      <c r="AVU223" s="18"/>
      <c r="AVV223" s="18"/>
      <c r="AVW223" s="18"/>
      <c r="AVX223" s="18"/>
      <c r="AVY223" s="18"/>
      <c r="AVZ223" s="18"/>
      <c r="AWA223" s="18"/>
      <c r="AWB223" s="18"/>
      <c r="AWC223" s="18"/>
      <c r="AWD223" s="18"/>
      <c r="AWE223" s="18"/>
      <c r="AWF223" s="18"/>
      <c r="AWG223" s="18"/>
      <c r="AWH223" s="18"/>
      <c r="AWI223" s="18"/>
      <c r="AWJ223" s="18"/>
      <c r="AWK223" s="18"/>
      <c r="AWL223" s="18"/>
      <c r="AWM223" s="18"/>
      <c r="AWN223" s="18"/>
      <c r="AWO223" s="18"/>
      <c r="AWP223" s="18"/>
      <c r="AWQ223" s="18"/>
      <c r="AWR223" s="18"/>
      <c r="AWS223" s="18"/>
      <c r="AWT223" s="18"/>
      <c r="AWU223" s="18"/>
      <c r="AWV223" s="18"/>
      <c r="AWW223" s="18"/>
      <c r="AWX223" s="18"/>
      <c r="AWY223" s="18"/>
      <c r="AWZ223" s="18"/>
      <c r="AXA223" s="18"/>
      <c r="AXB223" s="18"/>
      <c r="AXC223" s="18"/>
      <c r="AXD223" s="18"/>
      <c r="AXE223" s="18"/>
      <c r="AXF223" s="18"/>
      <c r="AXG223" s="18"/>
      <c r="AXH223" s="18"/>
      <c r="AXI223" s="18"/>
      <c r="AXJ223" s="18"/>
      <c r="AXK223" s="18"/>
      <c r="AXL223" s="18"/>
      <c r="AXM223" s="18"/>
      <c r="AXN223" s="18"/>
      <c r="AXO223" s="18"/>
      <c r="AXP223" s="18"/>
      <c r="AXQ223" s="18"/>
      <c r="AXR223" s="18"/>
      <c r="AXS223" s="18"/>
      <c r="AXT223" s="18"/>
      <c r="AXU223" s="18"/>
      <c r="AXV223" s="18"/>
      <c r="AXW223" s="18"/>
      <c r="AXX223" s="18"/>
      <c r="AXY223" s="18"/>
      <c r="AXZ223" s="18"/>
      <c r="AYA223" s="18"/>
      <c r="AYB223" s="18"/>
      <c r="AYC223" s="18"/>
      <c r="AYD223" s="18"/>
      <c r="AYE223" s="18"/>
      <c r="AYF223" s="18"/>
      <c r="AYG223" s="18"/>
      <c r="AYH223" s="18"/>
      <c r="AYI223" s="18"/>
      <c r="AYJ223" s="18"/>
      <c r="AYK223" s="18"/>
      <c r="AYL223" s="18"/>
      <c r="AYM223" s="18"/>
      <c r="AYN223" s="18"/>
      <c r="AYO223" s="18"/>
      <c r="AYP223" s="18"/>
      <c r="AYQ223" s="18"/>
      <c r="AYR223" s="18"/>
      <c r="AYS223" s="18"/>
      <c r="AYT223" s="18"/>
      <c r="AYU223" s="18"/>
      <c r="AYV223" s="18"/>
      <c r="AYW223" s="18"/>
      <c r="AYX223" s="18"/>
      <c r="AYY223" s="18"/>
      <c r="AYZ223" s="18"/>
      <c r="AZA223" s="18"/>
      <c r="AZB223" s="18"/>
      <c r="AZC223" s="18"/>
      <c r="AZD223" s="18"/>
      <c r="AZE223" s="18"/>
      <c r="AZF223" s="18"/>
      <c r="AZG223" s="18"/>
      <c r="AZH223" s="18"/>
      <c r="AZI223" s="18"/>
      <c r="AZJ223" s="18"/>
      <c r="AZK223" s="18"/>
      <c r="AZL223" s="18"/>
      <c r="AZM223" s="18"/>
      <c r="AZN223" s="18"/>
      <c r="AZO223" s="18"/>
      <c r="AZP223" s="18"/>
      <c r="AZQ223" s="18"/>
      <c r="AZR223" s="18"/>
      <c r="AZS223" s="18"/>
      <c r="AZT223" s="18"/>
      <c r="AZU223" s="18"/>
      <c r="AZV223" s="18"/>
      <c r="AZW223" s="18"/>
      <c r="AZX223" s="18"/>
      <c r="AZY223" s="18"/>
      <c r="AZZ223" s="18"/>
      <c r="BAA223" s="18"/>
      <c r="BAB223" s="18"/>
      <c r="BAC223" s="18"/>
      <c r="BAD223" s="18"/>
      <c r="BAE223" s="18"/>
      <c r="BAF223" s="18"/>
      <c r="BAG223" s="18"/>
      <c r="BAH223" s="18"/>
      <c r="BAI223" s="18"/>
      <c r="BAJ223" s="18"/>
      <c r="BAK223" s="18"/>
      <c r="BAL223" s="18"/>
      <c r="BAM223" s="18"/>
      <c r="BAN223" s="18"/>
      <c r="BAO223" s="18"/>
      <c r="BAP223" s="18"/>
      <c r="BAQ223" s="18"/>
      <c r="BAR223" s="18"/>
      <c r="BAS223" s="18"/>
      <c r="BAT223" s="18"/>
      <c r="BAU223" s="18"/>
      <c r="BAV223" s="18"/>
      <c r="BAW223" s="18"/>
      <c r="BAX223" s="18"/>
      <c r="BAY223" s="18"/>
      <c r="BAZ223" s="18"/>
      <c r="BBA223" s="18"/>
      <c r="BBB223" s="18"/>
      <c r="BBC223" s="18"/>
      <c r="BBD223" s="18"/>
      <c r="BBE223" s="18"/>
      <c r="BBF223" s="18"/>
      <c r="BBG223" s="18"/>
      <c r="BBH223" s="18"/>
      <c r="BBI223" s="18"/>
      <c r="BBJ223" s="18"/>
      <c r="BBK223" s="18"/>
      <c r="BBL223" s="18"/>
      <c r="BBM223" s="18"/>
      <c r="BBN223" s="18"/>
      <c r="BBO223" s="18"/>
      <c r="BBP223" s="18"/>
      <c r="BBQ223" s="18"/>
      <c r="BBR223" s="18"/>
      <c r="BBS223" s="18"/>
      <c r="BBT223" s="18"/>
      <c r="BBU223" s="18"/>
      <c r="BBV223" s="18"/>
      <c r="BBW223" s="18"/>
      <c r="BBX223" s="18"/>
      <c r="BBY223" s="18"/>
      <c r="BBZ223" s="18"/>
      <c r="BCA223" s="18"/>
      <c r="BCB223" s="18"/>
      <c r="BCC223" s="18"/>
      <c r="BCD223" s="18"/>
      <c r="BCE223" s="18"/>
      <c r="BCF223" s="18"/>
      <c r="BCG223" s="18"/>
      <c r="BCH223" s="18"/>
      <c r="BCI223" s="18"/>
      <c r="BCJ223" s="18"/>
      <c r="BCK223" s="18"/>
      <c r="BCL223" s="18"/>
      <c r="BCM223" s="18"/>
      <c r="BCN223" s="18"/>
      <c r="BCO223" s="18"/>
      <c r="BCP223" s="18"/>
      <c r="BCQ223" s="18"/>
      <c r="BCR223" s="18"/>
      <c r="BCS223" s="18"/>
      <c r="BCT223" s="18"/>
      <c r="BCU223" s="18"/>
      <c r="BCV223" s="18"/>
      <c r="BCW223" s="18"/>
      <c r="BCX223" s="18"/>
      <c r="BCY223" s="18"/>
      <c r="BCZ223" s="18"/>
      <c r="BDA223" s="18"/>
      <c r="BDB223" s="18"/>
      <c r="BDC223" s="18"/>
      <c r="BDD223" s="18"/>
      <c r="BDE223" s="18"/>
      <c r="BDF223" s="18"/>
      <c r="BDG223" s="18"/>
      <c r="BDH223" s="18"/>
      <c r="BDI223" s="18"/>
      <c r="BDJ223" s="18"/>
      <c r="BDK223" s="18"/>
      <c r="BDL223" s="18"/>
      <c r="BDM223" s="18"/>
      <c r="BDN223" s="18"/>
      <c r="BDO223" s="18"/>
      <c r="BDP223" s="18"/>
      <c r="BDQ223" s="18"/>
      <c r="BDR223" s="18"/>
      <c r="BDS223" s="18"/>
      <c r="BDT223" s="18"/>
      <c r="BDU223" s="18"/>
      <c r="BDV223" s="18"/>
      <c r="BDW223" s="18"/>
      <c r="BDX223" s="18"/>
      <c r="BDY223" s="18"/>
      <c r="BDZ223" s="18"/>
      <c r="BEA223" s="18"/>
      <c r="BEB223" s="18"/>
      <c r="BEC223" s="18"/>
      <c r="BED223" s="18"/>
      <c r="BEE223" s="18"/>
      <c r="BEF223" s="18"/>
      <c r="BEG223" s="18"/>
      <c r="BEH223" s="18"/>
      <c r="BEI223" s="18"/>
      <c r="BEJ223" s="18"/>
      <c r="BEK223" s="18"/>
      <c r="BEL223" s="18"/>
      <c r="BEM223" s="18"/>
      <c r="BEN223" s="18"/>
      <c r="BEO223" s="18"/>
      <c r="BEP223" s="18"/>
      <c r="BEQ223" s="18"/>
      <c r="BER223" s="18"/>
      <c r="BES223" s="18"/>
      <c r="BET223" s="18"/>
      <c r="BEU223" s="18"/>
      <c r="BEV223" s="18"/>
      <c r="BEW223" s="18"/>
      <c r="BEX223" s="18"/>
      <c r="BEY223" s="18"/>
      <c r="BEZ223" s="18"/>
      <c r="BFA223" s="18"/>
      <c r="BFB223" s="18"/>
      <c r="BFC223" s="18"/>
      <c r="BFD223" s="18"/>
      <c r="BFE223" s="18"/>
      <c r="BFF223" s="18"/>
      <c r="BFG223" s="18"/>
      <c r="BFH223" s="18"/>
      <c r="BFI223" s="18"/>
      <c r="BFJ223" s="18"/>
      <c r="BFK223" s="18"/>
      <c r="BFL223" s="18"/>
      <c r="BFM223" s="18"/>
      <c r="BFN223" s="18"/>
      <c r="BFO223" s="18"/>
      <c r="BFP223" s="18"/>
      <c r="BFQ223" s="18"/>
      <c r="BFR223" s="18"/>
      <c r="BFS223" s="18"/>
      <c r="BFT223" s="18"/>
      <c r="BFU223" s="18"/>
      <c r="BFV223" s="18"/>
      <c r="BFW223" s="18"/>
      <c r="BFX223" s="18"/>
      <c r="BFY223" s="18"/>
      <c r="BFZ223" s="18"/>
      <c r="BGA223" s="18"/>
      <c r="BGB223" s="18"/>
      <c r="BGC223" s="18"/>
      <c r="BGD223" s="18"/>
      <c r="BGE223" s="18"/>
      <c r="BGF223" s="18"/>
      <c r="BGG223" s="18"/>
      <c r="BGH223" s="18"/>
      <c r="BGI223" s="18"/>
      <c r="BGJ223" s="18"/>
      <c r="BGK223" s="18"/>
      <c r="BGL223" s="18"/>
      <c r="BGM223" s="18"/>
      <c r="BGN223" s="18"/>
      <c r="BGO223" s="18"/>
      <c r="BGP223" s="18"/>
      <c r="BGQ223" s="18"/>
      <c r="BGR223" s="18"/>
      <c r="BGS223" s="18"/>
      <c r="BGT223" s="18"/>
      <c r="BGU223" s="18"/>
      <c r="BGV223" s="18"/>
      <c r="BGW223" s="18"/>
      <c r="BGX223" s="18"/>
      <c r="BGY223" s="18"/>
      <c r="BGZ223" s="18"/>
      <c r="BHA223" s="18"/>
      <c r="BHB223" s="18"/>
      <c r="BHC223" s="18"/>
      <c r="BHD223" s="18"/>
      <c r="BHE223" s="18"/>
      <c r="BHF223" s="18"/>
      <c r="BHG223" s="18"/>
      <c r="BHH223" s="18"/>
      <c r="BHI223" s="18"/>
      <c r="BHJ223" s="18"/>
      <c r="BHK223" s="18"/>
      <c r="BHL223" s="18"/>
      <c r="BHM223" s="18"/>
      <c r="BHN223" s="18"/>
      <c r="BHO223" s="18"/>
      <c r="BHP223" s="18"/>
      <c r="BHQ223" s="18"/>
      <c r="BHR223" s="18"/>
      <c r="BHS223" s="18"/>
      <c r="BHT223" s="18"/>
      <c r="BHU223" s="18"/>
      <c r="BHV223" s="18"/>
      <c r="BHW223" s="18"/>
      <c r="BHX223" s="18"/>
      <c r="BHY223" s="18"/>
      <c r="BHZ223" s="18"/>
      <c r="BIA223" s="18"/>
      <c r="BIB223" s="18"/>
      <c r="BIC223" s="18"/>
      <c r="BID223" s="18"/>
      <c r="BIE223" s="18"/>
      <c r="BIF223" s="18"/>
      <c r="BIG223" s="18"/>
      <c r="BIH223" s="18"/>
      <c r="BII223" s="18"/>
      <c r="BIJ223" s="18"/>
      <c r="BIK223" s="18"/>
      <c r="BIL223" s="18"/>
      <c r="BIM223" s="18"/>
      <c r="BIN223" s="18"/>
      <c r="BIO223" s="18"/>
      <c r="BIP223" s="18"/>
      <c r="BIQ223" s="18"/>
      <c r="BIR223" s="18"/>
      <c r="BIS223" s="18"/>
      <c r="BIT223" s="18"/>
      <c r="BIU223" s="18"/>
      <c r="BIV223" s="18"/>
      <c r="BIW223" s="18"/>
      <c r="BIX223" s="18"/>
      <c r="BIY223" s="18"/>
      <c r="BIZ223" s="18"/>
      <c r="BJA223" s="18"/>
      <c r="BJB223" s="18"/>
      <c r="BJC223" s="18"/>
      <c r="BJD223" s="18"/>
      <c r="BJE223" s="18"/>
      <c r="BJF223" s="18"/>
      <c r="BJG223" s="18"/>
      <c r="BJH223" s="18"/>
      <c r="BJI223" s="18"/>
      <c r="BJJ223" s="18"/>
      <c r="BJK223" s="18"/>
      <c r="BJL223" s="18"/>
      <c r="BJM223" s="18"/>
      <c r="BJN223" s="18"/>
      <c r="BJO223" s="18"/>
      <c r="BJP223" s="18"/>
      <c r="BJQ223" s="18"/>
      <c r="BJR223" s="18"/>
      <c r="BJS223" s="18"/>
      <c r="BJT223" s="18"/>
      <c r="BJU223" s="18"/>
      <c r="BJV223" s="18"/>
      <c r="BJW223" s="18"/>
      <c r="BJX223" s="18"/>
      <c r="BJY223" s="18"/>
      <c r="BJZ223" s="18"/>
      <c r="BKA223" s="18"/>
      <c r="BKB223" s="18"/>
      <c r="BKC223" s="18"/>
      <c r="BKD223" s="18"/>
      <c r="BKE223" s="18"/>
      <c r="BKF223" s="18"/>
      <c r="BKG223" s="18"/>
      <c r="BKH223" s="18"/>
      <c r="BKI223" s="18"/>
      <c r="BKJ223" s="18"/>
      <c r="BKK223" s="18"/>
      <c r="BKL223" s="18"/>
      <c r="BKM223" s="18"/>
      <c r="BKN223" s="18"/>
      <c r="BKO223" s="18"/>
      <c r="BKP223" s="18"/>
      <c r="BKQ223" s="18"/>
      <c r="BKR223" s="18"/>
      <c r="BKS223" s="18"/>
      <c r="BKT223" s="18"/>
      <c r="BKU223" s="18"/>
      <c r="BKV223" s="18"/>
      <c r="BKW223" s="18"/>
      <c r="BKX223" s="18"/>
      <c r="BKY223" s="18"/>
      <c r="BKZ223" s="18"/>
      <c r="BLA223" s="18"/>
      <c r="BLB223" s="18"/>
      <c r="BLC223" s="18"/>
      <c r="BLD223" s="18"/>
      <c r="BLE223" s="18"/>
      <c r="BLF223" s="18"/>
      <c r="BLG223" s="18"/>
      <c r="BLH223" s="18"/>
      <c r="BLI223" s="18"/>
      <c r="BLJ223" s="18"/>
      <c r="BLK223" s="18"/>
      <c r="BLL223" s="18"/>
      <c r="BLM223" s="18"/>
      <c r="BLN223" s="18"/>
      <c r="BLO223" s="18"/>
      <c r="BLP223" s="18"/>
      <c r="BLQ223" s="18"/>
      <c r="BLR223" s="18"/>
      <c r="BLS223" s="18"/>
      <c r="BLT223" s="18"/>
      <c r="BLU223" s="18"/>
      <c r="BLV223" s="18"/>
      <c r="BLW223" s="18"/>
      <c r="BLX223" s="18"/>
      <c r="BLY223" s="18"/>
      <c r="BLZ223" s="18"/>
      <c r="BMA223" s="18"/>
      <c r="BMB223" s="18"/>
      <c r="BMC223" s="18"/>
      <c r="BMD223" s="18"/>
      <c r="BME223" s="18"/>
      <c r="BMF223" s="18"/>
      <c r="BMG223" s="18"/>
      <c r="BMH223" s="18"/>
      <c r="BMI223" s="18"/>
      <c r="BMJ223" s="18"/>
      <c r="BMK223" s="18"/>
      <c r="BML223" s="18"/>
      <c r="BMM223" s="18"/>
      <c r="BMN223" s="18"/>
      <c r="BMO223" s="18"/>
      <c r="BMP223" s="18"/>
      <c r="BMQ223" s="18"/>
      <c r="BMR223" s="18"/>
      <c r="BMS223" s="18"/>
      <c r="BMT223" s="18"/>
      <c r="BMU223" s="18"/>
      <c r="BMV223" s="18"/>
      <c r="BMW223" s="18"/>
      <c r="BMX223" s="18"/>
      <c r="BMY223" s="18"/>
      <c r="BMZ223" s="18"/>
      <c r="BNA223" s="18"/>
      <c r="BNB223" s="18"/>
      <c r="BNC223" s="18"/>
      <c r="BND223" s="18"/>
      <c r="BNE223" s="18"/>
      <c r="BNF223" s="18"/>
      <c r="BNG223" s="18"/>
      <c r="BNH223" s="18"/>
      <c r="BNI223" s="18"/>
      <c r="BNJ223" s="18"/>
      <c r="BNK223" s="18"/>
      <c r="BNL223" s="18"/>
      <c r="BNM223" s="18"/>
      <c r="BNN223" s="18"/>
      <c r="BNO223" s="18"/>
      <c r="BNP223" s="18"/>
      <c r="BNQ223" s="18"/>
      <c r="BNR223" s="18"/>
      <c r="BNS223" s="18"/>
      <c r="BNT223" s="18"/>
      <c r="BNU223" s="18"/>
      <c r="BNV223" s="18"/>
      <c r="BNW223" s="18"/>
      <c r="BNX223" s="18"/>
      <c r="BNY223" s="18"/>
      <c r="BNZ223" s="18"/>
      <c r="BOA223" s="18"/>
      <c r="BOB223" s="18"/>
      <c r="BOC223" s="18"/>
      <c r="BOD223" s="18"/>
      <c r="BOE223" s="18"/>
      <c r="BOF223" s="18"/>
      <c r="BOG223" s="18"/>
      <c r="BOH223" s="18"/>
      <c r="BOI223" s="18"/>
      <c r="BOJ223" s="18"/>
      <c r="BOK223" s="18"/>
      <c r="BOL223" s="18"/>
      <c r="BOM223" s="18"/>
      <c r="BON223" s="18"/>
      <c r="BOO223" s="18"/>
      <c r="BOP223" s="18"/>
      <c r="BOQ223" s="18"/>
      <c r="BOR223" s="18"/>
      <c r="BOS223" s="18"/>
      <c r="BOT223" s="18"/>
      <c r="BOU223" s="18"/>
      <c r="BOV223" s="18"/>
      <c r="BOW223" s="18"/>
      <c r="BOX223" s="18"/>
      <c r="BOY223" s="18"/>
      <c r="BOZ223" s="18"/>
      <c r="BPA223" s="18"/>
      <c r="BPB223" s="18"/>
      <c r="BPC223" s="18"/>
      <c r="BPD223" s="18"/>
      <c r="BPE223" s="18"/>
      <c r="BPF223" s="18"/>
      <c r="BPG223" s="18"/>
      <c r="BPH223" s="18"/>
      <c r="BPI223" s="18"/>
      <c r="BPJ223" s="18"/>
      <c r="BPK223" s="18"/>
      <c r="BPL223" s="18"/>
      <c r="BPM223" s="18"/>
      <c r="BPN223" s="18"/>
      <c r="BPO223" s="18"/>
      <c r="BPP223" s="18"/>
      <c r="BPQ223" s="18"/>
      <c r="BPR223" s="18"/>
      <c r="BPS223" s="18"/>
      <c r="BPT223" s="18"/>
      <c r="BPU223" s="18"/>
      <c r="BPV223" s="18"/>
      <c r="BPW223" s="18"/>
      <c r="BPX223" s="18"/>
      <c r="BPY223" s="18"/>
      <c r="BPZ223" s="18"/>
      <c r="BQA223" s="18"/>
      <c r="BQB223" s="18"/>
      <c r="BQC223" s="18"/>
      <c r="BQD223" s="18"/>
      <c r="BQE223" s="18"/>
      <c r="BQF223" s="18"/>
      <c r="BQG223" s="18"/>
      <c r="BQH223" s="18"/>
      <c r="BQI223" s="18"/>
      <c r="BQJ223" s="18"/>
      <c r="BQK223" s="18"/>
      <c r="BQL223" s="18"/>
      <c r="BQM223" s="18"/>
      <c r="BQN223" s="18"/>
      <c r="BQO223" s="18"/>
      <c r="BQP223" s="18"/>
      <c r="BQQ223" s="18"/>
      <c r="BQR223" s="18"/>
      <c r="BQS223" s="18"/>
      <c r="BQT223" s="18"/>
      <c r="BQU223" s="18"/>
      <c r="BQV223" s="18"/>
      <c r="BQW223" s="18"/>
      <c r="BQX223" s="18"/>
      <c r="BQY223" s="18"/>
      <c r="BQZ223" s="18"/>
      <c r="BRA223" s="18"/>
      <c r="BRB223" s="18"/>
      <c r="BRC223" s="18"/>
      <c r="BRD223" s="18"/>
      <c r="BRE223" s="18"/>
      <c r="BRF223" s="18"/>
      <c r="BRG223" s="18"/>
      <c r="BRH223" s="18"/>
      <c r="BRI223" s="18"/>
      <c r="BRJ223" s="18"/>
      <c r="BRK223" s="18"/>
      <c r="BRL223" s="18"/>
      <c r="BRM223" s="18"/>
      <c r="BRN223" s="18"/>
      <c r="BRO223" s="18"/>
      <c r="BRP223" s="18"/>
      <c r="BRQ223" s="18"/>
      <c r="BRR223" s="18"/>
      <c r="BRS223" s="18"/>
      <c r="BRT223" s="18"/>
      <c r="BRU223" s="18"/>
      <c r="BRV223" s="18"/>
      <c r="BRW223" s="18"/>
      <c r="BRX223" s="18"/>
      <c r="BRY223" s="18"/>
      <c r="BRZ223" s="18"/>
      <c r="BSA223" s="18"/>
      <c r="BSB223" s="18"/>
      <c r="BSC223" s="18"/>
      <c r="BSD223" s="18"/>
      <c r="BSE223" s="18"/>
      <c r="BSF223" s="18"/>
      <c r="BSG223" s="18"/>
      <c r="BSH223" s="18"/>
      <c r="BSI223" s="18"/>
      <c r="BSJ223" s="18"/>
      <c r="BSK223" s="18"/>
      <c r="BSL223" s="18"/>
      <c r="BSM223" s="18"/>
      <c r="BSN223" s="18"/>
      <c r="BSO223" s="18"/>
      <c r="BSP223" s="18"/>
      <c r="BSQ223" s="18"/>
      <c r="BSR223" s="18"/>
      <c r="BSS223" s="18"/>
      <c r="BST223" s="18"/>
      <c r="BSU223" s="18"/>
      <c r="BSV223" s="18"/>
      <c r="BSW223" s="18"/>
      <c r="BSX223" s="18"/>
      <c r="BSY223" s="18"/>
      <c r="BSZ223" s="18"/>
      <c r="BTA223" s="18"/>
      <c r="BTB223" s="18"/>
      <c r="BTC223" s="18"/>
      <c r="BTD223" s="18"/>
      <c r="BTE223" s="18"/>
      <c r="BTF223" s="18"/>
      <c r="BTG223" s="18"/>
      <c r="BTH223" s="18"/>
    </row>
    <row r="224" spans="1:1880" s="396" customFormat="1" ht="90" customHeight="1" x14ac:dyDescent="0.3">
      <c r="A224" s="98">
        <v>619</v>
      </c>
      <c r="B224" s="345" t="s">
        <v>58</v>
      </c>
      <c r="C224" s="345" t="s">
        <v>324</v>
      </c>
      <c r="D224" s="85" t="s">
        <v>328</v>
      </c>
      <c r="E224" s="343" t="e">
        <f>INDEX('PY1 Data(H)'!$A$1:$CZ$260,MATCH('Unit Data from Audit Worksheet'!$A224,'PY1 Data(H)'!$A$1:$A$260,0),MATCH('Unit Data from Audit Worksheet'!$D$2,'PY1 Data(H)'!$A$1:$CZ$1,0))</f>
        <v>#N/A</v>
      </c>
      <c r="F224" s="672">
        <v>0</v>
      </c>
      <c r="G224" s="399" t="str">
        <f>IF(ISBLANK(F224),"Please do not leave blank ",IF(F224=H224,"","Please review percentage"))</f>
        <v/>
      </c>
      <c r="H224" s="875">
        <f>ROUND(IFERROR((F223/F222)*100,0),1)</f>
        <v>0</v>
      </c>
      <c r="I224" s="880"/>
      <c r="J224" s="173"/>
      <c r="K224" s="551"/>
      <c r="L224"/>
      <c r="M224" s="18"/>
      <c r="N224" s="183"/>
      <c r="O224" s="18"/>
      <c r="P224" s="18"/>
      <c r="Q224" s="18"/>
      <c r="R224" s="18"/>
      <c r="S224" s="18"/>
      <c r="T224" s="18"/>
      <c r="U224" s="18"/>
      <c r="V224" s="18"/>
      <c r="W224" s="18"/>
      <c r="X224" s="18"/>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c r="IW224" s="18"/>
      <c r="IX224" s="18"/>
      <c r="IY224" s="18"/>
      <c r="IZ224" s="18"/>
      <c r="JA224" s="18"/>
      <c r="JB224" s="18"/>
      <c r="JC224" s="18"/>
      <c r="JD224" s="18"/>
      <c r="JE224" s="18"/>
      <c r="JF224" s="18"/>
      <c r="JG224" s="18"/>
      <c r="JH224" s="18"/>
      <c r="JI224" s="18"/>
      <c r="JJ224" s="18"/>
      <c r="JK224" s="18"/>
      <c r="JL224" s="18"/>
      <c r="JM224" s="18"/>
      <c r="JN224" s="18"/>
      <c r="JO224" s="18"/>
      <c r="JP224" s="18"/>
      <c r="JQ224" s="18"/>
      <c r="JR224" s="18"/>
      <c r="JS224" s="18"/>
      <c r="JT224" s="18"/>
      <c r="JU224" s="18"/>
      <c r="JV224" s="18"/>
      <c r="JW224" s="18"/>
      <c r="JX224" s="18"/>
      <c r="JY224" s="18"/>
      <c r="JZ224" s="18"/>
      <c r="KA224" s="18"/>
      <c r="KB224" s="18"/>
      <c r="KC224" s="18"/>
      <c r="KD224" s="18"/>
      <c r="KE224" s="18"/>
      <c r="KF224" s="18"/>
      <c r="KG224" s="18"/>
      <c r="KH224" s="18"/>
      <c r="KI224" s="18"/>
      <c r="KJ224" s="18"/>
      <c r="KK224" s="18"/>
      <c r="KL224" s="18"/>
      <c r="KM224" s="18"/>
      <c r="KN224" s="18"/>
      <c r="KO224" s="18"/>
      <c r="KP224" s="18"/>
      <c r="KQ224" s="18"/>
      <c r="KR224" s="18"/>
      <c r="KS224" s="18"/>
      <c r="KT224" s="18"/>
      <c r="KU224" s="18"/>
      <c r="KV224" s="18"/>
      <c r="KW224" s="18"/>
      <c r="KX224" s="18"/>
      <c r="KY224" s="18"/>
      <c r="KZ224" s="18"/>
      <c r="LA224" s="18"/>
      <c r="LB224" s="18"/>
      <c r="LC224" s="18"/>
      <c r="LD224" s="18"/>
      <c r="LE224" s="18"/>
      <c r="LF224" s="18"/>
      <c r="LG224" s="18"/>
      <c r="LH224" s="18"/>
      <c r="LI224" s="18"/>
      <c r="LJ224" s="18"/>
      <c r="LK224" s="18"/>
      <c r="LL224" s="18"/>
      <c r="LM224" s="18"/>
      <c r="LN224" s="18"/>
      <c r="LO224" s="18"/>
      <c r="LP224" s="18"/>
      <c r="LQ224" s="18"/>
      <c r="LR224" s="18"/>
      <c r="LS224" s="18"/>
      <c r="LT224" s="18"/>
      <c r="LU224" s="18"/>
      <c r="LV224" s="18"/>
      <c r="LW224" s="18"/>
      <c r="LX224" s="18"/>
      <c r="LY224" s="18"/>
      <c r="LZ224" s="18"/>
      <c r="MA224" s="18"/>
      <c r="MB224" s="18"/>
      <c r="MC224" s="18"/>
      <c r="MD224" s="18"/>
      <c r="ME224" s="18"/>
      <c r="MF224" s="18"/>
      <c r="MG224" s="18"/>
      <c r="MH224" s="18"/>
      <c r="MI224" s="18"/>
      <c r="MJ224" s="18"/>
      <c r="MK224" s="18"/>
      <c r="ML224" s="18"/>
      <c r="MM224" s="18"/>
      <c r="MN224" s="18"/>
      <c r="MO224" s="18"/>
      <c r="MP224" s="18"/>
      <c r="MQ224" s="18"/>
      <c r="MR224" s="18"/>
      <c r="MS224" s="18"/>
      <c r="MT224" s="18"/>
      <c r="MU224" s="18"/>
      <c r="MV224" s="18"/>
      <c r="MW224" s="18"/>
      <c r="MX224" s="18"/>
      <c r="MY224" s="18"/>
      <c r="MZ224" s="18"/>
      <c r="NA224" s="18"/>
      <c r="NB224" s="18"/>
      <c r="NC224" s="18"/>
      <c r="ND224" s="18"/>
      <c r="NE224" s="18"/>
      <c r="NF224" s="18"/>
      <c r="NG224" s="18"/>
      <c r="NH224" s="18"/>
      <c r="NI224" s="18"/>
      <c r="NJ224" s="18"/>
      <c r="NK224" s="18"/>
      <c r="NL224" s="18"/>
      <c r="NM224" s="18"/>
      <c r="NN224" s="18"/>
      <c r="NO224" s="18"/>
      <c r="NP224" s="18"/>
      <c r="NQ224" s="18"/>
      <c r="NR224" s="18"/>
      <c r="NS224" s="18"/>
      <c r="NT224" s="18"/>
      <c r="NU224" s="18"/>
      <c r="NV224" s="18"/>
      <c r="NW224" s="18"/>
      <c r="NX224" s="18"/>
      <c r="NY224" s="18"/>
      <c r="NZ224" s="18"/>
      <c r="OA224" s="18"/>
      <c r="OB224" s="18"/>
      <c r="OC224" s="18"/>
      <c r="OD224" s="18"/>
      <c r="OE224" s="18"/>
      <c r="OF224" s="18"/>
      <c r="OG224" s="18"/>
      <c r="OH224" s="18"/>
      <c r="OI224" s="18"/>
      <c r="OJ224" s="18"/>
      <c r="OK224" s="18"/>
      <c r="OL224" s="18"/>
      <c r="OM224" s="18"/>
      <c r="ON224" s="18"/>
      <c r="OO224" s="18"/>
      <c r="OP224" s="18"/>
      <c r="OQ224" s="18"/>
      <c r="OR224" s="18"/>
      <c r="OS224" s="18"/>
      <c r="OT224" s="18"/>
      <c r="OU224" s="18"/>
      <c r="OV224" s="18"/>
      <c r="OW224" s="18"/>
      <c r="OX224" s="18"/>
      <c r="OY224" s="18"/>
      <c r="OZ224" s="18"/>
      <c r="PA224" s="18"/>
      <c r="PB224" s="18"/>
      <c r="PC224" s="18"/>
      <c r="PD224" s="18"/>
      <c r="PE224" s="18"/>
      <c r="PF224" s="18"/>
      <c r="PG224" s="18"/>
      <c r="PH224" s="18"/>
      <c r="PI224" s="18"/>
      <c r="PJ224" s="18"/>
      <c r="PK224" s="18"/>
      <c r="PL224" s="18"/>
      <c r="PM224" s="18"/>
      <c r="PN224" s="18"/>
      <c r="PO224" s="18"/>
      <c r="PP224" s="18"/>
      <c r="PQ224" s="18"/>
      <c r="PR224" s="18"/>
      <c r="PS224" s="18"/>
      <c r="PT224" s="18"/>
      <c r="PU224" s="18"/>
      <c r="PV224" s="18"/>
      <c r="PW224" s="18"/>
      <c r="PX224" s="18"/>
      <c r="PY224" s="18"/>
      <c r="PZ224" s="18"/>
      <c r="QA224" s="18"/>
      <c r="QB224" s="18"/>
      <c r="QC224" s="18"/>
      <c r="QD224" s="18"/>
      <c r="QE224" s="18"/>
      <c r="QF224" s="18"/>
      <c r="QG224" s="18"/>
      <c r="QH224" s="18"/>
      <c r="QI224" s="18"/>
      <c r="QJ224" s="18"/>
      <c r="QK224" s="18"/>
      <c r="QL224" s="18"/>
      <c r="QM224" s="18"/>
      <c r="QN224" s="18"/>
      <c r="QO224" s="18"/>
      <c r="QP224" s="18"/>
      <c r="QQ224" s="18"/>
      <c r="QR224" s="18"/>
      <c r="QS224" s="18"/>
      <c r="QT224" s="18"/>
      <c r="QU224" s="18"/>
      <c r="QV224" s="18"/>
      <c r="QW224" s="18"/>
      <c r="QX224" s="18"/>
      <c r="QY224" s="18"/>
      <c r="QZ224" s="18"/>
      <c r="RA224" s="18"/>
      <c r="RB224" s="18"/>
      <c r="RC224" s="18"/>
      <c r="RD224" s="18"/>
      <c r="RE224" s="18"/>
      <c r="RF224" s="18"/>
      <c r="RG224" s="18"/>
      <c r="RH224" s="18"/>
      <c r="RI224" s="18"/>
      <c r="RJ224" s="18"/>
      <c r="RK224" s="18"/>
      <c r="RL224" s="18"/>
      <c r="RM224" s="18"/>
      <c r="RN224" s="18"/>
      <c r="RO224" s="18"/>
      <c r="RP224" s="18"/>
      <c r="RQ224" s="18"/>
      <c r="RR224" s="18"/>
      <c r="RS224" s="18"/>
      <c r="RT224" s="18"/>
      <c r="RU224" s="18"/>
      <c r="RV224" s="18"/>
      <c r="RW224" s="18"/>
      <c r="RX224" s="18"/>
      <c r="RY224" s="18"/>
      <c r="RZ224" s="18"/>
      <c r="SA224" s="18"/>
      <c r="SB224" s="18"/>
      <c r="SC224" s="18"/>
      <c r="SD224" s="18"/>
      <c r="SE224" s="18"/>
      <c r="SF224" s="18"/>
      <c r="SG224" s="18"/>
      <c r="SH224" s="18"/>
      <c r="SI224" s="18"/>
      <c r="SJ224" s="18"/>
      <c r="SK224" s="18"/>
      <c r="SL224" s="18"/>
      <c r="SM224" s="18"/>
      <c r="SN224" s="18"/>
      <c r="SO224" s="18"/>
      <c r="SP224" s="18"/>
      <c r="SQ224" s="18"/>
      <c r="SR224" s="18"/>
      <c r="SS224" s="18"/>
      <c r="ST224" s="18"/>
      <c r="SU224" s="18"/>
      <c r="SV224" s="18"/>
      <c r="SW224" s="18"/>
      <c r="SX224" s="18"/>
      <c r="SY224" s="18"/>
      <c r="SZ224" s="18"/>
      <c r="TA224" s="18"/>
      <c r="TB224" s="18"/>
      <c r="TC224" s="18"/>
      <c r="TD224" s="18"/>
      <c r="TE224" s="18"/>
      <c r="TF224" s="18"/>
      <c r="TG224" s="18"/>
      <c r="TH224" s="18"/>
      <c r="TI224" s="18"/>
      <c r="TJ224" s="18"/>
      <c r="TK224" s="18"/>
      <c r="TL224" s="18"/>
      <c r="TM224" s="18"/>
      <c r="TN224" s="18"/>
      <c r="TO224" s="18"/>
      <c r="TP224" s="18"/>
      <c r="TQ224" s="18"/>
      <c r="TR224" s="18"/>
      <c r="TS224" s="18"/>
      <c r="TT224" s="18"/>
      <c r="TU224" s="18"/>
      <c r="TV224" s="18"/>
      <c r="TW224" s="18"/>
      <c r="TX224" s="18"/>
      <c r="TY224" s="18"/>
      <c r="TZ224" s="18"/>
      <c r="UA224" s="18"/>
      <c r="UB224" s="18"/>
      <c r="UC224" s="18"/>
      <c r="UD224" s="18"/>
      <c r="UE224" s="18"/>
      <c r="UF224" s="18"/>
      <c r="UG224" s="18"/>
      <c r="UH224" s="18"/>
      <c r="UI224" s="18"/>
      <c r="UJ224" s="18"/>
      <c r="UK224" s="18"/>
      <c r="UL224" s="18"/>
      <c r="UM224" s="18"/>
      <c r="UN224" s="18"/>
      <c r="UO224" s="18"/>
      <c r="UP224" s="18"/>
      <c r="UQ224" s="18"/>
      <c r="UR224" s="18"/>
      <c r="US224" s="18"/>
      <c r="UT224" s="18"/>
      <c r="UU224" s="18"/>
      <c r="UV224" s="18"/>
      <c r="UW224" s="18"/>
      <c r="UX224" s="18"/>
      <c r="UY224" s="18"/>
      <c r="UZ224" s="18"/>
      <c r="VA224" s="18"/>
      <c r="VB224" s="18"/>
      <c r="VC224" s="18"/>
      <c r="VD224" s="18"/>
      <c r="VE224" s="18"/>
      <c r="VF224" s="18"/>
      <c r="VG224" s="18"/>
      <c r="VH224" s="18"/>
      <c r="VI224" s="18"/>
      <c r="VJ224" s="18"/>
      <c r="VK224" s="18"/>
      <c r="VL224" s="18"/>
      <c r="VM224" s="18"/>
      <c r="VN224" s="18"/>
      <c r="VO224" s="18"/>
      <c r="VP224" s="18"/>
      <c r="VQ224" s="18"/>
      <c r="VR224" s="18"/>
      <c r="VS224" s="18"/>
      <c r="VT224" s="18"/>
      <c r="VU224" s="18"/>
      <c r="VV224" s="18"/>
      <c r="VW224" s="18"/>
      <c r="VX224" s="18"/>
      <c r="VY224" s="18"/>
      <c r="VZ224" s="18"/>
      <c r="WA224" s="18"/>
      <c r="WB224" s="18"/>
      <c r="WC224" s="18"/>
      <c r="WD224" s="18"/>
      <c r="WE224" s="18"/>
      <c r="WF224" s="18"/>
      <c r="WG224" s="18"/>
      <c r="WH224" s="18"/>
      <c r="WI224" s="18"/>
      <c r="WJ224" s="18"/>
      <c r="WK224" s="18"/>
      <c r="WL224" s="18"/>
      <c r="WM224" s="18"/>
      <c r="WN224" s="18"/>
      <c r="WO224" s="18"/>
      <c r="WP224" s="18"/>
      <c r="WQ224" s="18"/>
      <c r="WR224" s="18"/>
      <c r="WS224" s="18"/>
      <c r="WT224" s="18"/>
      <c r="WU224" s="18"/>
      <c r="WV224" s="18"/>
      <c r="WW224" s="18"/>
      <c r="WX224" s="18"/>
      <c r="WY224" s="18"/>
      <c r="WZ224" s="18"/>
      <c r="XA224" s="18"/>
      <c r="XB224" s="18"/>
      <c r="XC224" s="18"/>
      <c r="XD224" s="18"/>
      <c r="XE224" s="18"/>
      <c r="XF224" s="18"/>
      <c r="XG224" s="18"/>
      <c r="XH224" s="18"/>
      <c r="XI224" s="18"/>
      <c r="XJ224" s="18"/>
      <c r="XK224" s="18"/>
      <c r="XL224" s="18"/>
      <c r="XM224" s="18"/>
      <c r="XN224" s="18"/>
      <c r="XO224" s="18"/>
      <c r="XP224" s="18"/>
      <c r="XQ224" s="18"/>
      <c r="XR224" s="18"/>
      <c r="XS224" s="18"/>
      <c r="XT224" s="18"/>
      <c r="XU224" s="18"/>
      <c r="XV224" s="18"/>
      <c r="XW224" s="18"/>
      <c r="XX224" s="18"/>
      <c r="XY224" s="18"/>
      <c r="XZ224" s="18"/>
      <c r="YA224" s="18"/>
      <c r="YB224" s="18"/>
      <c r="YC224" s="18"/>
      <c r="YD224" s="18"/>
      <c r="YE224" s="18"/>
      <c r="YF224" s="18"/>
      <c r="YG224" s="18"/>
      <c r="YH224" s="18"/>
      <c r="YI224" s="18"/>
      <c r="YJ224" s="18"/>
      <c r="YK224" s="18"/>
      <c r="YL224" s="18"/>
      <c r="YM224" s="18"/>
      <c r="YN224" s="18"/>
      <c r="YO224" s="18"/>
      <c r="YP224" s="18"/>
      <c r="YQ224" s="18"/>
      <c r="YR224" s="18"/>
      <c r="YS224" s="18"/>
      <c r="YT224" s="18"/>
      <c r="YU224" s="18"/>
      <c r="YV224" s="18"/>
      <c r="YW224" s="18"/>
      <c r="YX224" s="18"/>
      <c r="YY224" s="18"/>
      <c r="YZ224" s="18"/>
      <c r="ZA224" s="18"/>
      <c r="ZB224" s="18"/>
      <c r="ZC224" s="18"/>
      <c r="ZD224" s="18"/>
      <c r="ZE224" s="18"/>
      <c r="ZF224" s="18"/>
      <c r="ZG224" s="18"/>
      <c r="ZH224" s="18"/>
      <c r="ZI224" s="18"/>
      <c r="ZJ224" s="18"/>
      <c r="ZK224" s="18"/>
      <c r="ZL224" s="18"/>
      <c r="ZM224" s="18"/>
      <c r="ZN224" s="18"/>
      <c r="ZO224" s="18"/>
      <c r="ZP224" s="18"/>
      <c r="ZQ224" s="18"/>
      <c r="ZR224" s="18"/>
      <c r="ZS224" s="18"/>
      <c r="ZT224" s="18"/>
      <c r="ZU224" s="18"/>
      <c r="ZV224" s="18"/>
      <c r="ZW224" s="18"/>
      <c r="ZX224" s="18"/>
      <c r="ZY224" s="18"/>
      <c r="ZZ224" s="18"/>
      <c r="AAA224" s="18"/>
      <c r="AAB224" s="18"/>
      <c r="AAC224" s="18"/>
      <c r="AAD224" s="18"/>
      <c r="AAE224" s="18"/>
      <c r="AAF224" s="18"/>
      <c r="AAG224" s="18"/>
      <c r="AAH224" s="18"/>
      <c r="AAI224" s="18"/>
      <c r="AAJ224" s="18"/>
      <c r="AAK224" s="18"/>
      <c r="AAL224" s="18"/>
      <c r="AAM224" s="18"/>
      <c r="AAN224" s="18"/>
      <c r="AAO224" s="18"/>
      <c r="AAP224" s="18"/>
      <c r="AAQ224" s="18"/>
      <c r="AAR224" s="18"/>
      <c r="AAS224" s="18"/>
      <c r="AAT224" s="18"/>
      <c r="AAU224" s="18"/>
      <c r="AAV224" s="18"/>
      <c r="AAW224" s="18"/>
      <c r="AAX224" s="18"/>
      <c r="AAY224" s="18"/>
      <c r="AAZ224" s="18"/>
      <c r="ABA224" s="18"/>
      <c r="ABB224" s="18"/>
      <c r="ABC224" s="18"/>
      <c r="ABD224" s="18"/>
      <c r="ABE224" s="18"/>
      <c r="ABF224" s="18"/>
      <c r="ABG224" s="18"/>
      <c r="ABH224" s="18"/>
      <c r="ABI224" s="18"/>
      <c r="ABJ224" s="18"/>
      <c r="ABK224" s="18"/>
      <c r="ABL224" s="18"/>
      <c r="ABM224" s="18"/>
      <c r="ABN224" s="18"/>
      <c r="ABO224" s="18"/>
      <c r="ABP224" s="18"/>
      <c r="ABQ224" s="18"/>
      <c r="ABR224" s="18"/>
      <c r="ABS224" s="18"/>
      <c r="ABT224" s="18"/>
      <c r="ABU224" s="18"/>
      <c r="ABV224" s="18"/>
      <c r="ABW224" s="18"/>
      <c r="ABX224" s="18"/>
      <c r="ABY224" s="18"/>
      <c r="ABZ224" s="18"/>
      <c r="ACA224" s="18"/>
      <c r="ACB224" s="18"/>
      <c r="ACC224" s="18"/>
      <c r="ACD224" s="18"/>
      <c r="ACE224" s="18"/>
      <c r="ACF224" s="18"/>
      <c r="ACG224" s="18"/>
      <c r="ACH224" s="18"/>
      <c r="ACI224" s="18"/>
      <c r="ACJ224" s="18"/>
      <c r="ACK224" s="18"/>
      <c r="ACL224" s="18"/>
      <c r="ACM224" s="18"/>
      <c r="ACN224" s="18"/>
      <c r="ACO224" s="18"/>
      <c r="ACP224" s="18"/>
      <c r="ACQ224" s="18"/>
      <c r="ACR224" s="18"/>
      <c r="ACS224" s="18"/>
      <c r="ACT224" s="18"/>
      <c r="ACU224" s="18"/>
      <c r="ACV224" s="18"/>
      <c r="ACW224" s="18"/>
      <c r="ACX224" s="18"/>
      <c r="ACY224" s="18"/>
      <c r="ACZ224" s="18"/>
      <c r="ADA224" s="18"/>
      <c r="ADB224" s="18"/>
      <c r="ADC224" s="18"/>
      <c r="ADD224" s="18"/>
      <c r="ADE224" s="18"/>
      <c r="ADF224" s="18"/>
      <c r="ADG224" s="18"/>
      <c r="ADH224" s="18"/>
      <c r="ADI224" s="18"/>
      <c r="ADJ224" s="18"/>
      <c r="ADK224" s="18"/>
      <c r="ADL224" s="18"/>
      <c r="ADM224" s="18"/>
      <c r="ADN224" s="18"/>
      <c r="ADO224" s="18"/>
      <c r="ADP224" s="18"/>
      <c r="ADQ224" s="18"/>
      <c r="ADR224" s="18"/>
      <c r="ADS224" s="18"/>
      <c r="ADT224" s="18"/>
      <c r="ADU224" s="18"/>
      <c r="ADV224" s="18"/>
      <c r="ADW224" s="18"/>
      <c r="ADX224" s="18"/>
      <c r="ADY224" s="18"/>
      <c r="ADZ224" s="18"/>
      <c r="AEA224" s="18"/>
      <c r="AEB224" s="18"/>
      <c r="AEC224" s="18"/>
      <c r="AED224" s="18"/>
      <c r="AEE224" s="18"/>
      <c r="AEF224" s="18"/>
      <c r="AEG224" s="18"/>
      <c r="AEH224" s="18"/>
      <c r="AEI224" s="18"/>
      <c r="AEJ224" s="18"/>
      <c r="AEK224" s="18"/>
      <c r="AEL224" s="18"/>
      <c r="AEM224" s="18"/>
      <c r="AEN224" s="18"/>
      <c r="AEO224" s="18"/>
      <c r="AEP224" s="18"/>
      <c r="AEQ224" s="18"/>
      <c r="AER224" s="18"/>
      <c r="AES224" s="18"/>
      <c r="AET224" s="18"/>
      <c r="AEU224" s="18"/>
      <c r="AEV224" s="18"/>
      <c r="AEW224" s="18"/>
      <c r="AEX224" s="18"/>
      <c r="AEY224" s="18"/>
      <c r="AEZ224" s="18"/>
      <c r="AFA224" s="18"/>
      <c r="AFB224" s="18"/>
      <c r="AFC224" s="18"/>
      <c r="AFD224" s="18"/>
      <c r="AFE224" s="18"/>
      <c r="AFF224" s="18"/>
      <c r="AFG224" s="18"/>
      <c r="AFH224" s="18"/>
      <c r="AFI224" s="18"/>
      <c r="AFJ224" s="18"/>
      <c r="AFK224" s="18"/>
      <c r="AFL224" s="18"/>
      <c r="AFM224" s="18"/>
      <c r="AFN224" s="18"/>
      <c r="AFO224" s="18"/>
      <c r="AFP224" s="18"/>
      <c r="AFQ224" s="18"/>
      <c r="AFR224" s="18"/>
      <c r="AFS224" s="18"/>
      <c r="AFT224" s="18"/>
      <c r="AFU224" s="18"/>
      <c r="AFV224" s="18"/>
      <c r="AFW224" s="18"/>
      <c r="AFX224" s="18"/>
      <c r="AFY224" s="18"/>
      <c r="AFZ224" s="18"/>
      <c r="AGA224" s="18"/>
      <c r="AGB224" s="18"/>
      <c r="AGC224" s="18"/>
      <c r="AGD224" s="18"/>
      <c r="AGE224" s="18"/>
      <c r="AGF224" s="18"/>
      <c r="AGG224" s="18"/>
      <c r="AGH224" s="18"/>
      <c r="AGI224" s="18"/>
      <c r="AGJ224" s="18"/>
      <c r="AGK224" s="18"/>
      <c r="AGL224" s="18"/>
      <c r="AGM224" s="18"/>
      <c r="AGN224" s="18"/>
      <c r="AGO224" s="18"/>
      <c r="AGP224" s="18"/>
      <c r="AGQ224" s="18"/>
      <c r="AGR224" s="18"/>
      <c r="AGS224" s="18"/>
      <c r="AGT224" s="18"/>
      <c r="AGU224" s="18"/>
      <c r="AGV224" s="18"/>
      <c r="AGW224" s="18"/>
      <c r="AGX224" s="18"/>
      <c r="AGY224" s="18"/>
      <c r="AGZ224" s="18"/>
      <c r="AHA224" s="18"/>
      <c r="AHB224" s="18"/>
      <c r="AHC224" s="18"/>
      <c r="AHD224" s="18"/>
      <c r="AHE224" s="18"/>
      <c r="AHF224" s="18"/>
      <c r="AHG224" s="18"/>
      <c r="AHH224" s="18"/>
      <c r="AHI224" s="18"/>
      <c r="AHJ224" s="18"/>
      <c r="AHK224" s="18"/>
      <c r="AHL224" s="18"/>
      <c r="AHM224" s="18"/>
      <c r="AHN224" s="18"/>
      <c r="AHO224" s="18"/>
      <c r="AHP224" s="18"/>
      <c r="AHQ224" s="18"/>
      <c r="AHR224" s="18"/>
      <c r="AHS224" s="18"/>
      <c r="AHT224" s="18"/>
      <c r="AHU224" s="18"/>
      <c r="AHV224" s="18"/>
      <c r="AHW224" s="18"/>
      <c r="AHX224" s="18"/>
      <c r="AHY224" s="18"/>
      <c r="AHZ224" s="18"/>
      <c r="AIA224" s="18"/>
      <c r="AIB224" s="18"/>
      <c r="AIC224" s="18"/>
      <c r="AID224" s="18"/>
      <c r="AIE224" s="18"/>
      <c r="AIF224" s="18"/>
      <c r="AIG224" s="18"/>
      <c r="AIH224" s="18"/>
      <c r="AII224" s="18"/>
      <c r="AIJ224" s="18"/>
      <c r="AIK224" s="18"/>
      <c r="AIL224" s="18"/>
      <c r="AIM224" s="18"/>
      <c r="AIN224" s="18"/>
      <c r="AIO224" s="18"/>
      <c r="AIP224" s="18"/>
      <c r="AIQ224" s="18"/>
      <c r="AIR224" s="18"/>
      <c r="AIS224" s="18"/>
      <c r="AIT224" s="18"/>
      <c r="AIU224" s="18"/>
      <c r="AIV224" s="18"/>
      <c r="AIW224" s="18"/>
      <c r="AIX224" s="18"/>
      <c r="AIY224" s="18"/>
      <c r="AIZ224" s="18"/>
      <c r="AJA224" s="18"/>
      <c r="AJB224" s="18"/>
      <c r="AJC224" s="18"/>
      <c r="AJD224" s="18"/>
      <c r="AJE224" s="18"/>
      <c r="AJF224" s="18"/>
      <c r="AJG224" s="18"/>
      <c r="AJH224" s="18"/>
      <c r="AJI224" s="18"/>
      <c r="AJJ224" s="18"/>
      <c r="AJK224" s="18"/>
      <c r="AJL224" s="18"/>
      <c r="AJM224" s="18"/>
      <c r="AJN224" s="18"/>
      <c r="AJO224" s="18"/>
      <c r="AJP224" s="18"/>
      <c r="AJQ224" s="18"/>
      <c r="AJR224" s="18"/>
      <c r="AJS224" s="18"/>
      <c r="AJT224" s="18"/>
      <c r="AJU224" s="18"/>
      <c r="AJV224" s="18"/>
      <c r="AJW224" s="18"/>
      <c r="AJX224" s="18"/>
      <c r="AJY224" s="18"/>
      <c r="AJZ224" s="18"/>
      <c r="AKA224" s="18"/>
      <c r="AKB224" s="18"/>
      <c r="AKC224" s="18"/>
      <c r="AKD224" s="18"/>
      <c r="AKE224" s="18"/>
      <c r="AKF224" s="18"/>
      <c r="AKG224" s="18"/>
      <c r="AKH224" s="18"/>
      <c r="AKI224" s="18"/>
      <c r="AKJ224" s="18"/>
      <c r="AKK224" s="18"/>
      <c r="AKL224" s="18"/>
      <c r="AKM224" s="18"/>
      <c r="AKN224" s="18"/>
      <c r="AKO224" s="18"/>
      <c r="AKP224" s="18"/>
      <c r="AKQ224" s="18"/>
      <c r="AKR224" s="18"/>
      <c r="AKS224" s="18"/>
      <c r="AKT224" s="18"/>
      <c r="AKU224" s="18"/>
      <c r="AKV224" s="18"/>
      <c r="AKW224" s="18"/>
      <c r="AKX224" s="18"/>
      <c r="AKY224" s="18"/>
      <c r="AKZ224" s="18"/>
      <c r="ALA224" s="18"/>
      <c r="ALB224" s="18"/>
      <c r="ALC224" s="18"/>
      <c r="ALD224" s="18"/>
      <c r="ALE224" s="18"/>
      <c r="ALF224" s="18"/>
      <c r="ALG224" s="18"/>
      <c r="ALH224" s="18"/>
      <c r="ALI224" s="18"/>
      <c r="ALJ224" s="18"/>
      <c r="ALK224" s="18"/>
      <c r="ALL224" s="18"/>
      <c r="ALM224" s="18"/>
      <c r="ALN224" s="18"/>
      <c r="ALO224" s="18"/>
      <c r="ALP224" s="18"/>
      <c r="ALQ224" s="18"/>
      <c r="ALR224" s="18"/>
      <c r="ALS224" s="18"/>
      <c r="ALT224" s="18"/>
      <c r="ALU224" s="18"/>
      <c r="ALV224" s="18"/>
      <c r="ALW224" s="18"/>
      <c r="ALX224" s="18"/>
      <c r="ALY224" s="18"/>
      <c r="ALZ224" s="18"/>
      <c r="AMA224" s="18"/>
      <c r="AMB224" s="18"/>
      <c r="AMC224" s="18"/>
      <c r="AMD224" s="18"/>
      <c r="AME224" s="18"/>
      <c r="AMF224" s="18"/>
      <c r="AMG224" s="18"/>
      <c r="AMH224" s="18"/>
      <c r="AMI224" s="18"/>
      <c r="AMJ224" s="18"/>
      <c r="AMK224" s="18"/>
      <c r="AML224" s="18"/>
      <c r="AMM224" s="18"/>
      <c r="AMN224" s="18"/>
      <c r="AMO224" s="18"/>
      <c r="AMP224" s="18"/>
      <c r="AMQ224" s="18"/>
      <c r="AMR224" s="18"/>
      <c r="AMS224" s="18"/>
      <c r="AMT224" s="18"/>
      <c r="AMU224" s="18"/>
      <c r="AMV224" s="18"/>
      <c r="AMW224" s="18"/>
      <c r="AMX224" s="18"/>
      <c r="AMY224" s="18"/>
      <c r="AMZ224" s="18"/>
      <c r="ANA224" s="18"/>
      <c r="ANB224" s="18"/>
      <c r="ANC224" s="18"/>
      <c r="AND224" s="18"/>
      <c r="ANE224" s="18"/>
      <c r="ANF224" s="18"/>
      <c r="ANG224" s="18"/>
      <c r="ANH224" s="18"/>
      <c r="ANI224" s="18"/>
      <c r="ANJ224" s="18"/>
      <c r="ANK224" s="18"/>
      <c r="ANL224" s="18"/>
      <c r="ANM224" s="18"/>
      <c r="ANN224" s="18"/>
      <c r="ANO224" s="18"/>
      <c r="ANP224" s="18"/>
      <c r="ANQ224" s="18"/>
      <c r="ANR224" s="18"/>
      <c r="ANS224" s="18"/>
      <c r="ANT224" s="18"/>
      <c r="ANU224" s="18"/>
      <c r="ANV224" s="18"/>
      <c r="ANW224" s="18"/>
      <c r="ANX224" s="18"/>
      <c r="ANY224" s="18"/>
      <c r="ANZ224" s="18"/>
      <c r="AOA224" s="18"/>
      <c r="AOB224" s="18"/>
      <c r="AOC224" s="18"/>
      <c r="AOD224" s="18"/>
      <c r="AOE224" s="18"/>
      <c r="AOF224" s="18"/>
      <c r="AOG224" s="18"/>
      <c r="AOH224" s="18"/>
      <c r="AOI224" s="18"/>
      <c r="AOJ224" s="18"/>
      <c r="AOK224" s="18"/>
      <c r="AOL224" s="18"/>
      <c r="AOM224" s="18"/>
      <c r="AON224" s="18"/>
      <c r="AOO224" s="18"/>
      <c r="AOP224" s="18"/>
      <c r="AOQ224" s="18"/>
      <c r="AOR224" s="18"/>
      <c r="AOS224" s="18"/>
      <c r="AOT224" s="18"/>
      <c r="AOU224" s="18"/>
      <c r="AOV224" s="18"/>
      <c r="AOW224" s="18"/>
      <c r="AOX224" s="18"/>
      <c r="AOY224" s="18"/>
      <c r="AOZ224" s="18"/>
      <c r="APA224" s="18"/>
      <c r="APB224" s="18"/>
      <c r="APC224" s="18"/>
      <c r="APD224" s="18"/>
      <c r="APE224" s="18"/>
      <c r="APF224" s="18"/>
      <c r="APG224" s="18"/>
      <c r="APH224" s="18"/>
      <c r="API224" s="18"/>
      <c r="APJ224" s="18"/>
      <c r="APK224" s="18"/>
      <c r="APL224" s="18"/>
      <c r="APM224" s="18"/>
      <c r="APN224" s="18"/>
      <c r="APO224" s="18"/>
      <c r="APP224" s="18"/>
      <c r="APQ224" s="18"/>
      <c r="APR224" s="18"/>
      <c r="APS224" s="18"/>
      <c r="APT224" s="18"/>
      <c r="APU224" s="18"/>
      <c r="APV224" s="18"/>
      <c r="APW224" s="18"/>
      <c r="APX224" s="18"/>
      <c r="APY224" s="18"/>
      <c r="APZ224" s="18"/>
      <c r="AQA224" s="18"/>
      <c r="AQB224" s="18"/>
      <c r="AQC224" s="18"/>
      <c r="AQD224" s="18"/>
      <c r="AQE224" s="18"/>
      <c r="AQF224" s="18"/>
      <c r="AQG224" s="18"/>
      <c r="AQH224" s="18"/>
      <c r="AQI224" s="18"/>
      <c r="AQJ224" s="18"/>
      <c r="AQK224" s="18"/>
      <c r="AQL224" s="18"/>
      <c r="AQM224" s="18"/>
      <c r="AQN224" s="18"/>
      <c r="AQO224" s="18"/>
      <c r="AQP224" s="18"/>
      <c r="AQQ224" s="18"/>
      <c r="AQR224" s="18"/>
      <c r="AQS224" s="18"/>
      <c r="AQT224" s="18"/>
      <c r="AQU224" s="18"/>
      <c r="AQV224" s="18"/>
      <c r="AQW224" s="18"/>
      <c r="AQX224" s="18"/>
      <c r="AQY224" s="18"/>
      <c r="AQZ224" s="18"/>
      <c r="ARA224" s="18"/>
      <c r="ARB224" s="18"/>
      <c r="ARC224" s="18"/>
      <c r="ARD224" s="18"/>
      <c r="ARE224" s="18"/>
      <c r="ARF224" s="18"/>
      <c r="ARG224" s="18"/>
      <c r="ARH224" s="18"/>
      <c r="ARI224" s="18"/>
      <c r="ARJ224" s="18"/>
      <c r="ARK224" s="18"/>
      <c r="ARL224" s="18"/>
      <c r="ARM224" s="18"/>
      <c r="ARN224" s="18"/>
      <c r="ARO224" s="18"/>
      <c r="ARP224" s="18"/>
      <c r="ARQ224" s="18"/>
      <c r="ARR224" s="18"/>
      <c r="ARS224" s="18"/>
      <c r="ART224" s="18"/>
      <c r="ARU224" s="18"/>
      <c r="ARV224" s="18"/>
      <c r="ARW224" s="18"/>
      <c r="ARX224" s="18"/>
      <c r="ARY224" s="18"/>
      <c r="ARZ224" s="18"/>
      <c r="ASA224" s="18"/>
      <c r="ASB224" s="18"/>
      <c r="ASC224" s="18"/>
      <c r="ASD224" s="18"/>
      <c r="ASE224" s="18"/>
      <c r="ASF224" s="18"/>
      <c r="ASG224" s="18"/>
      <c r="ASH224" s="18"/>
      <c r="ASI224" s="18"/>
      <c r="ASJ224" s="18"/>
      <c r="ASK224" s="18"/>
      <c r="ASL224" s="18"/>
      <c r="ASM224" s="18"/>
      <c r="ASN224" s="18"/>
      <c r="ASO224" s="18"/>
      <c r="ASP224" s="18"/>
      <c r="ASQ224" s="18"/>
      <c r="ASR224" s="18"/>
      <c r="ASS224" s="18"/>
      <c r="AST224" s="18"/>
      <c r="ASU224" s="18"/>
      <c r="ASV224" s="18"/>
      <c r="ASW224" s="18"/>
      <c r="ASX224" s="18"/>
      <c r="ASY224" s="18"/>
      <c r="ASZ224" s="18"/>
      <c r="ATA224" s="18"/>
      <c r="ATB224" s="18"/>
      <c r="ATC224" s="18"/>
      <c r="ATD224" s="18"/>
      <c r="ATE224" s="18"/>
      <c r="ATF224" s="18"/>
      <c r="ATG224" s="18"/>
      <c r="ATH224" s="18"/>
      <c r="ATI224" s="18"/>
      <c r="ATJ224" s="18"/>
      <c r="ATK224" s="18"/>
      <c r="ATL224" s="18"/>
      <c r="ATM224" s="18"/>
      <c r="ATN224" s="18"/>
      <c r="ATO224" s="18"/>
      <c r="ATP224" s="18"/>
      <c r="ATQ224" s="18"/>
      <c r="ATR224" s="18"/>
      <c r="ATS224" s="18"/>
      <c r="ATT224" s="18"/>
      <c r="ATU224" s="18"/>
      <c r="ATV224" s="18"/>
      <c r="ATW224" s="18"/>
      <c r="ATX224" s="18"/>
      <c r="ATY224" s="18"/>
      <c r="ATZ224" s="18"/>
      <c r="AUA224" s="18"/>
      <c r="AUB224" s="18"/>
      <c r="AUC224" s="18"/>
      <c r="AUD224" s="18"/>
      <c r="AUE224" s="18"/>
      <c r="AUF224" s="18"/>
      <c r="AUG224" s="18"/>
      <c r="AUH224" s="18"/>
      <c r="AUI224" s="18"/>
      <c r="AUJ224" s="18"/>
      <c r="AUK224" s="18"/>
      <c r="AUL224" s="18"/>
      <c r="AUM224" s="18"/>
      <c r="AUN224" s="18"/>
      <c r="AUO224" s="18"/>
      <c r="AUP224" s="18"/>
      <c r="AUQ224" s="18"/>
      <c r="AUR224" s="18"/>
      <c r="AUS224" s="18"/>
      <c r="AUT224" s="18"/>
      <c r="AUU224" s="18"/>
      <c r="AUV224" s="18"/>
      <c r="AUW224" s="18"/>
      <c r="AUX224" s="18"/>
      <c r="AUY224" s="18"/>
      <c r="AUZ224" s="18"/>
      <c r="AVA224" s="18"/>
      <c r="AVB224" s="18"/>
      <c r="AVC224" s="18"/>
      <c r="AVD224" s="18"/>
      <c r="AVE224" s="18"/>
      <c r="AVF224" s="18"/>
      <c r="AVG224" s="18"/>
      <c r="AVH224" s="18"/>
      <c r="AVI224" s="18"/>
      <c r="AVJ224" s="18"/>
      <c r="AVK224" s="18"/>
      <c r="AVL224" s="18"/>
      <c r="AVM224" s="18"/>
      <c r="AVN224" s="18"/>
      <c r="AVO224" s="18"/>
      <c r="AVP224" s="18"/>
      <c r="AVQ224" s="18"/>
      <c r="AVR224" s="18"/>
      <c r="AVS224" s="18"/>
      <c r="AVT224" s="18"/>
      <c r="AVU224" s="18"/>
      <c r="AVV224" s="18"/>
      <c r="AVW224" s="18"/>
      <c r="AVX224" s="18"/>
      <c r="AVY224" s="18"/>
      <c r="AVZ224" s="18"/>
      <c r="AWA224" s="18"/>
      <c r="AWB224" s="18"/>
      <c r="AWC224" s="18"/>
      <c r="AWD224" s="18"/>
      <c r="AWE224" s="18"/>
      <c r="AWF224" s="18"/>
      <c r="AWG224" s="18"/>
      <c r="AWH224" s="18"/>
      <c r="AWI224" s="18"/>
      <c r="AWJ224" s="18"/>
      <c r="AWK224" s="18"/>
      <c r="AWL224" s="18"/>
      <c r="AWM224" s="18"/>
      <c r="AWN224" s="18"/>
      <c r="AWO224" s="18"/>
      <c r="AWP224" s="18"/>
      <c r="AWQ224" s="18"/>
      <c r="AWR224" s="18"/>
      <c r="AWS224" s="18"/>
      <c r="AWT224" s="18"/>
      <c r="AWU224" s="18"/>
      <c r="AWV224" s="18"/>
      <c r="AWW224" s="18"/>
      <c r="AWX224" s="18"/>
      <c r="AWY224" s="18"/>
      <c r="AWZ224" s="18"/>
      <c r="AXA224" s="18"/>
      <c r="AXB224" s="18"/>
      <c r="AXC224" s="18"/>
      <c r="AXD224" s="18"/>
      <c r="AXE224" s="18"/>
      <c r="AXF224" s="18"/>
      <c r="AXG224" s="18"/>
      <c r="AXH224" s="18"/>
      <c r="AXI224" s="18"/>
      <c r="AXJ224" s="18"/>
      <c r="AXK224" s="18"/>
      <c r="AXL224" s="18"/>
      <c r="AXM224" s="18"/>
      <c r="AXN224" s="18"/>
      <c r="AXO224" s="18"/>
      <c r="AXP224" s="18"/>
      <c r="AXQ224" s="18"/>
      <c r="AXR224" s="18"/>
      <c r="AXS224" s="18"/>
      <c r="AXT224" s="18"/>
      <c r="AXU224" s="18"/>
      <c r="AXV224" s="18"/>
      <c r="AXW224" s="18"/>
      <c r="AXX224" s="18"/>
      <c r="AXY224" s="18"/>
      <c r="AXZ224" s="18"/>
      <c r="AYA224" s="18"/>
      <c r="AYB224" s="18"/>
      <c r="AYC224" s="18"/>
      <c r="AYD224" s="18"/>
      <c r="AYE224" s="18"/>
      <c r="AYF224" s="18"/>
      <c r="AYG224" s="18"/>
      <c r="AYH224" s="18"/>
      <c r="AYI224" s="18"/>
      <c r="AYJ224" s="18"/>
      <c r="AYK224" s="18"/>
      <c r="AYL224" s="18"/>
      <c r="AYM224" s="18"/>
      <c r="AYN224" s="18"/>
      <c r="AYO224" s="18"/>
      <c r="AYP224" s="18"/>
      <c r="AYQ224" s="18"/>
      <c r="AYR224" s="18"/>
      <c r="AYS224" s="18"/>
      <c r="AYT224" s="18"/>
      <c r="AYU224" s="18"/>
      <c r="AYV224" s="18"/>
      <c r="AYW224" s="18"/>
      <c r="AYX224" s="18"/>
      <c r="AYY224" s="18"/>
      <c r="AYZ224" s="18"/>
      <c r="AZA224" s="18"/>
      <c r="AZB224" s="18"/>
      <c r="AZC224" s="18"/>
      <c r="AZD224" s="18"/>
      <c r="AZE224" s="18"/>
      <c r="AZF224" s="18"/>
      <c r="AZG224" s="18"/>
      <c r="AZH224" s="18"/>
      <c r="AZI224" s="18"/>
      <c r="AZJ224" s="18"/>
      <c r="AZK224" s="18"/>
      <c r="AZL224" s="18"/>
      <c r="AZM224" s="18"/>
      <c r="AZN224" s="18"/>
      <c r="AZO224" s="18"/>
      <c r="AZP224" s="18"/>
      <c r="AZQ224" s="18"/>
      <c r="AZR224" s="18"/>
      <c r="AZS224" s="18"/>
      <c r="AZT224" s="18"/>
      <c r="AZU224" s="18"/>
      <c r="AZV224" s="18"/>
      <c r="AZW224" s="18"/>
      <c r="AZX224" s="18"/>
      <c r="AZY224" s="18"/>
      <c r="AZZ224" s="18"/>
      <c r="BAA224" s="18"/>
      <c r="BAB224" s="18"/>
      <c r="BAC224" s="18"/>
      <c r="BAD224" s="18"/>
      <c r="BAE224" s="18"/>
      <c r="BAF224" s="18"/>
      <c r="BAG224" s="18"/>
      <c r="BAH224" s="18"/>
      <c r="BAI224" s="18"/>
      <c r="BAJ224" s="18"/>
      <c r="BAK224" s="18"/>
      <c r="BAL224" s="18"/>
      <c r="BAM224" s="18"/>
      <c r="BAN224" s="18"/>
      <c r="BAO224" s="18"/>
      <c r="BAP224" s="18"/>
      <c r="BAQ224" s="18"/>
      <c r="BAR224" s="18"/>
      <c r="BAS224" s="18"/>
      <c r="BAT224" s="18"/>
      <c r="BAU224" s="18"/>
      <c r="BAV224" s="18"/>
      <c r="BAW224" s="18"/>
      <c r="BAX224" s="18"/>
      <c r="BAY224" s="18"/>
      <c r="BAZ224" s="18"/>
      <c r="BBA224" s="18"/>
      <c r="BBB224" s="18"/>
      <c r="BBC224" s="18"/>
      <c r="BBD224" s="18"/>
      <c r="BBE224" s="18"/>
      <c r="BBF224" s="18"/>
      <c r="BBG224" s="18"/>
      <c r="BBH224" s="18"/>
      <c r="BBI224" s="18"/>
      <c r="BBJ224" s="18"/>
      <c r="BBK224" s="18"/>
      <c r="BBL224" s="18"/>
      <c r="BBM224" s="18"/>
      <c r="BBN224" s="18"/>
      <c r="BBO224" s="18"/>
      <c r="BBP224" s="18"/>
      <c r="BBQ224" s="18"/>
      <c r="BBR224" s="18"/>
      <c r="BBS224" s="18"/>
      <c r="BBT224" s="18"/>
      <c r="BBU224" s="18"/>
      <c r="BBV224" s="18"/>
      <c r="BBW224" s="18"/>
      <c r="BBX224" s="18"/>
      <c r="BBY224" s="18"/>
      <c r="BBZ224" s="18"/>
      <c r="BCA224" s="18"/>
      <c r="BCB224" s="18"/>
      <c r="BCC224" s="18"/>
      <c r="BCD224" s="18"/>
      <c r="BCE224" s="18"/>
      <c r="BCF224" s="18"/>
      <c r="BCG224" s="18"/>
      <c r="BCH224" s="18"/>
      <c r="BCI224" s="18"/>
      <c r="BCJ224" s="18"/>
      <c r="BCK224" s="18"/>
      <c r="BCL224" s="18"/>
      <c r="BCM224" s="18"/>
      <c r="BCN224" s="18"/>
      <c r="BCO224" s="18"/>
      <c r="BCP224" s="18"/>
      <c r="BCQ224" s="18"/>
      <c r="BCR224" s="18"/>
      <c r="BCS224" s="18"/>
      <c r="BCT224" s="18"/>
      <c r="BCU224" s="18"/>
      <c r="BCV224" s="18"/>
      <c r="BCW224" s="18"/>
      <c r="BCX224" s="18"/>
      <c r="BCY224" s="18"/>
      <c r="BCZ224" s="18"/>
      <c r="BDA224" s="18"/>
      <c r="BDB224" s="18"/>
      <c r="BDC224" s="18"/>
      <c r="BDD224" s="18"/>
      <c r="BDE224" s="18"/>
      <c r="BDF224" s="18"/>
      <c r="BDG224" s="18"/>
      <c r="BDH224" s="18"/>
      <c r="BDI224" s="18"/>
      <c r="BDJ224" s="18"/>
      <c r="BDK224" s="18"/>
      <c r="BDL224" s="18"/>
      <c r="BDM224" s="18"/>
      <c r="BDN224" s="18"/>
      <c r="BDO224" s="18"/>
      <c r="BDP224" s="18"/>
      <c r="BDQ224" s="18"/>
      <c r="BDR224" s="18"/>
      <c r="BDS224" s="18"/>
      <c r="BDT224" s="18"/>
      <c r="BDU224" s="18"/>
      <c r="BDV224" s="18"/>
      <c r="BDW224" s="18"/>
      <c r="BDX224" s="18"/>
      <c r="BDY224" s="18"/>
      <c r="BDZ224" s="18"/>
      <c r="BEA224" s="18"/>
      <c r="BEB224" s="18"/>
      <c r="BEC224" s="18"/>
      <c r="BED224" s="18"/>
      <c r="BEE224" s="18"/>
      <c r="BEF224" s="18"/>
      <c r="BEG224" s="18"/>
      <c r="BEH224" s="18"/>
      <c r="BEI224" s="18"/>
      <c r="BEJ224" s="18"/>
      <c r="BEK224" s="18"/>
      <c r="BEL224" s="18"/>
      <c r="BEM224" s="18"/>
      <c r="BEN224" s="18"/>
      <c r="BEO224" s="18"/>
      <c r="BEP224" s="18"/>
      <c r="BEQ224" s="18"/>
      <c r="BER224" s="18"/>
      <c r="BES224" s="18"/>
      <c r="BET224" s="18"/>
      <c r="BEU224" s="18"/>
      <c r="BEV224" s="18"/>
      <c r="BEW224" s="18"/>
      <c r="BEX224" s="18"/>
      <c r="BEY224" s="18"/>
      <c r="BEZ224" s="18"/>
      <c r="BFA224" s="18"/>
      <c r="BFB224" s="18"/>
      <c r="BFC224" s="18"/>
      <c r="BFD224" s="18"/>
      <c r="BFE224" s="18"/>
      <c r="BFF224" s="18"/>
      <c r="BFG224" s="18"/>
      <c r="BFH224" s="18"/>
      <c r="BFI224" s="18"/>
      <c r="BFJ224" s="18"/>
      <c r="BFK224" s="18"/>
      <c r="BFL224" s="18"/>
      <c r="BFM224" s="18"/>
      <c r="BFN224" s="18"/>
      <c r="BFO224" s="18"/>
      <c r="BFP224" s="18"/>
      <c r="BFQ224" s="18"/>
      <c r="BFR224" s="18"/>
      <c r="BFS224" s="18"/>
      <c r="BFT224" s="18"/>
      <c r="BFU224" s="18"/>
      <c r="BFV224" s="18"/>
      <c r="BFW224" s="18"/>
      <c r="BFX224" s="18"/>
      <c r="BFY224" s="18"/>
      <c r="BFZ224" s="18"/>
      <c r="BGA224" s="18"/>
      <c r="BGB224" s="18"/>
      <c r="BGC224" s="18"/>
      <c r="BGD224" s="18"/>
      <c r="BGE224" s="18"/>
      <c r="BGF224" s="18"/>
      <c r="BGG224" s="18"/>
      <c r="BGH224" s="18"/>
      <c r="BGI224" s="18"/>
      <c r="BGJ224" s="18"/>
      <c r="BGK224" s="18"/>
      <c r="BGL224" s="18"/>
      <c r="BGM224" s="18"/>
      <c r="BGN224" s="18"/>
      <c r="BGO224" s="18"/>
      <c r="BGP224" s="18"/>
      <c r="BGQ224" s="18"/>
      <c r="BGR224" s="18"/>
      <c r="BGS224" s="18"/>
      <c r="BGT224" s="18"/>
      <c r="BGU224" s="18"/>
      <c r="BGV224" s="18"/>
      <c r="BGW224" s="18"/>
      <c r="BGX224" s="18"/>
      <c r="BGY224" s="18"/>
      <c r="BGZ224" s="18"/>
      <c r="BHA224" s="18"/>
      <c r="BHB224" s="18"/>
      <c r="BHC224" s="18"/>
      <c r="BHD224" s="18"/>
      <c r="BHE224" s="18"/>
      <c r="BHF224" s="18"/>
      <c r="BHG224" s="18"/>
      <c r="BHH224" s="18"/>
      <c r="BHI224" s="18"/>
      <c r="BHJ224" s="18"/>
      <c r="BHK224" s="18"/>
      <c r="BHL224" s="18"/>
      <c r="BHM224" s="18"/>
      <c r="BHN224" s="18"/>
      <c r="BHO224" s="18"/>
      <c r="BHP224" s="18"/>
      <c r="BHQ224" s="18"/>
      <c r="BHR224" s="18"/>
      <c r="BHS224" s="18"/>
      <c r="BHT224" s="18"/>
      <c r="BHU224" s="18"/>
      <c r="BHV224" s="18"/>
      <c r="BHW224" s="18"/>
      <c r="BHX224" s="18"/>
      <c r="BHY224" s="18"/>
      <c r="BHZ224" s="18"/>
      <c r="BIA224" s="18"/>
      <c r="BIB224" s="18"/>
      <c r="BIC224" s="18"/>
      <c r="BID224" s="18"/>
      <c r="BIE224" s="18"/>
      <c r="BIF224" s="18"/>
      <c r="BIG224" s="18"/>
      <c r="BIH224" s="18"/>
      <c r="BII224" s="18"/>
      <c r="BIJ224" s="18"/>
      <c r="BIK224" s="18"/>
      <c r="BIL224" s="18"/>
      <c r="BIM224" s="18"/>
      <c r="BIN224" s="18"/>
      <c r="BIO224" s="18"/>
      <c r="BIP224" s="18"/>
      <c r="BIQ224" s="18"/>
      <c r="BIR224" s="18"/>
      <c r="BIS224" s="18"/>
      <c r="BIT224" s="18"/>
      <c r="BIU224" s="18"/>
      <c r="BIV224" s="18"/>
      <c r="BIW224" s="18"/>
      <c r="BIX224" s="18"/>
      <c r="BIY224" s="18"/>
      <c r="BIZ224" s="18"/>
      <c r="BJA224" s="18"/>
      <c r="BJB224" s="18"/>
      <c r="BJC224" s="18"/>
      <c r="BJD224" s="18"/>
      <c r="BJE224" s="18"/>
      <c r="BJF224" s="18"/>
      <c r="BJG224" s="18"/>
      <c r="BJH224" s="18"/>
      <c r="BJI224" s="18"/>
      <c r="BJJ224" s="18"/>
      <c r="BJK224" s="18"/>
      <c r="BJL224" s="18"/>
      <c r="BJM224" s="18"/>
      <c r="BJN224" s="18"/>
      <c r="BJO224" s="18"/>
      <c r="BJP224" s="18"/>
      <c r="BJQ224" s="18"/>
      <c r="BJR224" s="18"/>
      <c r="BJS224" s="18"/>
      <c r="BJT224" s="18"/>
      <c r="BJU224" s="18"/>
      <c r="BJV224" s="18"/>
      <c r="BJW224" s="18"/>
      <c r="BJX224" s="18"/>
      <c r="BJY224" s="18"/>
      <c r="BJZ224" s="18"/>
      <c r="BKA224" s="18"/>
      <c r="BKB224" s="18"/>
      <c r="BKC224" s="18"/>
      <c r="BKD224" s="18"/>
      <c r="BKE224" s="18"/>
      <c r="BKF224" s="18"/>
      <c r="BKG224" s="18"/>
      <c r="BKH224" s="18"/>
      <c r="BKI224" s="18"/>
      <c r="BKJ224" s="18"/>
      <c r="BKK224" s="18"/>
      <c r="BKL224" s="18"/>
      <c r="BKM224" s="18"/>
      <c r="BKN224" s="18"/>
      <c r="BKO224" s="18"/>
      <c r="BKP224" s="18"/>
      <c r="BKQ224" s="18"/>
      <c r="BKR224" s="18"/>
      <c r="BKS224" s="18"/>
      <c r="BKT224" s="18"/>
      <c r="BKU224" s="18"/>
      <c r="BKV224" s="18"/>
      <c r="BKW224" s="18"/>
      <c r="BKX224" s="18"/>
      <c r="BKY224" s="18"/>
      <c r="BKZ224" s="18"/>
      <c r="BLA224" s="18"/>
      <c r="BLB224" s="18"/>
      <c r="BLC224" s="18"/>
      <c r="BLD224" s="18"/>
      <c r="BLE224" s="18"/>
      <c r="BLF224" s="18"/>
      <c r="BLG224" s="18"/>
      <c r="BLH224" s="18"/>
      <c r="BLI224" s="18"/>
      <c r="BLJ224" s="18"/>
      <c r="BLK224" s="18"/>
      <c r="BLL224" s="18"/>
      <c r="BLM224" s="18"/>
      <c r="BLN224" s="18"/>
      <c r="BLO224" s="18"/>
      <c r="BLP224" s="18"/>
      <c r="BLQ224" s="18"/>
      <c r="BLR224" s="18"/>
      <c r="BLS224" s="18"/>
      <c r="BLT224" s="18"/>
      <c r="BLU224" s="18"/>
      <c r="BLV224" s="18"/>
      <c r="BLW224" s="18"/>
      <c r="BLX224" s="18"/>
      <c r="BLY224" s="18"/>
      <c r="BLZ224" s="18"/>
      <c r="BMA224" s="18"/>
      <c r="BMB224" s="18"/>
      <c r="BMC224" s="18"/>
      <c r="BMD224" s="18"/>
      <c r="BME224" s="18"/>
      <c r="BMF224" s="18"/>
      <c r="BMG224" s="18"/>
      <c r="BMH224" s="18"/>
      <c r="BMI224" s="18"/>
      <c r="BMJ224" s="18"/>
      <c r="BMK224" s="18"/>
      <c r="BML224" s="18"/>
      <c r="BMM224" s="18"/>
      <c r="BMN224" s="18"/>
      <c r="BMO224" s="18"/>
      <c r="BMP224" s="18"/>
      <c r="BMQ224" s="18"/>
      <c r="BMR224" s="18"/>
      <c r="BMS224" s="18"/>
      <c r="BMT224" s="18"/>
      <c r="BMU224" s="18"/>
      <c r="BMV224" s="18"/>
      <c r="BMW224" s="18"/>
      <c r="BMX224" s="18"/>
      <c r="BMY224" s="18"/>
      <c r="BMZ224" s="18"/>
      <c r="BNA224" s="18"/>
      <c r="BNB224" s="18"/>
      <c r="BNC224" s="18"/>
      <c r="BND224" s="18"/>
      <c r="BNE224" s="18"/>
      <c r="BNF224" s="18"/>
      <c r="BNG224" s="18"/>
      <c r="BNH224" s="18"/>
      <c r="BNI224" s="18"/>
      <c r="BNJ224" s="18"/>
      <c r="BNK224" s="18"/>
      <c r="BNL224" s="18"/>
      <c r="BNM224" s="18"/>
      <c r="BNN224" s="18"/>
      <c r="BNO224" s="18"/>
      <c r="BNP224" s="18"/>
      <c r="BNQ224" s="18"/>
      <c r="BNR224" s="18"/>
      <c r="BNS224" s="18"/>
      <c r="BNT224" s="18"/>
      <c r="BNU224" s="18"/>
      <c r="BNV224" s="18"/>
      <c r="BNW224" s="18"/>
      <c r="BNX224" s="18"/>
      <c r="BNY224" s="18"/>
      <c r="BNZ224" s="18"/>
      <c r="BOA224" s="18"/>
      <c r="BOB224" s="18"/>
      <c r="BOC224" s="18"/>
      <c r="BOD224" s="18"/>
      <c r="BOE224" s="18"/>
      <c r="BOF224" s="18"/>
      <c r="BOG224" s="18"/>
      <c r="BOH224" s="18"/>
      <c r="BOI224" s="18"/>
      <c r="BOJ224" s="18"/>
      <c r="BOK224" s="18"/>
      <c r="BOL224" s="18"/>
      <c r="BOM224" s="18"/>
      <c r="BON224" s="18"/>
      <c r="BOO224" s="18"/>
      <c r="BOP224" s="18"/>
      <c r="BOQ224" s="18"/>
      <c r="BOR224" s="18"/>
      <c r="BOS224" s="18"/>
      <c r="BOT224" s="18"/>
      <c r="BOU224" s="18"/>
      <c r="BOV224" s="18"/>
      <c r="BOW224" s="18"/>
      <c r="BOX224" s="18"/>
      <c r="BOY224" s="18"/>
      <c r="BOZ224" s="18"/>
      <c r="BPA224" s="18"/>
      <c r="BPB224" s="18"/>
      <c r="BPC224" s="18"/>
      <c r="BPD224" s="18"/>
      <c r="BPE224" s="18"/>
      <c r="BPF224" s="18"/>
      <c r="BPG224" s="18"/>
      <c r="BPH224" s="18"/>
      <c r="BPI224" s="18"/>
      <c r="BPJ224" s="18"/>
      <c r="BPK224" s="18"/>
      <c r="BPL224" s="18"/>
      <c r="BPM224" s="18"/>
      <c r="BPN224" s="18"/>
      <c r="BPO224" s="18"/>
      <c r="BPP224" s="18"/>
      <c r="BPQ224" s="18"/>
      <c r="BPR224" s="18"/>
      <c r="BPS224" s="18"/>
      <c r="BPT224" s="18"/>
      <c r="BPU224" s="18"/>
      <c r="BPV224" s="18"/>
      <c r="BPW224" s="18"/>
      <c r="BPX224" s="18"/>
      <c r="BPY224" s="18"/>
      <c r="BPZ224" s="18"/>
      <c r="BQA224" s="18"/>
      <c r="BQB224" s="18"/>
      <c r="BQC224" s="18"/>
      <c r="BQD224" s="18"/>
      <c r="BQE224" s="18"/>
      <c r="BQF224" s="18"/>
      <c r="BQG224" s="18"/>
      <c r="BQH224" s="18"/>
      <c r="BQI224" s="18"/>
      <c r="BQJ224" s="18"/>
      <c r="BQK224" s="18"/>
      <c r="BQL224" s="18"/>
      <c r="BQM224" s="18"/>
      <c r="BQN224" s="18"/>
      <c r="BQO224" s="18"/>
      <c r="BQP224" s="18"/>
      <c r="BQQ224" s="18"/>
      <c r="BQR224" s="18"/>
      <c r="BQS224" s="18"/>
      <c r="BQT224" s="18"/>
      <c r="BQU224" s="18"/>
      <c r="BQV224" s="18"/>
      <c r="BQW224" s="18"/>
      <c r="BQX224" s="18"/>
      <c r="BQY224" s="18"/>
      <c r="BQZ224" s="18"/>
      <c r="BRA224" s="18"/>
      <c r="BRB224" s="18"/>
      <c r="BRC224" s="18"/>
      <c r="BRD224" s="18"/>
      <c r="BRE224" s="18"/>
      <c r="BRF224" s="18"/>
      <c r="BRG224" s="18"/>
      <c r="BRH224" s="18"/>
      <c r="BRI224" s="18"/>
      <c r="BRJ224" s="18"/>
      <c r="BRK224" s="18"/>
      <c r="BRL224" s="18"/>
      <c r="BRM224" s="18"/>
      <c r="BRN224" s="18"/>
      <c r="BRO224" s="18"/>
      <c r="BRP224" s="18"/>
      <c r="BRQ224" s="18"/>
      <c r="BRR224" s="18"/>
      <c r="BRS224" s="18"/>
      <c r="BRT224" s="18"/>
      <c r="BRU224" s="18"/>
      <c r="BRV224" s="18"/>
      <c r="BRW224" s="18"/>
      <c r="BRX224" s="18"/>
      <c r="BRY224" s="18"/>
      <c r="BRZ224" s="18"/>
      <c r="BSA224" s="18"/>
      <c r="BSB224" s="18"/>
      <c r="BSC224" s="18"/>
      <c r="BSD224" s="18"/>
      <c r="BSE224" s="18"/>
      <c r="BSF224" s="18"/>
      <c r="BSG224" s="18"/>
      <c r="BSH224" s="18"/>
      <c r="BSI224" s="18"/>
      <c r="BSJ224" s="18"/>
      <c r="BSK224" s="18"/>
      <c r="BSL224" s="18"/>
      <c r="BSM224" s="18"/>
      <c r="BSN224" s="18"/>
      <c r="BSO224" s="18"/>
      <c r="BSP224" s="18"/>
      <c r="BSQ224" s="18"/>
      <c r="BSR224" s="18"/>
      <c r="BSS224" s="18"/>
      <c r="BST224" s="18"/>
      <c r="BSU224" s="18"/>
      <c r="BSV224" s="18"/>
      <c r="BSW224" s="18"/>
      <c r="BSX224" s="18"/>
      <c r="BSY224" s="18"/>
      <c r="BSZ224" s="18"/>
      <c r="BTA224" s="18"/>
      <c r="BTB224" s="18"/>
      <c r="BTC224" s="18"/>
      <c r="BTD224" s="18"/>
      <c r="BTE224" s="18"/>
      <c r="BTF224" s="18"/>
      <c r="BTG224" s="18"/>
      <c r="BTH224" s="18"/>
    </row>
    <row r="225" spans="1:122" ht="35.25" customHeight="1" x14ac:dyDescent="0.3">
      <c r="A225" s="98"/>
      <c r="B225" s="456" t="s">
        <v>25</v>
      </c>
      <c r="C225" s="457"/>
      <c r="D225" s="459"/>
      <c r="E225" s="459"/>
      <c r="F225" s="473"/>
      <c r="G225" s="441"/>
      <c r="H225" s="859"/>
      <c r="I225" s="859"/>
      <c r="J225" s="173"/>
      <c r="K225" s="551"/>
    </row>
    <row r="226" spans="1:122" ht="116.4" customHeight="1" x14ac:dyDescent="0.3">
      <c r="A226" s="115">
        <v>621</v>
      </c>
      <c r="B226" s="115" t="s">
        <v>304</v>
      </c>
      <c r="C226" s="115" t="s">
        <v>332</v>
      </c>
      <c r="D226" s="114" t="s">
        <v>602</v>
      </c>
      <c r="E226" s="343" t="e">
        <f>INDEX('PY1 Data(H)'!$A$1:$CZ$260,MATCH('Unit Data from Audit Worksheet'!$A226,'PY1 Data(H)'!$A$1:$A$260,0),MATCH('Unit Data from Audit Worksheet'!$D$2,'PY1 Data(H)'!$A$1:$CZ$1,0))</f>
        <v>#N/A</v>
      </c>
      <c r="F226" s="182">
        <v>0</v>
      </c>
      <c r="G226" s="399" t="s">
        <v>603</v>
      </c>
      <c r="H226" s="871"/>
      <c r="I226" s="871"/>
      <c r="J226" s="173"/>
      <c r="K226" s="551"/>
    </row>
    <row r="227" spans="1:122" ht="176.25" customHeight="1" x14ac:dyDescent="0.3">
      <c r="A227" s="98">
        <v>547</v>
      </c>
      <c r="B227" s="345"/>
      <c r="C227" s="345" t="s">
        <v>136</v>
      </c>
      <c r="D227" s="342" t="s">
        <v>1358</v>
      </c>
      <c r="E227" s="343" t="e">
        <f>INDEX('PY1 Data(H)'!$A$1:$CZ$260,MATCH('Unit Data from Audit Worksheet'!$A227,'PY1 Data(H)'!$A$1:$A$260,0),MATCH('Unit Data from Audit Worksheet'!$D$2,'PY1 Data(H)'!$A$1:$CZ$1,0))</f>
        <v>#N/A</v>
      </c>
      <c r="F227" s="378"/>
      <c r="G227" s="398" t="str">
        <f>IF(F227&lt;1,"Please answer this question","")</f>
        <v>Please answer this question</v>
      </c>
      <c r="H227" s="858"/>
      <c r="I227" s="858"/>
      <c r="J227" s="173"/>
      <c r="K227" s="551"/>
    </row>
    <row r="228" spans="1:122" s="18" customFormat="1" ht="140.4" customHeight="1" x14ac:dyDescent="0.3">
      <c r="A228" s="187">
        <v>659</v>
      </c>
      <c r="B228" s="423" t="s">
        <v>58</v>
      </c>
      <c r="C228" s="423" t="s">
        <v>321</v>
      </c>
      <c r="D228" s="190" t="s">
        <v>604</v>
      </c>
      <c r="E228" s="343" t="e">
        <f>INDEX('PY1 Data(H)'!$A$1:$CZ$260,MATCH('Unit Data from Audit Worksheet'!$A228,'PY1 Data(H)'!$A$1:$A$260,0),MATCH('Unit Data from Audit Worksheet'!$D$2,'PY1 Data(H)'!$A$1:$CZ$1,0))</f>
        <v>#N/A</v>
      </c>
      <c r="F228" s="182">
        <v>0</v>
      </c>
      <c r="G228" s="399" t="s">
        <v>605</v>
      </c>
      <c r="H228" s="874">
        <f>IF(F225&lt;0,"Error: Enter as positive.",)</f>
        <v>0</v>
      </c>
      <c r="I228" s="863"/>
      <c r="J228" s="173"/>
      <c r="K228" s="551"/>
      <c r="L228"/>
      <c r="N228" s="183"/>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row>
    <row r="229" spans="1:122" ht="65.25" customHeight="1" x14ac:dyDescent="0.3">
      <c r="A229" s="187">
        <v>660</v>
      </c>
      <c r="B229" s="423" t="s">
        <v>58</v>
      </c>
      <c r="C229" s="423" t="s">
        <v>321</v>
      </c>
      <c r="D229" s="190" t="s">
        <v>606</v>
      </c>
      <c r="E229" s="343" t="e">
        <f>INDEX('PY1 Data(H)'!$A$1:$CZ$260,MATCH('Unit Data from Audit Worksheet'!$A229,'PY1 Data(H)'!$A$1:$A$260,0),MATCH('Unit Data from Audit Worksheet'!$D$2,'PY1 Data(H)'!$A$1:$CZ$1,0))</f>
        <v>#N/A</v>
      </c>
      <c r="F229" s="182">
        <v>0</v>
      </c>
      <c r="G229" s="399" t="str">
        <f>IF(ISBLANK(F229),"Please do not leave blank","")</f>
        <v/>
      </c>
      <c r="H229" s="874">
        <f>IF(F229&lt;0,"Note: Number is normally positive.",)</f>
        <v>0</v>
      </c>
      <c r="I229" s="859"/>
      <c r="J229" s="173"/>
      <c r="K229" s="551"/>
    </row>
    <row r="230" spans="1:122" ht="94.5" customHeight="1" x14ac:dyDescent="0.3">
      <c r="A230" s="187">
        <v>661</v>
      </c>
      <c r="B230" s="423" t="s">
        <v>58</v>
      </c>
      <c r="C230" s="423" t="s">
        <v>323</v>
      </c>
      <c r="D230" s="317" t="s">
        <v>607</v>
      </c>
      <c r="E230" s="848" t="e">
        <f>INDEX('PY1 Data(H)'!$A$1:$CZ$260,MATCH('Unit Data from Audit Worksheet'!$A230,'PY1 Data(H)'!$A$1:$A$260,0),MATCH('Unit Data from Audit Worksheet'!$D$2,'PY1 Data(H)'!$A$1:$CZ$1,0))</f>
        <v>#N/A</v>
      </c>
      <c r="F230" s="175">
        <v>0</v>
      </c>
      <c r="G230" s="399" t="str">
        <f>IF(ISBLANK(F230),"Please do not leave blank ",IF(F230=H230,"","Please review percentage"))</f>
        <v/>
      </c>
      <c r="H230" s="875">
        <f>ROUND(IFERROR((F229/F228)*100,0),1)</f>
        <v>0</v>
      </c>
      <c r="I230" s="875"/>
      <c r="J230" s="173"/>
      <c r="K230" s="551"/>
    </row>
    <row r="231" spans="1:122" ht="111.75" customHeight="1" x14ac:dyDescent="0.3">
      <c r="A231" s="98"/>
      <c r="B231" s="345"/>
      <c r="C231" s="345"/>
      <c r="D231" s="22" t="s">
        <v>26</v>
      </c>
      <c r="E231" s="347"/>
      <c r="F231" s="347"/>
      <c r="G231" s="399"/>
      <c r="H231" s="875"/>
      <c r="I231" s="881"/>
      <c r="J231" s="173"/>
      <c r="K231" s="551"/>
    </row>
    <row r="232" spans="1:122" ht="32.25" customHeight="1" x14ac:dyDescent="0.3">
      <c r="A232" s="98"/>
      <c r="B232" s="456" t="s">
        <v>27</v>
      </c>
      <c r="C232" s="457"/>
      <c r="D232" s="459"/>
      <c r="E232" s="472"/>
      <c r="F232" s="472"/>
      <c r="G232" s="441"/>
      <c r="H232" s="859"/>
      <c r="I232" s="859"/>
      <c r="J232" s="173"/>
      <c r="K232" s="551"/>
    </row>
    <row r="233" spans="1:122" ht="63.75" customHeight="1" x14ac:dyDescent="0.3">
      <c r="A233" s="28">
        <v>371</v>
      </c>
      <c r="B233" s="4" t="s">
        <v>55</v>
      </c>
      <c r="C233" s="4" t="s">
        <v>137</v>
      </c>
      <c r="D233" s="19" t="s">
        <v>700</v>
      </c>
      <c r="E233" s="343" t="e">
        <f>INDEX('PY1 Data(H)'!$A$1:$CZ$260,MATCH('Unit Data from Audit Worksheet'!$A233,'PY1 Data(H)'!$A$1:$A$260,0),MATCH('Unit Data from Audit Worksheet'!$D$2,'PY1 Data(H)'!$A$1:$CZ$1,0))</f>
        <v>#N/A</v>
      </c>
      <c r="F233" s="182">
        <v>0</v>
      </c>
      <c r="G233" s="375">
        <f>IF(F233&lt;0,"Error: Enter as positive.",)</f>
        <v>0</v>
      </c>
      <c r="H233" s="859"/>
      <c r="I233" s="859"/>
      <c r="J233" s="173"/>
      <c r="K233" s="551"/>
    </row>
    <row r="234" spans="1:122" ht="63.75" customHeight="1" x14ac:dyDescent="0.3">
      <c r="A234" s="779">
        <v>1075</v>
      </c>
      <c r="B234" s="426" t="s">
        <v>58</v>
      </c>
      <c r="C234" s="426" t="s">
        <v>137</v>
      </c>
      <c r="D234" s="780" t="s">
        <v>1641</v>
      </c>
      <c r="E234" s="636" t="s">
        <v>1642</v>
      </c>
      <c r="F234" s="182">
        <v>0</v>
      </c>
      <c r="G234" s="375"/>
      <c r="H234" s="859"/>
      <c r="I234" s="859"/>
      <c r="J234" s="173"/>
      <c r="K234" s="551"/>
      <c r="L234" s="173"/>
      <c r="Y234" s="173"/>
      <c r="Z234" s="173"/>
      <c r="AA234" s="173"/>
      <c r="AB234" s="173"/>
      <c r="AC234" s="173"/>
      <c r="AD234" s="173"/>
      <c r="AE234" s="173"/>
      <c r="AF234" s="173"/>
      <c r="AG234" s="173"/>
      <c r="AH234" s="173"/>
      <c r="AI234" s="173"/>
      <c r="AJ234" s="173"/>
      <c r="AK234" s="173"/>
      <c r="AL234" s="173"/>
      <c r="AM234" s="173"/>
      <c r="AN234" s="173"/>
      <c r="AO234" s="173"/>
      <c r="AP234" s="173"/>
      <c r="AQ234" s="173"/>
      <c r="AR234" s="173"/>
      <c r="AS234" s="173"/>
      <c r="AT234" s="173"/>
      <c r="AU234" s="173"/>
      <c r="AV234" s="173"/>
      <c r="AW234" s="173"/>
      <c r="AX234" s="173"/>
      <c r="AY234" s="173"/>
      <c r="AZ234" s="173"/>
      <c r="BA234" s="173"/>
      <c r="BB234" s="173"/>
      <c r="BC234" s="173"/>
      <c r="BD234" s="173"/>
      <c r="BE234" s="173"/>
      <c r="BF234" s="173"/>
      <c r="BG234" s="173"/>
      <c r="BH234" s="173"/>
      <c r="BI234" s="173"/>
      <c r="BJ234" s="173"/>
      <c r="BK234" s="173"/>
      <c r="BL234" s="173"/>
      <c r="BM234" s="173"/>
      <c r="BN234" s="173"/>
      <c r="BO234" s="173"/>
      <c r="BP234" s="173"/>
      <c r="BQ234" s="173"/>
      <c r="BR234" s="173"/>
      <c r="BS234" s="173"/>
      <c r="BT234" s="173"/>
      <c r="BU234" s="173"/>
      <c r="BV234" s="173"/>
      <c r="BW234" s="173"/>
      <c r="BX234" s="173"/>
      <c r="BY234" s="173"/>
      <c r="BZ234" s="173"/>
      <c r="CA234" s="173"/>
      <c r="CB234" s="173"/>
      <c r="CC234" s="173"/>
      <c r="CD234" s="173"/>
      <c r="CE234" s="173"/>
      <c r="CF234" s="173"/>
      <c r="CG234" s="173"/>
      <c r="CH234" s="173"/>
      <c r="CI234" s="173"/>
      <c r="CJ234" s="173"/>
      <c r="CK234" s="173"/>
      <c r="CL234" s="173"/>
      <c r="CM234" s="173"/>
      <c r="CN234" s="173"/>
      <c r="CO234" s="173"/>
      <c r="CP234" s="173"/>
      <c r="CQ234" s="173"/>
      <c r="CR234" s="173"/>
      <c r="CS234" s="173"/>
      <c r="CT234" s="173"/>
      <c r="CU234" s="173"/>
      <c r="CV234" s="173"/>
      <c r="CW234" s="173"/>
      <c r="CX234" s="173"/>
      <c r="CY234" s="173"/>
      <c r="CZ234" s="173"/>
      <c r="DA234" s="173"/>
      <c r="DB234" s="173"/>
      <c r="DC234" s="173"/>
      <c r="DD234" s="173"/>
      <c r="DE234" s="173"/>
      <c r="DF234" s="173"/>
      <c r="DG234" s="173"/>
      <c r="DH234" s="173"/>
      <c r="DI234" s="173"/>
      <c r="DJ234" s="173"/>
      <c r="DK234" s="173"/>
      <c r="DL234" s="173"/>
      <c r="DM234" s="173"/>
      <c r="DN234" s="173"/>
      <c r="DO234" s="173"/>
      <c r="DP234" s="173"/>
      <c r="DQ234" s="173"/>
      <c r="DR234" s="173"/>
    </row>
    <row r="235" spans="1:122" ht="63.75" customHeight="1" x14ac:dyDescent="0.3">
      <c r="A235" s="779">
        <v>1076</v>
      </c>
      <c r="B235" s="426" t="s">
        <v>58</v>
      </c>
      <c r="C235" s="426" t="s">
        <v>137</v>
      </c>
      <c r="D235" s="780" t="s">
        <v>1643</v>
      </c>
      <c r="E235" s="636" t="s">
        <v>1642</v>
      </c>
      <c r="F235" s="182">
        <v>0</v>
      </c>
      <c r="G235" s="375"/>
      <c r="H235" s="859"/>
      <c r="I235" s="859"/>
      <c r="J235" s="173"/>
      <c r="K235" s="551"/>
      <c r="L235" s="173"/>
      <c r="Y235" s="173"/>
      <c r="Z235" s="173"/>
      <c r="AA235" s="173"/>
      <c r="AB235" s="173"/>
      <c r="AC235" s="173"/>
      <c r="AD235" s="173"/>
      <c r="AE235" s="173"/>
      <c r="AF235" s="173"/>
      <c r="AG235" s="173"/>
      <c r="AH235" s="173"/>
      <c r="AI235" s="173"/>
      <c r="AJ235" s="173"/>
      <c r="AK235" s="173"/>
      <c r="AL235" s="173"/>
      <c r="AM235" s="173"/>
      <c r="AN235" s="173"/>
      <c r="AO235" s="173"/>
      <c r="AP235" s="173"/>
      <c r="AQ235" s="173"/>
      <c r="AR235" s="173"/>
      <c r="AS235" s="173"/>
      <c r="AT235" s="173"/>
      <c r="AU235" s="173"/>
      <c r="AV235" s="173"/>
      <c r="AW235" s="173"/>
      <c r="AX235" s="173"/>
      <c r="AY235" s="173"/>
      <c r="AZ235" s="173"/>
      <c r="BA235" s="173"/>
      <c r="BB235" s="173"/>
      <c r="BC235" s="173"/>
      <c r="BD235" s="173"/>
      <c r="BE235" s="173"/>
      <c r="BF235" s="173"/>
      <c r="BG235" s="173"/>
      <c r="BH235" s="173"/>
      <c r="BI235" s="173"/>
      <c r="BJ235" s="173"/>
      <c r="BK235" s="173"/>
      <c r="BL235" s="173"/>
      <c r="BM235" s="173"/>
      <c r="BN235" s="173"/>
      <c r="BO235" s="173"/>
      <c r="BP235" s="173"/>
      <c r="BQ235" s="173"/>
      <c r="BR235" s="173"/>
      <c r="BS235" s="173"/>
      <c r="BT235" s="173"/>
      <c r="BU235" s="173"/>
      <c r="BV235" s="173"/>
      <c r="BW235" s="173"/>
      <c r="BX235" s="173"/>
      <c r="BY235" s="173"/>
      <c r="BZ235" s="173"/>
      <c r="CA235" s="173"/>
      <c r="CB235" s="173"/>
      <c r="CC235" s="173"/>
      <c r="CD235" s="173"/>
      <c r="CE235" s="173"/>
      <c r="CF235" s="173"/>
      <c r="CG235" s="173"/>
      <c r="CH235" s="173"/>
      <c r="CI235" s="173"/>
      <c r="CJ235" s="173"/>
      <c r="CK235" s="173"/>
      <c r="CL235" s="173"/>
      <c r="CM235" s="173"/>
      <c r="CN235" s="173"/>
      <c r="CO235" s="173"/>
      <c r="CP235" s="173"/>
      <c r="CQ235" s="173"/>
      <c r="CR235" s="173"/>
      <c r="CS235" s="173"/>
      <c r="CT235" s="173"/>
      <c r="CU235" s="173"/>
      <c r="CV235" s="173"/>
      <c r="CW235" s="173"/>
      <c r="CX235" s="173"/>
      <c r="CY235" s="173"/>
      <c r="CZ235" s="173"/>
      <c r="DA235" s="173"/>
      <c r="DB235" s="173"/>
      <c r="DC235" s="173"/>
      <c r="DD235" s="173"/>
      <c r="DE235" s="173"/>
      <c r="DF235" s="173"/>
      <c r="DG235" s="173"/>
      <c r="DH235" s="173"/>
      <c r="DI235" s="173"/>
      <c r="DJ235" s="173"/>
      <c r="DK235" s="173"/>
      <c r="DL235" s="173"/>
      <c r="DM235" s="173"/>
      <c r="DN235" s="173"/>
      <c r="DO235" s="173"/>
      <c r="DP235" s="173"/>
      <c r="DQ235" s="173"/>
      <c r="DR235" s="173"/>
    </row>
    <row r="236" spans="1:122" ht="98.4" customHeight="1" x14ac:dyDescent="0.3">
      <c r="A236" s="779">
        <v>1077</v>
      </c>
      <c r="B236" s="426" t="s">
        <v>58</v>
      </c>
      <c r="C236" s="426" t="s">
        <v>1644</v>
      </c>
      <c r="D236" s="780" t="s">
        <v>1645</v>
      </c>
      <c r="E236" s="636" t="s">
        <v>1642</v>
      </c>
      <c r="F236" s="182">
        <v>0</v>
      </c>
      <c r="G236" s="375"/>
      <c r="H236" s="859"/>
      <c r="I236" s="859"/>
      <c r="J236" s="173"/>
      <c r="K236" s="551"/>
      <c r="L236" s="173"/>
      <c r="Y236" s="173"/>
      <c r="Z236" s="173"/>
      <c r="AA236" s="173"/>
      <c r="AB236" s="173"/>
      <c r="AC236" s="173"/>
      <c r="AD236" s="173"/>
      <c r="AE236" s="173"/>
      <c r="AF236" s="173"/>
      <c r="AG236" s="173"/>
      <c r="AH236" s="173"/>
      <c r="AI236" s="173"/>
      <c r="AJ236" s="173"/>
      <c r="AK236" s="173"/>
      <c r="AL236" s="173"/>
      <c r="AM236" s="173"/>
      <c r="AN236" s="173"/>
      <c r="AO236" s="173"/>
      <c r="AP236" s="173"/>
      <c r="AQ236" s="173"/>
      <c r="AR236" s="173"/>
      <c r="AS236" s="173"/>
      <c r="AT236" s="173"/>
      <c r="AU236" s="173"/>
      <c r="AV236" s="173"/>
      <c r="AW236" s="173"/>
      <c r="AX236" s="173"/>
      <c r="AY236" s="173"/>
      <c r="AZ236" s="173"/>
      <c r="BA236" s="173"/>
      <c r="BB236" s="173"/>
      <c r="BC236" s="173"/>
      <c r="BD236" s="173"/>
      <c r="BE236" s="173"/>
      <c r="BF236" s="173"/>
      <c r="BG236" s="173"/>
      <c r="BH236" s="173"/>
      <c r="BI236" s="173"/>
      <c r="BJ236" s="173"/>
      <c r="BK236" s="173"/>
      <c r="BL236" s="173"/>
      <c r="BM236" s="173"/>
      <c r="BN236" s="173"/>
      <c r="BO236" s="173"/>
      <c r="BP236" s="173"/>
      <c r="BQ236" s="173"/>
      <c r="BR236" s="173"/>
      <c r="BS236" s="173"/>
      <c r="BT236" s="173"/>
      <c r="BU236" s="173"/>
      <c r="BV236" s="173"/>
      <c r="BW236" s="173"/>
      <c r="BX236" s="173"/>
      <c r="BY236" s="173"/>
      <c r="BZ236" s="173"/>
      <c r="CA236" s="173"/>
      <c r="CB236" s="173"/>
      <c r="CC236" s="173"/>
      <c r="CD236" s="173"/>
      <c r="CE236" s="173"/>
      <c r="CF236" s="173"/>
      <c r="CG236" s="173"/>
      <c r="CH236" s="173"/>
      <c r="CI236" s="173"/>
      <c r="CJ236" s="173"/>
      <c r="CK236" s="173"/>
      <c r="CL236" s="173"/>
      <c r="CM236" s="173"/>
      <c r="CN236" s="173"/>
      <c r="CO236" s="173"/>
      <c r="CP236" s="173"/>
      <c r="CQ236" s="173"/>
      <c r="CR236" s="173"/>
      <c r="CS236" s="173"/>
      <c r="CT236" s="173"/>
      <c r="CU236" s="173"/>
      <c r="CV236" s="173"/>
      <c r="CW236" s="173"/>
      <c r="CX236" s="173"/>
      <c r="CY236" s="173"/>
      <c r="CZ236" s="173"/>
      <c r="DA236" s="173"/>
      <c r="DB236" s="173"/>
      <c r="DC236" s="173"/>
      <c r="DD236" s="173"/>
      <c r="DE236" s="173"/>
      <c r="DF236" s="173"/>
      <c r="DG236" s="173"/>
      <c r="DH236" s="173"/>
      <c r="DI236" s="173"/>
      <c r="DJ236" s="173"/>
      <c r="DK236" s="173"/>
      <c r="DL236" s="173"/>
      <c r="DM236" s="173"/>
      <c r="DN236" s="173"/>
      <c r="DO236" s="173"/>
      <c r="DP236" s="173"/>
      <c r="DQ236" s="173"/>
      <c r="DR236" s="173"/>
    </row>
    <row r="237" spans="1:122" ht="70.5" customHeight="1" x14ac:dyDescent="0.3">
      <c r="A237" s="98">
        <v>513</v>
      </c>
      <c r="B237" s="681" t="s">
        <v>57</v>
      </c>
      <c r="C237" s="4" t="s">
        <v>137</v>
      </c>
      <c r="D237" s="19" t="s">
        <v>701</v>
      </c>
      <c r="E237" s="343" t="e">
        <f>INDEX('PY1 Data(H)'!$A$1:$CZ$260,MATCH('Unit Data from Audit Worksheet'!$A237,'PY1 Data(H)'!$A$1:$A$260,0),MATCH('Unit Data from Audit Worksheet'!$D$2,'PY1 Data(H)'!$A$1:$CZ$1,0))</f>
        <v>#N/A</v>
      </c>
      <c r="F237" s="182">
        <v>0</v>
      </c>
      <c r="G237" s="375">
        <f>IF(F237&lt;0,"Error: Enter as positive.",)</f>
        <v>0</v>
      </c>
      <c r="H237" s="858"/>
      <c r="I237" s="858"/>
      <c r="J237" s="173"/>
      <c r="K237" s="551"/>
    </row>
    <row r="238" spans="1:122" ht="80.25" customHeight="1" x14ac:dyDescent="0.3">
      <c r="A238" s="98">
        <v>514</v>
      </c>
      <c r="B238" s="681" t="s">
        <v>57</v>
      </c>
      <c r="C238" s="4" t="s">
        <v>137</v>
      </c>
      <c r="D238" s="19" t="s">
        <v>702</v>
      </c>
      <c r="E238" s="343" t="e">
        <f>INDEX('PY1 Data(H)'!$A$1:$CZ$260,MATCH('Unit Data from Audit Worksheet'!$A238,'PY1 Data(H)'!$A$1:$A$260,0),MATCH('Unit Data from Audit Worksheet'!$D$2,'PY1 Data(H)'!$A$1:$CZ$1,0))</f>
        <v>#N/A</v>
      </c>
      <c r="F238" s="182">
        <v>0</v>
      </c>
      <c r="G238" s="375">
        <f>IF(F238&lt;0,"Error: Enter as positive.",)</f>
        <v>0</v>
      </c>
      <c r="H238" s="859"/>
      <c r="I238" s="858"/>
      <c r="J238" s="173"/>
      <c r="K238" s="551"/>
    </row>
    <row r="239" spans="1:122" ht="80.25" customHeight="1" x14ac:dyDescent="0.3">
      <c r="A239" s="98">
        <v>990</v>
      </c>
      <c r="B239" s="681" t="s">
        <v>536</v>
      </c>
      <c r="C239" s="345" t="s">
        <v>137</v>
      </c>
      <c r="D239" s="19" t="s">
        <v>1028</v>
      </c>
      <c r="E239" s="343" t="e">
        <f>INDEX('PY1 Data(H)'!$A$1:$CZ$260,MATCH('Unit Data from Audit Worksheet'!$A239,'PY1 Data(H)'!$A$1:$A$260,0),MATCH('Unit Data from Audit Worksheet'!$D$2,'PY1 Data(H)'!$A$1:$CZ$1,0))</f>
        <v>#N/A</v>
      </c>
      <c r="F239" s="182">
        <v>0</v>
      </c>
      <c r="G239" s="375"/>
      <c r="H239" s="859"/>
      <c r="I239" s="858"/>
      <c r="J239" s="173"/>
      <c r="K239" s="551"/>
    </row>
    <row r="240" spans="1:122" ht="96" customHeight="1" x14ac:dyDescent="0.3">
      <c r="A240" s="345">
        <v>1051</v>
      </c>
      <c r="B240" s="771" t="s">
        <v>540</v>
      </c>
      <c r="C240" s="773" t="s">
        <v>1031</v>
      </c>
      <c r="D240" s="19" t="s">
        <v>1027</v>
      </c>
      <c r="E240" s="343" t="e">
        <f>INDEX('PY1 Data(H)'!$A$1:$CZ$260,MATCH('Unit Data from Audit Worksheet'!$A240,'PY1 Data(H)'!$A$1:$A$260,0),MATCH('Unit Data from Audit Worksheet'!$D$2,'PY1 Data(H)'!$A$1:$CZ$1,0))</f>
        <v>#N/A</v>
      </c>
      <c r="F240" s="182">
        <v>0</v>
      </c>
      <c r="G240" s="375"/>
      <c r="H240" s="859"/>
      <c r="I240" s="858"/>
      <c r="J240" s="173"/>
      <c r="K240" s="551"/>
      <c r="L240" s="173"/>
      <c r="Y240" s="173"/>
      <c r="Z240" s="173"/>
      <c r="AA240" s="173"/>
      <c r="AB240" s="173"/>
      <c r="AC240" s="173"/>
      <c r="AD240" s="173"/>
      <c r="AE240" s="173"/>
      <c r="AF240" s="173"/>
      <c r="AG240" s="173"/>
      <c r="AH240" s="173"/>
      <c r="AI240" s="173"/>
      <c r="AJ240" s="173"/>
      <c r="AK240" s="173"/>
      <c r="AL240" s="173"/>
      <c r="AM240" s="173"/>
      <c r="AN240" s="173"/>
      <c r="AO240" s="173"/>
      <c r="AP240" s="173"/>
      <c r="AQ240" s="173"/>
      <c r="AR240" s="173"/>
      <c r="AS240" s="173"/>
      <c r="AT240" s="173"/>
      <c r="AU240" s="173"/>
      <c r="AV240" s="173"/>
      <c r="AW240" s="173"/>
      <c r="AX240" s="173"/>
      <c r="AY240" s="173"/>
      <c r="AZ240" s="173"/>
      <c r="BA240" s="173"/>
      <c r="BB240" s="173"/>
      <c r="BC240" s="173"/>
      <c r="BD240" s="173"/>
      <c r="BE240" s="173"/>
      <c r="BF240" s="173"/>
      <c r="BG240" s="173"/>
      <c r="BH240" s="173"/>
      <c r="BI240" s="173"/>
      <c r="BJ240" s="173"/>
      <c r="BK240" s="173"/>
      <c r="BL240" s="173"/>
      <c r="BM240" s="173"/>
      <c r="BN240" s="173"/>
      <c r="BO240" s="173"/>
      <c r="BP240" s="173"/>
      <c r="BQ240" s="173"/>
      <c r="BR240" s="173"/>
      <c r="BS240" s="173"/>
      <c r="BT240" s="173"/>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Y240" s="173"/>
      <c r="CZ240" s="173"/>
      <c r="DA240" s="173"/>
      <c r="DB240" s="173"/>
      <c r="DC240" s="173"/>
      <c r="DD240" s="173"/>
      <c r="DE240" s="173"/>
      <c r="DF240" s="173"/>
      <c r="DG240" s="173"/>
      <c r="DH240" s="173"/>
      <c r="DI240" s="173"/>
      <c r="DJ240" s="173"/>
      <c r="DK240" s="173"/>
      <c r="DL240" s="173"/>
      <c r="DM240" s="173"/>
      <c r="DN240" s="173"/>
      <c r="DO240" s="173"/>
      <c r="DP240" s="173"/>
      <c r="DQ240" s="173"/>
      <c r="DR240" s="173"/>
    </row>
    <row r="241" spans="1:13" ht="32.25" customHeight="1" x14ac:dyDescent="0.3">
      <c r="A241" s="98"/>
      <c r="B241" s="456" t="s">
        <v>28</v>
      </c>
      <c r="C241" s="457"/>
      <c r="D241" s="459"/>
      <c r="E241" s="472"/>
      <c r="F241" s="441"/>
      <c r="G241" s="441"/>
      <c r="H241" s="859"/>
      <c r="I241" s="859"/>
      <c r="J241" s="173"/>
      <c r="K241" s="551"/>
    </row>
    <row r="242" spans="1:13" ht="68.25" customHeight="1" x14ac:dyDescent="0.3">
      <c r="A242" s="98">
        <v>6</v>
      </c>
      <c r="B242" s="4" t="s">
        <v>54</v>
      </c>
      <c r="C242" s="4" t="s">
        <v>138</v>
      </c>
      <c r="D242" s="19" t="s">
        <v>703</v>
      </c>
      <c r="E242" s="343" t="e">
        <f>INDEX('PY1 Data(H)'!$A$1:$CZ$260,MATCH('Unit Data from Audit Worksheet'!$A242,'PY1 Data(H)'!$A$1:$A$260,0),MATCH('Unit Data from Audit Worksheet'!$D$2,'PY1 Data(H)'!$A$1:$CZ$1,0))</f>
        <v>#N/A</v>
      </c>
      <c r="F242" s="182">
        <v>0</v>
      </c>
      <c r="G242" s="375">
        <f>IF(F242&lt;0,"Error: Enter as positive.",)</f>
        <v>0</v>
      </c>
      <c r="H242" s="859"/>
      <c r="I242" s="859"/>
      <c r="J242" s="173"/>
      <c r="K242" s="551"/>
    </row>
    <row r="243" spans="1:13" ht="33" customHeight="1" x14ac:dyDescent="0.3">
      <c r="A243" s="98"/>
      <c r="B243" s="456" t="s">
        <v>149</v>
      </c>
      <c r="C243" s="457"/>
      <c r="D243" s="459"/>
      <c r="E243" s="474"/>
      <c r="F243" s="451"/>
      <c r="G243" s="451"/>
      <c r="H243" s="858"/>
      <c r="I243" s="858"/>
      <c r="J243" s="173"/>
      <c r="K243" s="551"/>
    </row>
    <row r="244" spans="1:13" ht="141" customHeight="1" x14ac:dyDescent="0.3">
      <c r="A244" s="98">
        <v>541</v>
      </c>
      <c r="B244" s="345" t="s">
        <v>58</v>
      </c>
      <c r="C244" s="345" t="s">
        <v>704</v>
      </c>
      <c r="D244" s="342" t="s">
        <v>705</v>
      </c>
      <c r="E244" s="343" t="e">
        <f>INDEX('PY1 Data(H)'!$A$1:$CZ$260,MATCH('Unit Data from Audit Worksheet'!$A244,'PY1 Data(H)'!$A$1:$A$260,0),MATCH('Unit Data from Audit Worksheet'!$D$2,'PY1 Data(H)'!$A$1:$CZ$1,0))</f>
        <v>#N/A</v>
      </c>
      <c r="F244" s="182">
        <v>0</v>
      </c>
      <c r="G244" s="375"/>
      <c r="H244" s="858"/>
      <c r="I244" s="858"/>
      <c r="J244" s="743"/>
      <c r="K244" s="551"/>
    </row>
    <row r="245" spans="1:13" ht="28.5" customHeight="1" x14ac:dyDescent="0.3">
      <c r="A245" s="98"/>
      <c r="B245" s="457" t="s">
        <v>49</v>
      </c>
      <c r="C245" s="457"/>
      <c r="D245" s="459"/>
      <c r="E245" s="474"/>
      <c r="F245" s="470"/>
      <c r="G245" s="470"/>
      <c r="H245" s="858"/>
      <c r="I245" s="858"/>
      <c r="J245" s="173"/>
      <c r="K245" s="551"/>
    </row>
    <row r="246" spans="1:13" ht="91.95" customHeight="1" x14ac:dyDescent="0.3">
      <c r="A246" s="98">
        <v>542</v>
      </c>
      <c r="B246" s="345" t="s">
        <v>58</v>
      </c>
      <c r="C246" s="684" t="s">
        <v>706</v>
      </c>
      <c r="D246" s="24" t="s">
        <v>139</v>
      </c>
      <c r="E246" s="343" t="e">
        <f>INDEX('PY1 Data(H)'!$A$1:$CZ$260,MATCH('Unit Data from Audit Worksheet'!$A246,'PY1 Data(H)'!$A$1:$A$260,0),MATCH('Unit Data from Audit Worksheet'!$D$2,'PY1 Data(H)'!$A$1:$CZ$1,0))</f>
        <v>#N/A</v>
      </c>
      <c r="F246" s="182">
        <v>0</v>
      </c>
      <c r="G246" s="375"/>
      <c r="H246" s="858"/>
      <c r="I246" s="858"/>
      <c r="J246" s="173"/>
      <c r="K246" s="551"/>
    </row>
    <row r="247" spans="1:13" ht="24.75" customHeight="1" x14ac:dyDescent="0.3">
      <c r="A247" s="98"/>
      <c r="B247" s="456" t="s">
        <v>707</v>
      </c>
      <c r="C247" s="456"/>
      <c r="D247" s="432"/>
      <c r="E247" s="433"/>
      <c r="F247" s="453"/>
      <c r="G247" s="453"/>
      <c r="H247" s="859"/>
      <c r="I247" s="859"/>
      <c r="J247" s="173"/>
      <c r="K247" s="551"/>
    </row>
    <row r="248" spans="1:13" ht="25.5" customHeight="1" x14ac:dyDescent="0.3">
      <c r="A248" s="98"/>
      <c r="B248" s="475" t="s">
        <v>12</v>
      </c>
      <c r="C248" s="475"/>
      <c r="D248" s="432"/>
      <c r="E248" s="433"/>
      <c r="F248" s="476"/>
      <c r="G248" s="453"/>
      <c r="H248" s="859"/>
      <c r="I248" s="859"/>
      <c r="J248" s="173"/>
      <c r="K248" s="551"/>
    </row>
    <row r="249" spans="1:13" ht="77.25" customHeight="1" x14ac:dyDescent="0.3">
      <c r="A249" s="29">
        <v>528</v>
      </c>
      <c r="B249" s="345" t="s">
        <v>54</v>
      </c>
      <c r="C249" s="4" t="s">
        <v>140</v>
      </c>
      <c r="D249" s="294" t="s">
        <v>732</v>
      </c>
      <c r="E249" s="343" t="e">
        <f>INDEX('PY1 Data(H)'!$A$1:$CZ$260,MATCH('Unit Data from Audit Worksheet'!$A249,'PY1 Data(H)'!$A$1:$A$260,0),MATCH('Unit Data from Audit Worksheet'!$D$2,'PY1 Data(H)'!$A$1:$CZ$1,0))</f>
        <v>#N/A</v>
      </c>
      <c r="F249" s="182">
        <v>0</v>
      </c>
      <c r="G249" s="375">
        <f>IF(F249="","Error: Unit must enter this information if they levy taxes.",)</f>
        <v>0</v>
      </c>
      <c r="H249" s="876"/>
      <c r="I249" s="859"/>
      <c r="J249" s="173"/>
      <c r="K249" s="551"/>
    </row>
    <row r="250" spans="1:13" ht="69" customHeight="1" x14ac:dyDescent="0.3">
      <c r="A250" s="29">
        <v>529</v>
      </c>
      <c r="B250" s="345" t="s">
        <v>54</v>
      </c>
      <c r="C250" s="4" t="s">
        <v>140</v>
      </c>
      <c r="D250" s="294" t="s">
        <v>708</v>
      </c>
      <c r="E250" s="343" t="e">
        <f>INDEX('PY1 Data(H)'!$A$1:$CZ$260,MATCH('Unit Data from Audit Worksheet'!$A250,'PY1 Data(H)'!$A$1:$A$260,0),MATCH('Unit Data from Audit Worksheet'!$D$2,'PY1 Data(H)'!$A$1:$CZ$1,0))</f>
        <v>#N/A</v>
      </c>
      <c r="F250" s="182">
        <v>0</v>
      </c>
      <c r="G250" s="375">
        <f>IF(F250="","Error: Unit must enter this information if they levy taxes.",)</f>
        <v>0</v>
      </c>
      <c r="H250" s="859"/>
      <c r="I250" s="859"/>
      <c r="J250" s="173"/>
      <c r="K250" s="551"/>
    </row>
    <row r="251" spans="1:13" ht="69" customHeight="1" x14ac:dyDescent="0.3">
      <c r="A251" s="29">
        <v>530</v>
      </c>
      <c r="B251" s="345" t="s">
        <v>54</v>
      </c>
      <c r="C251" s="4" t="s">
        <v>140</v>
      </c>
      <c r="D251" s="427" t="s">
        <v>709</v>
      </c>
      <c r="E251" s="343" t="e">
        <f>INDEX('PY1 Data(H)'!$A$1:$CZ$260,MATCH('Unit Data from Audit Worksheet'!$A251,'PY1 Data(H)'!$A$1:$A$260,0),MATCH('Unit Data from Audit Worksheet'!$D$2,'PY1 Data(H)'!$A$1:$CZ$1,0))</f>
        <v>#N/A</v>
      </c>
      <c r="F251" s="182">
        <v>0</v>
      </c>
      <c r="G251" s="375">
        <f>IF(F251="","Error: Unit must enter this information if they levy taxes.",)</f>
        <v>0</v>
      </c>
      <c r="H251" s="859"/>
      <c r="I251" s="859"/>
      <c r="J251" s="173"/>
      <c r="K251" s="551"/>
    </row>
    <row r="252" spans="1:13" ht="55.5" customHeight="1" x14ac:dyDescent="0.3">
      <c r="A252" s="29">
        <v>531</v>
      </c>
      <c r="B252" s="345" t="s">
        <v>54</v>
      </c>
      <c r="C252" s="4" t="s">
        <v>140</v>
      </c>
      <c r="D252" s="427" t="s">
        <v>710</v>
      </c>
      <c r="E252" s="343" t="e">
        <f>INDEX('PY1 Data(H)'!$A$1:$CZ$260,MATCH('Unit Data from Audit Worksheet'!$A252,'PY1 Data(H)'!$A$1:$A$260,0),MATCH('Unit Data from Audit Worksheet'!$D$2,'PY1 Data(H)'!$A$1:$CZ$1,0))</f>
        <v>#N/A</v>
      </c>
      <c r="F252" s="182">
        <v>0</v>
      </c>
      <c r="G252" s="375">
        <f>IF(F252="","Error: Unit must enter this information if they levy taxes.",)</f>
        <v>0</v>
      </c>
      <c r="H252" s="859"/>
      <c r="I252" s="859"/>
      <c r="J252" s="173"/>
      <c r="K252" s="551"/>
    </row>
    <row r="253" spans="1:13" ht="69" customHeight="1" x14ac:dyDescent="0.3">
      <c r="A253" s="98">
        <v>61</v>
      </c>
      <c r="B253" s="4" t="s">
        <v>58</v>
      </c>
      <c r="C253" s="4" t="s">
        <v>140</v>
      </c>
      <c r="D253" s="24" t="s">
        <v>711</v>
      </c>
      <c r="E253" s="343" t="e">
        <f>INDEX('PY1 Data(H)'!$A$1:$CZ$260,MATCH('Unit Data from Audit Worksheet'!$A253,'PY1 Data(H)'!$A$1:$A$260,0),MATCH('Unit Data from Audit Worksheet'!$D$2,'PY1 Data(H)'!$A$1:$CZ$1,0))</f>
        <v>#N/A</v>
      </c>
      <c r="F253" s="179">
        <v>0</v>
      </c>
      <c r="G253" s="666" t="e">
        <f>IF(F253=H253," ","Please check values in account 528, 529, 530 and  531.")</f>
        <v>#DIV/0!</v>
      </c>
      <c r="H253" s="877" t="e">
        <f>ROUND((F249+F250-F251-F252)/(F249+F250)*100,2)</f>
        <v>#DIV/0!</v>
      </c>
      <c r="I253" s="859"/>
      <c r="J253" s="173"/>
      <c r="K253" s="551"/>
    </row>
    <row r="254" spans="1:13" ht="69" customHeight="1" x14ac:dyDescent="0.3">
      <c r="A254" s="98">
        <v>102</v>
      </c>
      <c r="B254" s="4" t="s">
        <v>58</v>
      </c>
      <c r="C254" s="4" t="s">
        <v>140</v>
      </c>
      <c r="D254" s="52" t="s">
        <v>712</v>
      </c>
      <c r="E254" s="343" t="e">
        <f>INDEX('PY1 Data(H)'!$A$1:$CZ$260,MATCH('Unit Data from Audit Worksheet'!$A254,'PY1 Data(H)'!$A$1:$A$260,0),MATCH('Unit Data from Audit Worksheet'!$D$2,'PY1 Data(H)'!$A$1:$CZ$1,0))</f>
        <v>#N/A</v>
      </c>
      <c r="F254" s="179">
        <v>0</v>
      </c>
      <c r="G254" s="666" t="e">
        <f>IF(F254=H254," ","Please check values in account 528 and 530.")</f>
        <v>#DIV/0!</v>
      </c>
      <c r="H254" s="877" t="e">
        <f>ROUND((F249-F251)/(F249)*100,2)</f>
        <v>#DIV/0!</v>
      </c>
      <c r="I254" s="859"/>
      <c r="J254" s="173"/>
      <c r="K254" s="551"/>
    </row>
    <row r="255" spans="1:13" ht="63.75" customHeight="1" x14ac:dyDescent="0.3">
      <c r="A255" s="98">
        <v>103</v>
      </c>
      <c r="B255" s="4" t="s">
        <v>58</v>
      </c>
      <c r="C255" s="4" t="s">
        <v>140</v>
      </c>
      <c r="D255" s="24" t="s">
        <v>713</v>
      </c>
      <c r="E255" s="343" t="e">
        <f>INDEX('PY1 Data(H)'!$A$1:$CZ$260,MATCH('Unit Data from Audit Worksheet'!$A255,'PY1 Data(H)'!$A$1:$A$260,0),MATCH('Unit Data from Audit Worksheet'!$D$2,'PY1 Data(H)'!$A$1:$CZ$1,0))</f>
        <v>#N/A</v>
      </c>
      <c r="F255" s="179">
        <v>0</v>
      </c>
      <c r="G255" s="666" t="e">
        <f>IF(F255=H255," ","Please check values in account 529 and 531.")</f>
        <v>#DIV/0!</v>
      </c>
      <c r="H255" s="877" t="e">
        <f>ROUND((F250-F252)/F250*100,2)</f>
        <v>#DIV/0!</v>
      </c>
      <c r="I255" s="859"/>
      <c r="J255" s="173"/>
      <c r="K255" s="551"/>
      <c r="M255" s="18" t="s">
        <v>535</v>
      </c>
    </row>
    <row r="256" spans="1:13" ht="72" customHeight="1" x14ac:dyDescent="0.3">
      <c r="A256" s="98">
        <v>544</v>
      </c>
      <c r="B256" s="345" t="s">
        <v>58</v>
      </c>
      <c r="C256" s="345" t="s">
        <v>140</v>
      </c>
      <c r="D256" s="19" t="s">
        <v>714</v>
      </c>
      <c r="E256" s="343" t="e">
        <f>INDEX('PY1 Data(H)'!$A$1:$CZ$260,MATCH('Unit Data from Audit Worksheet'!$A256,'PY1 Data(H)'!$A$1:$A$260,0),MATCH('Unit Data from Audit Worksheet'!$D$2,'PY1 Data(H)'!$A$1:$CZ$1,0))</f>
        <v>#N/A</v>
      </c>
      <c r="F256" s="231">
        <v>0</v>
      </c>
      <c r="G256" s="375"/>
      <c r="H256" s="859"/>
      <c r="I256" s="355"/>
      <c r="J256" s="173"/>
      <c r="K256" s="551"/>
      <c r="M256" s="18" t="s">
        <v>50</v>
      </c>
    </row>
    <row r="257" spans="1:15" ht="73.5" customHeight="1" x14ac:dyDescent="0.3">
      <c r="A257" s="98">
        <v>545</v>
      </c>
      <c r="B257" s="345" t="s">
        <v>58</v>
      </c>
      <c r="C257" s="345" t="s">
        <v>140</v>
      </c>
      <c r="D257" s="19" t="s">
        <v>715</v>
      </c>
      <c r="E257" s="533"/>
      <c r="F257" s="231">
        <v>0</v>
      </c>
      <c r="G257" s="375"/>
      <c r="H257" s="859"/>
      <c r="I257" s="882"/>
      <c r="J257" s="173"/>
      <c r="K257" s="551"/>
      <c r="M257" s="18" t="s">
        <v>51</v>
      </c>
    </row>
    <row r="258" spans="1:15" ht="27.75" customHeight="1" x14ac:dyDescent="0.3">
      <c r="A258" s="98"/>
      <c r="B258" s="456" t="s">
        <v>326</v>
      </c>
      <c r="C258" s="456"/>
      <c r="D258" s="456"/>
      <c r="E258" s="477"/>
      <c r="F258" s="477"/>
      <c r="G258" s="478"/>
      <c r="H258" s="859"/>
      <c r="I258" s="355"/>
      <c r="J258" s="173"/>
      <c r="K258" s="551"/>
      <c r="M258" s="18" t="s">
        <v>538</v>
      </c>
    </row>
    <row r="259" spans="1:15" ht="68.25" customHeight="1" x14ac:dyDescent="0.3">
      <c r="A259" s="98">
        <v>620</v>
      </c>
      <c r="B259" s="345" t="s">
        <v>58</v>
      </c>
      <c r="C259" s="345"/>
      <c r="D259" s="19" t="s">
        <v>325</v>
      </c>
      <c r="E259" s="490"/>
      <c r="F259" s="174"/>
      <c r="G259" s="398" t="str">
        <f>IF(F259&lt;1,"Please answer this question","")</f>
        <v>Please answer this question</v>
      </c>
      <c r="H259" s="859"/>
      <c r="I259" s="355"/>
      <c r="J259" s="173"/>
      <c r="K259" s="551"/>
      <c r="M259" s="18" t="s">
        <v>539</v>
      </c>
    </row>
    <row r="260" spans="1:15" ht="123.75" customHeight="1" x14ac:dyDescent="0.3">
      <c r="A260" s="428"/>
      <c r="B260" s="920" t="s">
        <v>428</v>
      </c>
      <c r="C260" s="920"/>
      <c r="D260" s="920"/>
      <c r="E260" s="487"/>
      <c r="F260" s="487"/>
      <c r="G260" s="487"/>
      <c r="H260" s="859"/>
      <c r="I260" s="355"/>
      <c r="J260"/>
      <c r="M260" s="18" t="s">
        <v>431</v>
      </c>
    </row>
    <row r="261" spans="1:15" ht="63" customHeight="1" x14ac:dyDescent="0.3">
      <c r="A261" s="187">
        <v>947</v>
      </c>
      <c r="B261" s="423"/>
      <c r="C261" s="423"/>
      <c r="D261" s="317" t="s">
        <v>390</v>
      </c>
      <c r="E261" s="567"/>
      <c r="F261" s="893"/>
      <c r="G261" s="398" t="str">
        <f>IF(ISBLANK(F261),"Please do not leave blank","")</f>
        <v>Please do not leave blank</v>
      </c>
      <c r="H261" s="859"/>
      <c r="I261" s="880"/>
      <c r="J261"/>
      <c r="K261" s="183"/>
      <c r="M261" s="183"/>
      <c r="O261" s="183"/>
    </row>
    <row r="262" spans="1:15" ht="65.25" customHeight="1" x14ac:dyDescent="0.3">
      <c r="A262" s="187">
        <v>948</v>
      </c>
      <c r="B262" s="423"/>
      <c r="C262" s="423"/>
      <c r="D262" s="317" t="s">
        <v>391</v>
      </c>
      <c r="E262" s="567"/>
      <c r="F262" s="893"/>
      <c r="G262" s="398" t="str">
        <f t="shared" ref="G262:G264" si="4">IF(ISBLANK(F262),"Please do not leave blank","")</f>
        <v>Please do not leave blank</v>
      </c>
      <c r="H262" s="859"/>
      <c r="I262" s="880"/>
      <c r="J262"/>
      <c r="K262" s="183"/>
      <c r="M262" s="183"/>
      <c r="O262" s="183"/>
    </row>
    <row r="263" spans="1:15" ht="76.5" customHeight="1" x14ac:dyDescent="0.3">
      <c r="A263" s="187">
        <v>949</v>
      </c>
      <c r="B263" s="423"/>
      <c r="C263" s="423"/>
      <c r="D263" s="317" t="s">
        <v>392</v>
      </c>
      <c r="E263" s="567"/>
      <c r="F263" s="893"/>
      <c r="G263" s="398" t="str">
        <f t="shared" si="4"/>
        <v>Please do not leave blank</v>
      </c>
      <c r="H263" s="859"/>
      <c r="I263" s="880"/>
      <c r="J263"/>
      <c r="K263" s="183"/>
      <c r="M263" s="183"/>
      <c r="O263" s="183"/>
    </row>
    <row r="264" spans="1:15" ht="60" customHeight="1" x14ac:dyDescent="0.3">
      <c r="A264" s="187">
        <v>950</v>
      </c>
      <c r="B264" s="423"/>
      <c r="C264" s="423"/>
      <c r="D264" s="317" t="s">
        <v>378</v>
      </c>
      <c r="E264" s="567"/>
      <c r="F264" s="893"/>
      <c r="G264" s="398" t="str">
        <f t="shared" si="4"/>
        <v>Please do not leave blank</v>
      </c>
      <c r="H264" s="859"/>
      <c r="I264" s="880"/>
      <c r="J264"/>
      <c r="K264" s="183"/>
      <c r="M264" s="183"/>
      <c r="O264" s="183"/>
    </row>
    <row r="265" spans="1:15" ht="91.8" customHeight="1" x14ac:dyDescent="0.3">
      <c r="A265" s="187">
        <v>952</v>
      </c>
      <c r="B265" s="423"/>
      <c r="C265" s="423"/>
      <c r="D265" s="385" t="s">
        <v>1359</v>
      </c>
      <c r="E265" s="567"/>
      <c r="F265" s="894"/>
      <c r="G265" s="398" t="s">
        <v>733</v>
      </c>
      <c r="H265" s="859"/>
      <c r="I265" s="883"/>
      <c r="J265"/>
      <c r="K265" s="183"/>
      <c r="M265" s="183"/>
      <c r="O265" s="183"/>
    </row>
    <row r="266" spans="1:15" ht="27.6" customHeight="1" thickBot="1" x14ac:dyDescent="0.35">
      <c r="A266" s="98"/>
      <c r="B266" s="479"/>
      <c r="C266" s="480"/>
      <c r="D266" s="481" t="s">
        <v>382</v>
      </c>
      <c r="E266" s="466"/>
      <c r="F266" s="482"/>
      <c r="G266" s="483"/>
      <c r="H266" s="878"/>
      <c r="I266" s="880"/>
      <c r="J266"/>
      <c r="K266" s="183"/>
      <c r="M266" s="183"/>
      <c r="O266" s="183"/>
    </row>
    <row r="267" spans="1:15" ht="30" customHeight="1" thickBot="1" x14ac:dyDescent="0.35">
      <c r="B267" s="917" t="s">
        <v>429</v>
      </c>
      <c r="C267" s="918"/>
      <c r="D267" s="918"/>
      <c r="E267" s="919"/>
      <c r="F267" s="71"/>
      <c r="G267" s="398"/>
      <c r="H267" s="859"/>
      <c r="I267" s="355"/>
      <c r="J267"/>
    </row>
    <row r="268" spans="1:15" ht="75.75" customHeight="1" x14ac:dyDescent="0.3">
      <c r="B268" s="903" t="s">
        <v>430</v>
      </c>
      <c r="C268" s="903"/>
      <c r="D268" s="903"/>
      <c r="E268" s="903"/>
      <c r="F268" s="71"/>
      <c r="G268" s="398"/>
      <c r="H268" s="859"/>
      <c r="I268" s="355"/>
      <c r="J268"/>
    </row>
    <row r="269" spans="1:15" ht="15" thickBot="1" x14ac:dyDescent="0.35">
      <c r="A269" s="400"/>
      <c r="B269" s="401"/>
      <c r="C269" s="401"/>
      <c r="D269" s="402"/>
      <c r="E269" s="343"/>
      <c r="F269" s="71"/>
      <c r="G269" s="398"/>
      <c r="H269" s="859"/>
      <c r="I269" s="355"/>
      <c r="J269"/>
    </row>
    <row r="270" spans="1:15" ht="15" thickBot="1" x14ac:dyDescent="0.35">
      <c r="B270" s="143" t="s">
        <v>370</v>
      </c>
      <c r="C270" s="144" t="s">
        <v>371</v>
      </c>
      <c r="D270" s="403"/>
      <c r="E270" s="404"/>
      <c r="F270" s="90"/>
      <c r="G270" s="398"/>
      <c r="H270" s="859"/>
      <c r="I270" s="355"/>
      <c r="J270"/>
    </row>
    <row r="271" spans="1:15" ht="44.25" customHeight="1" thickBot="1" x14ac:dyDescent="0.35">
      <c r="B271" s="147" t="s">
        <v>395</v>
      </c>
      <c r="C271" s="146"/>
      <c r="D271" s="145"/>
      <c r="E271" s="346"/>
      <c r="F271" s="405"/>
      <c r="G271" s="398"/>
      <c r="H271" s="859"/>
      <c r="I271" s="355"/>
      <c r="J271"/>
    </row>
    <row r="272" spans="1:15" ht="44.25" customHeight="1" thickBot="1" x14ac:dyDescent="0.35">
      <c r="B272" s="147"/>
      <c r="C272" s="153"/>
      <c r="D272" s="406" t="s">
        <v>419</v>
      </c>
      <c r="E272" s="407"/>
      <c r="F272" s="408"/>
      <c r="G272" s="408"/>
      <c r="H272" s="859"/>
      <c r="I272" s="355"/>
      <c r="J272"/>
    </row>
    <row r="273" spans="1:10" ht="32.4" customHeight="1" thickBot="1" x14ac:dyDescent="0.35">
      <c r="A273" s="250">
        <v>960</v>
      </c>
      <c r="B273" s="910" t="s">
        <v>396</v>
      </c>
      <c r="C273" s="911"/>
      <c r="D273" s="895"/>
      <c r="E273" s="648" t="str">
        <f>IF(ISBLANK($D273),"&lt;&lt;&lt;&lt;&lt;&lt;&lt;&lt;&lt;&lt;&lt;&lt;&lt;&lt;&lt;","")</f>
        <v>&lt;&lt;&lt;&lt;&lt;&lt;&lt;&lt;&lt;&lt;&lt;&lt;&lt;&lt;&lt;</v>
      </c>
      <c r="F273" s="649" t="str">
        <f>IF(ISBLANK($D273),"Required","")</f>
        <v>Required</v>
      </c>
      <c r="G273" s="488"/>
      <c r="H273" s="858"/>
      <c r="I273" s="355"/>
      <c r="J273"/>
    </row>
    <row r="274" spans="1:10" ht="32.4" customHeight="1" thickBot="1" x14ac:dyDescent="0.35">
      <c r="A274" s="250">
        <v>962</v>
      </c>
      <c r="B274" s="908" t="s">
        <v>372</v>
      </c>
      <c r="C274" s="909"/>
      <c r="D274" s="895"/>
      <c r="E274" s="648" t="str">
        <f>IF(ISBLANK($D274),"&lt;&lt;&lt;&lt;&lt;&lt;&lt;&lt;&lt;&lt;&lt;&lt;&lt;&lt;&lt;","")</f>
        <v>&lt;&lt;&lt;&lt;&lt;&lt;&lt;&lt;&lt;&lt;&lt;&lt;&lt;&lt;&lt;</v>
      </c>
      <c r="F274" s="649" t="str">
        <f>IF(ISBLANK($D274),"Required","")</f>
        <v>Required</v>
      </c>
      <c r="H274" s="859"/>
      <c r="I274" s="355"/>
      <c r="J274"/>
    </row>
    <row r="275" spans="1:10" ht="32.4" customHeight="1" thickBot="1" x14ac:dyDescent="0.35">
      <c r="A275" s="250">
        <v>964</v>
      </c>
      <c r="B275" s="908" t="s">
        <v>373</v>
      </c>
      <c r="C275" s="909"/>
      <c r="D275" s="896"/>
      <c r="E275" s="648" t="str">
        <f>IF(ISBLANK($D275),"&lt;&lt;&lt;&lt;&lt;&lt;&lt;&lt;&lt;&lt;&lt;&lt;&lt;&lt;&lt;","")</f>
        <v>&lt;&lt;&lt;&lt;&lt;&lt;&lt;&lt;&lt;&lt;&lt;&lt;&lt;&lt;&lt;</v>
      </c>
      <c r="F275" s="649" t="str">
        <f>IF(ISBLANK($D275),"Required","")</f>
        <v>Required</v>
      </c>
      <c r="H275" s="859"/>
      <c r="I275" s="884"/>
      <c r="J275"/>
    </row>
    <row r="276" spans="1:10" ht="32.4" customHeight="1" thickBot="1" x14ac:dyDescent="0.35">
      <c r="A276" s="647">
        <v>966</v>
      </c>
      <c r="B276" s="904" t="s">
        <v>1352</v>
      </c>
      <c r="C276" s="905"/>
      <c r="D276" s="897"/>
      <c r="E276" s="648" t="str">
        <f>IF(ISBLANK($D276),"&lt;&lt;&lt;&lt;&lt;&lt;&lt;&lt;&lt;&lt;&lt;&lt;&lt;&lt;&lt;","")</f>
        <v>&lt;&lt;&lt;&lt;&lt;&lt;&lt;&lt;&lt;&lt;&lt;&lt;&lt;&lt;&lt;</v>
      </c>
      <c r="F276" s="649" t="str">
        <f>IF(ISBLANK($D276),"Required","")</f>
        <v>Required</v>
      </c>
      <c r="G276"/>
      <c r="H276" s="859"/>
      <c r="I276" s="355"/>
    </row>
    <row r="277" spans="1:10" ht="32.4" customHeight="1" thickBot="1" x14ac:dyDescent="0.35">
      <c r="A277" s="647"/>
      <c r="B277" s="904" t="s">
        <v>1353</v>
      </c>
      <c r="C277" s="905"/>
      <c r="D277" s="895"/>
      <c r="E277" s="650"/>
      <c r="F277" s="649"/>
      <c r="G277"/>
      <c r="H277" s="859"/>
      <c r="I277" s="355"/>
    </row>
    <row r="278" spans="1:10" ht="32.4" customHeight="1" thickBot="1" x14ac:dyDescent="0.35">
      <c r="A278" s="250">
        <v>968</v>
      </c>
      <c r="B278" s="906" t="s">
        <v>375</v>
      </c>
      <c r="C278" s="907"/>
      <c r="D278" s="898"/>
      <c r="E278" s="651" t="str">
        <f>IF(ISBLANK($D278),"&lt;&lt;&lt;&lt;&lt;&lt;&lt;&lt;&lt;&lt;&lt;&lt;&lt;&lt;&lt;","")</f>
        <v>&lt;&lt;&lt;&lt;&lt;&lt;&lt;&lt;&lt;&lt;&lt;&lt;&lt;&lt;&lt;</v>
      </c>
      <c r="F278" s="649" t="str">
        <f>IF(ISBLANK($D278),"Required","")</f>
        <v>Required</v>
      </c>
      <c r="H278" s="859"/>
      <c r="I278" s="355"/>
    </row>
    <row r="279" spans="1:10" x14ac:dyDescent="0.3">
      <c r="A279" s="98"/>
      <c r="B279" s="484"/>
      <c r="C279" s="484"/>
      <c r="D279" s="489" t="s">
        <v>45</v>
      </c>
      <c r="E279" s="485"/>
      <c r="F279" s="485"/>
      <c r="G279" s="485"/>
      <c r="H279" s="486"/>
      <c r="I279" s="98"/>
    </row>
    <row r="280" spans="1:10" x14ac:dyDescent="0.3">
      <c r="A280" s="98"/>
      <c r="B280" s="345"/>
      <c r="C280" s="345"/>
      <c r="D280" s="151"/>
      <c r="E280" s="184"/>
      <c r="F280" s="409"/>
      <c r="G280" s="409"/>
      <c r="H280" s="17"/>
      <c r="I280" s="98"/>
    </row>
    <row r="281" spans="1:10" x14ac:dyDescent="0.3">
      <c r="A281" s="98"/>
      <c r="B281" s="345"/>
      <c r="C281" s="345"/>
      <c r="D281" s="19"/>
      <c r="E281" s="343"/>
      <c r="F281" s="409"/>
      <c r="G281" s="409"/>
      <c r="H281" s="17"/>
      <c r="I281" s="98"/>
    </row>
    <row r="282" spans="1:10" x14ac:dyDescent="0.3">
      <c r="A282" s="531">
        <f>SUBTOTAL(109,A9:A278)</f>
        <v>97647</v>
      </c>
      <c r="E282" s="551" t="e">
        <f>SUM(E9:E259)</f>
        <v>#N/A</v>
      </c>
    </row>
    <row r="283" spans="1:10" x14ac:dyDescent="0.3">
      <c r="A283" s="98"/>
      <c r="B283" s="429"/>
      <c r="C283" s="429"/>
      <c r="D283" s="410"/>
      <c r="E283" s="246" t="e">
        <f>E186</f>
        <v>#N/A</v>
      </c>
      <c r="F283" s="173"/>
      <c r="G283" s="411"/>
      <c r="H283" s="17"/>
      <c r="I283" s="98"/>
    </row>
    <row r="284" spans="1:10" x14ac:dyDescent="0.3">
      <c r="A284" s="250"/>
      <c r="B284" s="250"/>
      <c r="C284" s="250"/>
      <c r="D284" s="410"/>
      <c r="E284" s="246" t="e">
        <f>E193</f>
        <v>#N/A</v>
      </c>
      <c r="F284" s="173"/>
      <c r="G284" s="411"/>
      <c r="H284" s="17"/>
      <c r="I284" s="98"/>
    </row>
    <row r="285" spans="1:10" x14ac:dyDescent="0.3">
      <c r="A285" s="250"/>
      <c r="B285" s="250"/>
      <c r="C285" s="250"/>
      <c r="D285" s="412"/>
      <c r="E285" s="246" t="e">
        <f>E199</f>
        <v>#N/A</v>
      </c>
      <c r="F285" s="173"/>
      <c r="G285" s="411"/>
      <c r="H285" s="17"/>
      <c r="I285" s="98"/>
    </row>
    <row r="286" spans="1:10" x14ac:dyDescent="0.3">
      <c r="A286" s="250"/>
      <c r="B286" s="250"/>
      <c r="C286" s="250"/>
      <c r="D286" s="412"/>
      <c r="E286" s="246" t="e">
        <f>E205</f>
        <v>#N/A</v>
      </c>
      <c r="F286" s="173"/>
      <c r="G286" s="411"/>
      <c r="H286" s="17"/>
      <c r="I286" s="98"/>
    </row>
    <row r="287" spans="1:10" x14ac:dyDescent="0.3">
      <c r="A287" s="250"/>
      <c r="B287" s="250"/>
      <c r="C287" s="250"/>
      <c r="D287" s="412"/>
      <c r="E287" s="246" t="e">
        <f>E206</f>
        <v>#N/A</v>
      </c>
      <c r="F287" s="173"/>
      <c r="G287" s="411"/>
      <c r="H287" s="17"/>
      <c r="I287" s="98"/>
    </row>
    <row r="288" spans="1:10" x14ac:dyDescent="0.3">
      <c r="A288" s="250"/>
      <c r="B288" s="250"/>
      <c r="C288" s="250"/>
      <c r="D288" s="412"/>
      <c r="E288" s="551" t="e">
        <f>E282-E283-E284-E285-E286-E287</f>
        <v>#N/A</v>
      </c>
      <c r="F288" s="183"/>
      <c r="G288" s="411"/>
      <c r="H288" s="17"/>
      <c r="I288" s="98"/>
    </row>
    <row r="289" spans="1:9" x14ac:dyDescent="0.3">
      <c r="A289" s="250"/>
      <c r="D289" s="286"/>
      <c r="F289" s="183"/>
      <c r="H289" s="17"/>
      <c r="I289" s="98"/>
    </row>
    <row r="290" spans="1:9" x14ac:dyDescent="0.3">
      <c r="D290" s="286"/>
      <c r="E290" s="247"/>
      <c r="F290" s="183"/>
      <c r="H290" s="17"/>
      <c r="I290" s="98"/>
    </row>
    <row r="291" spans="1:9" x14ac:dyDescent="0.3">
      <c r="D291" s="286"/>
      <c r="E291" s="246"/>
      <c r="F291" s="183"/>
      <c r="H291" s="17"/>
      <c r="I291" s="98"/>
    </row>
    <row r="292" spans="1:9" x14ac:dyDescent="0.3">
      <c r="D292" s="286"/>
      <c r="E292" s="184"/>
      <c r="F292" s="183"/>
      <c r="I292" s="98"/>
    </row>
    <row r="293" spans="1:9" x14ac:dyDescent="0.3">
      <c r="E293" s="245"/>
      <c r="F293" s="183"/>
      <c r="G293" s="414"/>
      <c r="I293" s="98"/>
    </row>
    <row r="294" spans="1:9" x14ac:dyDescent="0.3">
      <c r="E294" s="184"/>
      <c r="F294" s="183"/>
      <c r="I294" s="98"/>
    </row>
    <row r="295" spans="1:9" x14ac:dyDescent="0.3">
      <c r="E295" s="184"/>
      <c r="F295" s="183"/>
      <c r="I295" s="98"/>
    </row>
    <row r="296" spans="1:9" x14ac:dyDescent="0.3">
      <c r="E296" s="184"/>
      <c r="F296" s="183"/>
      <c r="I296" s="98"/>
    </row>
    <row r="297" spans="1:9" x14ac:dyDescent="0.3">
      <c r="I297" s="98"/>
    </row>
    <row r="298" spans="1:9" x14ac:dyDescent="0.3">
      <c r="I298" s="98"/>
    </row>
    <row r="299" spans="1:9" x14ac:dyDescent="0.3">
      <c r="I299" s="98"/>
    </row>
    <row r="300" spans="1:9" x14ac:dyDescent="0.3">
      <c r="I300" s="98"/>
    </row>
    <row r="301" spans="1:9" x14ac:dyDescent="0.3">
      <c r="I301" s="98"/>
    </row>
    <row r="302" spans="1:9" x14ac:dyDescent="0.3">
      <c r="I302" s="98"/>
    </row>
    <row r="303" spans="1:9" x14ac:dyDescent="0.3">
      <c r="I303" s="98"/>
    </row>
    <row r="304" spans="1:9" x14ac:dyDescent="0.3">
      <c r="I304" s="183"/>
    </row>
    <row r="305" spans="9:11" x14ac:dyDescent="0.3">
      <c r="I305" s="183"/>
      <c r="K305" s="184"/>
    </row>
    <row r="306" spans="9:11" x14ac:dyDescent="0.3">
      <c r="I306" s="183"/>
      <c r="K306" s="184"/>
    </row>
    <row r="307" spans="9:11" x14ac:dyDescent="0.3">
      <c r="I307" s="183"/>
      <c r="K307" s="184"/>
    </row>
    <row r="308" spans="9:11" x14ac:dyDescent="0.3">
      <c r="I308" s="183"/>
      <c r="K308" s="184"/>
    </row>
    <row r="309" spans="9:11" x14ac:dyDescent="0.3">
      <c r="I309" s="183"/>
      <c r="K309" s="184"/>
    </row>
    <row r="310" spans="9:11" x14ac:dyDescent="0.3">
      <c r="I310" s="183"/>
      <c r="K310" s="184"/>
    </row>
    <row r="311" spans="9:11" x14ac:dyDescent="0.3">
      <c r="I311" s="98"/>
      <c r="K311" s="184"/>
    </row>
    <row r="312" spans="9:11" x14ac:dyDescent="0.3">
      <c r="I312" s="98"/>
      <c r="K312" s="184"/>
    </row>
    <row r="313" spans="9:11" x14ac:dyDescent="0.3">
      <c r="I313" s="98"/>
      <c r="K313" s="184"/>
    </row>
    <row r="314" spans="9:11" x14ac:dyDescent="0.3">
      <c r="I314" s="98"/>
      <c r="K314" s="184"/>
    </row>
    <row r="315" spans="9:11" x14ac:dyDescent="0.3">
      <c r="I315" s="98"/>
      <c r="K315" s="184"/>
    </row>
    <row r="316" spans="9:11" x14ac:dyDescent="0.3">
      <c r="I316" s="98"/>
      <c r="J316" s="184"/>
      <c r="K316" s="184"/>
    </row>
    <row r="317" spans="9:11" x14ac:dyDescent="0.3">
      <c r="I317" s="98"/>
      <c r="J317" s="184"/>
      <c r="K317" s="184"/>
    </row>
    <row r="318" spans="9:11" x14ac:dyDescent="0.3">
      <c r="I318" s="98"/>
      <c r="J318" s="184"/>
      <c r="K318" s="184"/>
    </row>
    <row r="319" spans="9:11" x14ac:dyDescent="0.3">
      <c r="I319" s="98"/>
      <c r="J319" s="184"/>
      <c r="K319" s="184"/>
    </row>
    <row r="320" spans="9:11" x14ac:dyDescent="0.3">
      <c r="I320" s="183"/>
      <c r="J320" s="184"/>
      <c r="K320" s="184"/>
    </row>
    <row r="321" spans="9:11" x14ac:dyDescent="0.3">
      <c r="I321" s="183"/>
      <c r="J321" s="184"/>
      <c r="K321" s="184"/>
    </row>
    <row r="322" spans="9:11" x14ac:dyDescent="0.3">
      <c r="I322" s="183"/>
      <c r="J322" s="184"/>
      <c r="K322" s="184"/>
    </row>
    <row r="323" spans="9:11" x14ac:dyDescent="0.3">
      <c r="I323" s="183"/>
      <c r="J323" s="184"/>
      <c r="K323" s="184"/>
    </row>
    <row r="324" spans="9:11" x14ac:dyDescent="0.3">
      <c r="I324" s="183"/>
      <c r="J324" s="184"/>
      <c r="K324" s="184"/>
    </row>
    <row r="325" spans="9:11" x14ac:dyDescent="0.3">
      <c r="I325" s="183"/>
      <c r="J325" s="184"/>
      <c r="K325" s="184"/>
    </row>
    <row r="326" spans="9:11" x14ac:dyDescent="0.3">
      <c r="I326" s="183"/>
      <c r="J326" s="184"/>
      <c r="K326" s="184"/>
    </row>
    <row r="327" spans="9:11" x14ac:dyDescent="0.3">
      <c r="I327" s="183"/>
      <c r="J327" s="184"/>
      <c r="K327" s="184"/>
    </row>
    <row r="328" spans="9:11" x14ac:dyDescent="0.3">
      <c r="I328" s="183"/>
      <c r="J328" s="184"/>
      <c r="K328" s="184"/>
    </row>
    <row r="329" spans="9:11" x14ac:dyDescent="0.3">
      <c r="I329" s="183"/>
      <c r="J329" s="184"/>
      <c r="K329" s="184"/>
    </row>
    <row r="330" spans="9:11" x14ac:dyDescent="0.3">
      <c r="I330" s="183"/>
      <c r="J330" s="184"/>
      <c r="K330" s="184"/>
    </row>
    <row r="331" spans="9:11" x14ac:dyDescent="0.3">
      <c r="I331" s="183"/>
      <c r="J331" s="184"/>
      <c r="K331" s="184"/>
    </row>
    <row r="332" spans="9:11" x14ac:dyDescent="0.3">
      <c r="I332" s="183"/>
      <c r="J332" s="184"/>
      <c r="K332" s="184"/>
    </row>
    <row r="333" spans="9:11" x14ac:dyDescent="0.3">
      <c r="I333" s="183"/>
      <c r="J333" s="184"/>
      <c r="K333" s="184"/>
    </row>
    <row r="334" spans="9:11" x14ac:dyDescent="0.3">
      <c r="I334" s="183"/>
      <c r="J334" s="184"/>
      <c r="K334" s="184"/>
    </row>
    <row r="335" spans="9:11" x14ac:dyDescent="0.3">
      <c r="I335" s="183"/>
      <c r="J335" s="184"/>
      <c r="K335" s="184"/>
    </row>
    <row r="336" spans="9:11" x14ac:dyDescent="0.3">
      <c r="I336" s="183"/>
      <c r="J336" s="184"/>
      <c r="K336" s="184"/>
    </row>
    <row r="337" spans="9:11" x14ac:dyDescent="0.3">
      <c r="I337" s="183"/>
      <c r="J337" s="184"/>
      <c r="K337" s="184"/>
    </row>
    <row r="338" spans="9:11" x14ac:dyDescent="0.3">
      <c r="I338" s="183"/>
      <c r="J338" s="184"/>
      <c r="K338" s="184"/>
    </row>
    <row r="339" spans="9:11" x14ac:dyDescent="0.3">
      <c r="I339" s="183"/>
      <c r="J339" s="184"/>
      <c r="K339" s="184"/>
    </row>
    <row r="340" spans="9:11" x14ac:dyDescent="0.3">
      <c r="I340" s="183"/>
      <c r="J340" s="184"/>
      <c r="K340" s="184"/>
    </row>
    <row r="341" spans="9:11" x14ac:dyDescent="0.3">
      <c r="I341" s="183"/>
      <c r="J341" s="184"/>
      <c r="K341" s="184"/>
    </row>
    <row r="342" spans="9:11" x14ac:dyDescent="0.3">
      <c r="I342" s="183"/>
      <c r="J342" s="184"/>
      <c r="K342" s="184"/>
    </row>
    <row r="343" spans="9:11" x14ac:dyDescent="0.3">
      <c r="I343" s="183"/>
      <c r="J343" s="184"/>
      <c r="K343" s="184"/>
    </row>
    <row r="344" spans="9:11" x14ac:dyDescent="0.3">
      <c r="I344" s="183"/>
      <c r="J344" s="184"/>
      <c r="K344" s="184"/>
    </row>
    <row r="345" spans="9:11" x14ac:dyDescent="0.3">
      <c r="I345" s="183"/>
      <c r="J345" s="184"/>
      <c r="K345" s="184"/>
    </row>
    <row r="346" spans="9:11" x14ac:dyDescent="0.3">
      <c r="I346" s="183"/>
      <c r="J346" s="184"/>
      <c r="K346" s="184"/>
    </row>
    <row r="347" spans="9:11" x14ac:dyDescent="0.3">
      <c r="I347" s="183"/>
      <c r="J347" s="184"/>
      <c r="K347" s="184"/>
    </row>
    <row r="348" spans="9:11" x14ac:dyDescent="0.3">
      <c r="I348" s="183"/>
      <c r="J348" s="184"/>
      <c r="K348" s="184"/>
    </row>
    <row r="349" spans="9:11" x14ac:dyDescent="0.3">
      <c r="I349" s="183"/>
      <c r="J349" s="184"/>
      <c r="K349" s="184"/>
    </row>
    <row r="350" spans="9:11" x14ac:dyDescent="0.3">
      <c r="I350" s="183"/>
      <c r="J350" s="184"/>
      <c r="K350" s="184"/>
    </row>
    <row r="351" spans="9:11" x14ac:dyDescent="0.3">
      <c r="I351" s="183"/>
      <c r="J351" s="184"/>
      <c r="K351" s="184"/>
    </row>
    <row r="352" spans="9:11" x14ac:dyDescent="0.3">
      <c r="I352" s="183"/>
      <c r="J352" s="184"/>
      <c r="K352" s="184"/>
    </row>
    <row r="353" spans="9:11" x14ac:dyDescent="0.3">
      <c r="I353" s="183"/>
      <c r="J353" s="184"/>
      <c r="K353" s="184"/>
    </row>
    <row r="354" spans="9:11" x14ac:dyDescent="0.3">
      <c r="I354" s="183"/>
      <c r="J354" s="184"/>
      <c r="K354" s="184"/>
    </row>
    <row r="355" spans="9:11" x14ac:dyDescent="0.3">
      <c r="I355" s="183"/>
      <c r="J355" s="184"/>
      <c r="K355" s="184"/>
    </row>
    <row r="356" spans="9:11" x14ac:dyDescent="0.3">
      <c r="I356" s="183"/>
      <c r="J356" s="184"/>
      <c r="K356" s="184"/>
    </row>
    <row r="357" spans="9:11" x14ac:dyDescent="0.3">
      <c r="I357" s="183"/>
      <c r="J357" s="184"/>
      <c r="K357" s="184"/>
    </row>
    <row r="358" spans="9:11" x14ac:dyDescent="0.3">
      <c r="I358" s="183"/>
      <c r="J358" s="184"/>
      <c r="K358" s="184"/>
    </row>
    <row r="359" spans="9:11" x14ac:dyDescent="0.3">
      <c r="I359" s="183"/>
      <c r="J359" s="184"/>
      <c r="K359" s="184"/>
    </row>
    <row r="360" spans="9:11" x14ac:dyDescent="0.3">
      <c r="I360" s="183"/>
      <c r="J360" s="184"/>
      <c r="K360" s="184"/>
    </row>
    <row r="361" spans="9:11" x14ac:dyDescent="0.3">
      <c r="I361" s="183"/>
      <c r="J361" s="184"/>
      <c r="K361" s="184"/>
    </row>
    <row r="362" spans="9:11" x14ac:dyDescent="0.3">
      <c r="I362" s="183"/>
      <c r="J362" s="184"/>
      <c r="K362" s="184"/>
    </row>
    <row r="363" spans="9:11" x14ac:dyDescent="0.3">
      <c r="I363" s="183"/>
      <c r="J363" s="184"/>
      <c r="K363" s="184"/>
    </row>
    <row r="364" spans="9:11" x14ac:dyDescent="0.3">
      <c r="I364" s="183"/>
      <c r="J364" s="184"/>
      <c r="K364" s="184"/>
    </row>
    <row r="365" spans="9:11" x14ac:dyDescent="0.3">
      <c r="I365" s="183"/>
      <c r="J365" s="184"/>
      <c r="K365" s="184"/>
    </row>
    <row r="366" spans="9:11" x14ac:dyDescent="0.3">
      <c r="I366" s="183"/>
      <c r="J366" s="184"/>
      <c r="K366" s="184"/>
    </row>
    <row r="367" spans="9:11" x14ac:dyDescent="0.3">
      <c r="I367" s="183"/>
      <c r="J367" s="184"/>
      <c r="K367" s="184"/>
    </row>
    <row r="368" spans="9:11" x14ac:dyDescent="0.3">
      <c r="I368" s="183"/>
      <c r="J368" s="184"/>
      <c r="K368" s="184"/>
    </row>
    <row r="369" spans="9:11" x14ac:dyDescent="0.3">
      <c r="I369" s="183"/>
      <c r="J369" s="184"/>
      <c r="K369" s="184"/>
    </row>
    <row r="370" spans="9:11" x14ac:dyDescent="0.3">
      <c r="I370" s="183"/>
      <c r="J370" s="184"/>
      <c r="K370" s="184"/>
    </row>
    <row r="371" spans="9:11" x14ac:dyDescent="0.3">
      <c r="I371" s="183"/>
      <c r="J371" s="184"/>
      <c r="K371" s="184"/>
    </row>
    <row r="372" spans="9:11" x14ac:dyDescent="0.3">
      <c r="I372" s="183"/>
      <c r="J372" s="184"/>
      <c r="K372" s="184"/>
    </row>
    <row r="373" spans="9:11" x14ac:dyDescent="0.3">
      <c r="I373" s="183"/>
      <c r="J373" s="184"/>
      <c r="K373" s="184"/>
    </row>
    <row r="374" spans="9:11" x14ac:dyDescent="0.3">
      <c r="I374" s="183"/>
      <c r="J374" s="184"/>
    </row>
    <row r="375" spans="9:11" x14ac:dyDescent="0.3">
      <c r="I375" s="183"/>
      <c r="J375" s="184"/>
    </row>
    <row r="376" spans="9:11" x14ac:dyDescent="0.3">
      <c r="I376" s="183"/>
      <c r="J376" s="184"/>
    </row>
    <row r="377" spans="9:11" x14ac:dyDescent="0.3">
      <c r="I377" s="183"/>
      <c r="J377" s="184"/>
    </row>
    <row r="378" spans="9:11" x14ac:dyDescent="0.3">
      <c r="I378" s="183"/>
      <c r="J378" s="184"/>
    </row>
    <row r="379" spans="9:11" x14ac:dyDescent="0.3">
      <c r="I379" s="183"/>
      <c r="J379" s="184"/>
    </row>
    <row r="380" spans="9:11" x14ac:dyDescent="0.3">
      <c r="I380" s="183"/>
      <c r="J380" s="184"/>
    </row>
    <row r="381" spans="9:11" x14ac:dyDescent="0.3">
      <c r="I381" s="183"/>
      <c r="J381" s="184"/>
    </row>
    <row r="382" spans="9:11" x14ac:dyDescent="0.3">
      <c r="I382" s="183"/>
      <c r="J382" s="184"/>
    </row>
    <row r="383" spans="9:11" x14ac:dyDescent="0.3">
      <c r="I383" s="183"/>
      <c r="J383" s="184"/>
    </row>
    <row r="384" spans="9:11" x14ac:dyDescent="0.3">
      <c r="I384" s="183"/>
      <c r="J384" s="184"/>
    </row>
    <row r="385" spans="9:9" x14ac:dyDescent="0.3">
      <c r="I385" s="183"/>
    </row>
    <row r="386" spans="9:9" x14ac:dyDescent="0.3">
      <c r="I386" s="183"/>
    </row>
    <row r="387" spans="9:9" x14ac:dyDescent="0.3">
      <c r="I387" s="183"/>
    </row>
    <row r="388" spans="9:9" x14ac:dyDescent="0.3">
      <c r="I388" s="183"/>
    </row>
    <row r="389" spans="9:9" x14ac:dyDescent="0.3">
      <c r="I389" s="98"/>
    </row>
    <row r="390" spans="9:9" x14ac:dyDescent="0.3">
      <c r="I390" s="98"/>
    </row>
    <row r="391" spans="9:9" x14ac:dyDescent="0.3">
      <c r="I391" s="98"/>
    </row>
    <row r="392" spans="9:9" x14ac:dyDescent="0.3">
      <c r="I392" s="98"/>
    </row>
    <row r="393" spans="9:9" x14ac:dyDescent="0.3">
      <c r="I393" s="98"/>
    </row>
    <row r="394" spans="9:9" x14ac:dyDescent="0.3">
      <c r="I394" s="98"/>
    </row>
    <row r="395" spans="9:9" x14ac:dyDescent="0.3">
      <c r="I395" s="98"/>
    </row>
    <row r="396" spans="9:9" x14ac:dyDescent="0.3">
      <c r="I396" s="98"/>
    </row>
    <row r="397" spans="9:9" x14ac:dyDescent="0.3">
      <c r="I397" s="98"/>
    </row>
    <row r="398" spans="9:9" x14ac:dyDescent="0.3">
      <c r="I398" s="98"/>
    </row>
  </sheetData>
  <sheetProtection algorithmName="SHA-512" hashValue="87f+RhmRZ5JfNELEB4wyZN5j1OoqYzfjGGraXXeosaQv/gYKL0E3QR3RCzrTrCaKShThSc8Xd9eFayTAanIpAw==" saltValue="nXlgt1rkHDOiOoi9XQ84LQ==" spinCount="100000" sheet="1" formatCells="0"/>
  <dataConsolidate link="1"/>
  <mergeCells count="14">
    <mergeCell ref="E2:G2"/>
    <mergeCell ref="B2:C2"/>
    <mergeCell ref="B128:D128"/>
    <mergeCell ref="B267:E267"/>
    <mergeCell ref="B260:D260"/>
    <mergeCell ref="B6:G6"/>
    <mergeCell ref="B7:G7"/>
    <mergeCell ref="B268:E268"/>
    <mergeCell ref="B276:C276"/>
    <mergeCell ref="B278:C278"/>
    <mergeCell ref="B275:C275"/>
    <mergeCell ref="B273:C273"/>
    <mergeCell ref="B274:C274"/>
    <mergeCell ref="B277:C277"/>
  </mergeCells>
  <phoneticPr fontId="54" type="noConversion"/>
  <conditionalFormatting sqref="H158 H80:H83">
    <cfRule type="cellIs" dxfId="95" priority="108" stopIfTrue="1" operator="notEqual">
      <formula>0</formula>
    </cfRule>
  </conditionalFormatting>
  <conditionalFormatting sqref="H159">
    <cfRule type="cellIs" dxfId="94" priority="106" stopIfTrue="1" operator="notEqual">
      <formula>0</formula>
    </cfRule>
  </conditionalFormatting>
  <conditionalFormatting sqref="G249:G252 G256:G257">
    <cfRule type="cellIs" dxfId="93" priority="105" stopIfTrue="1" operator="notEqual">
      <formula>0</formula>
    </cfRule>
  </conditionalFormatting>
  <conditionalFormatting sqref="H25">
    <cfRule type="cellIs" dxfId="92" priority="104" stopIfTrue="1" operator="notEqual">
      <formula>0</formula>
    </cfRule>
  </conditionalFormatting>
  <conditionalFormatting sqref="H39:H40">
    <cfRule type="cellIs" dxfId="91" priority="103" stopIfTrue="1" operator="notEqual">
      <formula>0</formula>
    </cfRule>
  </conditionalFormatting>
  <conditionalFormatting sqref="H66">
    <cfRule type="cellIs" dxfId="90" priority="102" stopIfTrue="1" operator="notEqual">
      <formula>0</formula>
    </cfRule>
  </conditionalFormatting>
  <conditionalFormatting sqref="H107">
    <cfRule type="cellIs" dxfId="89" priority="100" stopIfTrue="1" operator="notEqual">
      <formula>0</formula>
    </cfRule>
  </conditionalFormatting>
  <conditionalFormatting sqref="H126">
    <cfRule type="cellIs" dxfId="88" priority="99" stopIfTrue="1" operator="notEqual">
      <formula>0</formula>
    </cfRule>
  </conditionalFormatting>
  <conditionalFormatting sqref="H141">
    <cfRule type="cellIs" dxfId="87" priority="98" stopIfTrue="1" operator="notEqual">
      <formula>0</formula>
    </cfRule>
  </conditionalFormatting>
  <conditionalFormatting sqref="H142">
    <cfRule type="cellIs" dxfId="86" priority="97" stopIfTrue="1" operator="notEqual">
      <formula>0</formula>
    </cfRule>
  </conditionalFormatting>
  <conditionalFormatting sqref="G231">
    <cfRule type="cellIs" priority="69" stopIfTrue="1" operator="equal">
      <formula>";;;"</formula>
    </cfRule>
  </conditionalFormatting>
  <conditionalFormatting sqref="G231">
    <cfRule type="cellIs" dxfId="85" priority="68" stopIfTrue="1" operator="equal">
      <formula>0</formula>
    </cfRule>
  </conditionalFormatting>
  <conditionalFormatting sqref="G230">
    <cfRule type="cellIs" priority="66" stopIfTrue="1" operator="equal">
      <formula>";;;"</formula>
    </cfRule>
  </conditionalFormatting>
  <conditionalFormatting sqref="G230">
    <cfRule type="cellIs" dxfId="84" priority="65" stopIfTrue="1" operator="equal">
      <formula>0</formula>
    </cfRule>
  </conditionalFormatting>
  <conditionalFormatting sqref="G230">
    <cfRule type="cellIs" dxfId="83" priority="64" stopIfTrue="1" operator="equal">
      <formula>0</formula>
    </cfRule>
  </conditionalFormatting>
  <conditionalFormatting sqref="G229">
    <cfRule type="cellIs" priority="54" stopIfTrue="1" operator="equal">
      <formula>";;;"</formula>
    </cfRule>
  </conditionalFormatting>
  <conditionalFormatting sqref="G229">
    <cfRule type="cellIs" dxfId="82" priority="53" stopIfTrue="1" operator="equal">
      <formula>0</formula>
    </cfRule>
  </conditionalFormatting>
  <conditionalFormatting sqref="G229">
    <cfRule type="cellIs" dxfId="81" priority="52" stopIfTrue="1" operator="equal">
      <formula>0</formula>
    </cfRule>
  </conditionalFormatting>
  <conditionalFormatting sqref="G224">
    <cfRule type="cellIs" priority="21" stopIfTrue="1" operator="equal">
      <formula>";;;"</formula>
    </cfRule>
  </conditionalFormatting>
  <conditionalFormatting sqref="G224">
    <cfRule type="cellIs" dxfId="80" priority="20" stopIfTrue="1" operator="equal">
      <formula>0</formula>
    </cfRule>
  </conditionalFormatting>
  <conditionalFormatting sqref="G224">
    <cfRule type="cellIs" dxfId="79" priority="19" stopIfTrue="1" operator="equal">
      <formula>0</formula>
    </cfRule>
  </conditionalFormatting>
  <conditionalFormatting sqref="G222">
    <cfRule type="cellIs" priority="18" stopIfTrue="1" operator="equal">
      <formula>";;;"</formula>
    </cfRule>
  </conditionalFormatting>
  <conditionalFormatting sqref="G222">
    <cfRule type="cellIs" dxfId="78" priority="17" stopIfTrue="1" operator="equal">
      <formula>0</formula>
    </cfRule>
  </conditionalFormatting>
  <conditionalFormatting sqref="G222">
    <cfRule type="cellIs" dxfId="77" priority="16" stopIfTrue="1" operator="equal">
      <formula>0</formula>
    </cfRule>
  </conditionalFormatting>
  <conditionalFormatting sqref="G223">
    <cfRule type="cellIs" priority="15" stopIfTrue="1" operator="equal">
      <formula>";;;"</formula>
    </cfRule>
  </conditionalFormatting>
  <conditionalFormatting sqref="G223">
    <cfRule type="cellIs" dxfId="76" priority="14" stopIfTrue="1" operator="equal">
      <formula>0</formula>
    </cfRule>
  </conditionalFormatting>
  <conditionalFormatting sqref="G223">
    <cfRule type="cellIs" dxfId="75" priority="13" stopIfTrue="1" operator="equal">
      <formula>0</formula>
    </cfRule>
  </conditionalFormatting>
  <conditionalFormatting sqref="G226">
    <cfRule type="cellIs" priority="12" stopIfTrue="1" operator="equal">
      <formula>";;;"</formula>
    </cfRule>
  </conditionalFormatting>
  <conditionalFormatting sqref="G226">
    <cfRule type="cellIs" dxfId="74" priority="11" stopIfTrue="1" operator="equal">
      <formula>0</formula>
    </cfRule>
  </conditionalFormatting>
  <conditionalFormatting sqref="G226">
    <cfRule type="cellIs" dxfId="73" priority="10" stopIfTrue="1" operator="equal">
      <formula>0</formula>
    </cfRule>
  </conditionalFormatting>
  <conditionalFormatting sqref="G228">
    <cfRule type="cellIs" priority="4" stopIfTrue="1" operator="equal">
      <formula>";;;"</formula>
    </cfRule>
  </conditionalFormatting>
  <conditionalFormatting sqref="G228">
    <cfRule type="cellIs" dxfId="72" priority="3" stopIfTrue="1" operator="equal">
      <formula>0</formula>
    </cfRule>
  </conditionalFormatting>
  <conditionalFormatting sqref="G228">
    <cfRule type="cellIs" dxfId="71" priority="2" stopIfTrue="1" operator="equal">
      <formula>0</formula>
    </cfRule>
  </conditionalFormatting>
  <conditionalFormatting sqref="I81">
    <cfRule type="expression" dxfId="70" priority="1">
      <formula>$F$81=""</formula>
    </cfRule>
  </conditionalFormatting>
  <dataValidations xWindow="829" yWindow="690" count="16">
    <dataValidation type="list" allowBlank="1" showErrorMessage="1" prompt="Please select  from the drop-down list." sqref="F89" xr:uid="{00000000-0002-0000-0100-000005000000}">
      <formula1>$N$2:$N$4</formula1>
    </dataValidation>
    <dataValidation type="list" allowBlank="1" showInputMessage="1" showErrorMessage="1" prompt="Please select from the drop down list." sqref="F81" xr:uid="{A85FF889-D99F-45B3-A284-6701B76512B6}">
      <formula1>$M$4:$M$6</formula1>
    </dataValidation>
    <dataValidation type="list" allowBlank="1" showInputMessage="1" showErrorMessage="1" sqref="F264" xr:uid="{9CC5535C-800A-4D03-A86E-273A5BC3EBB6}">
      <formula1>$M$1:$M$2</formula1>
    </dataValidation>
    <dataValidation type="list" allowBlank="1" showErrorMessage="1" prompt="Please select from the drop down list." sqref="F219" xr:uid="{FCE57F22-20D9-4CFA-AFE5-1751E216D3C1}">
      <formula1>$O$1:$O$2</formula1>
    </dataValidation>
    <dataValidation type="list" allowBlank="1" showErrorMessage="1" prompt="P:lase select from the drop down list." sqref="F227" xr:uid="{2CD3BDAD-30EF-425F-BB01-D3FF43CDAA81}">
      <formula1>$O$1:$O$4</formula1>
    </dataValidation>
    <dataValidation type="list" allowBlank="1" showErrorMessage="1" prompt="Please select from the drop down box list." sqref="F259" xr:uid="{7584867B-76E5-42C2-B404-3B1B6C94E6E2}">
      <formula1>$O$1:$O$2</formula1>
    </dataValidation>
    <dataValidation type="list" allowBlank="1" showInputMessage="1" showErrorMessage="1" sqref="F263" xr:uid="{DB0EB8F5-2DE0-4833-AFDF-F7BB7A8D56E1}">
      <formula1>$M$8:$M$10</formula1>
    </dataValidation>
    <dataValidation type="custom" allowBlank="1" showInputMessage="1" showErrorMessage="1" error="Please enter a numeric value.  If this data is not applicable to your unit of government, the cell should be populated with zero." sqref="F174 F172 F161 F30:F41 F70:F80 F27:F28 F90:F107 F109:F126 F129:F142 F146:F159 F164:F170 F178:F180 F20:F25 F82:F83 F85 F54:F68 F50:F52 F43:F44" xr:uid="{B5815DCD-160E-4CA9-A461-76D5F396E4F1}">
      <formula1>ISNUMBER(F20)</formula1>
    </dataValidation>
    <dataValidation type="custom" allowBlank="1" showErrorMessage="1" error="Please enter a numeric value.  If this data is not applicable to your unit of government, the cell should be populated with zero." prompt="_x000a__x000a_" sqref="F189:F192 F195:F198 F201:F204 F209:F211 F213:F216 F184:F185" xr:uid="{DA17F63A-7740-447E-B0DD-1FD94F0BE4C8}">
      <formula1>ISNUMBER(F184)</formula1>
    </dataValidation>
    <dataValidation type="custom" allowBlank="1" showErrorMessage="1" error="Please enter a numeric value.  If this data is not applicable to your unit of government, the cell should be populated with zero." sqref="F249:F257 F246 F244 F233:F240 F242 F228:F230 F221:F224" xr:uid="{6656F482-2030-43E8-B669-24F0F4187CE8}">
      <formula1>ISNUMBER(F221)</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25" xr:uid="{8DAFED68-C7CC-4E4B-B0DE-1B3BA6E17585}">
      <formula1>-ISNUMBER(221)</formula1>
    </dataValidation>
    <dataValidation type="custom" allowBlank="1" showInputMessage="1" showErrorMessage="1" error="Please enter a numeric value. If this data is not applicable to your unit of government, the cell should be populated with zero." sqref="F9:F19" xr:uid="{2B8A4F99-9CD2-4D02-A062-E988EF3799E5}">
      <formula1>ISNUMBER(F9)</formula1>
    </dataValidation>
    <dataValidation type="list" allowBlank="1" showErrorMessage="1" prompt="Please select from drop down list." sqref="F143:F144" xr:uid="{B28A4ED8-9280-4348-99A1-3B99F5248D33}">
      <formula1>$O$1:$O$2</formula1>
    </dataValidation>
    <dataValidation type="custom" allowBlank="1" showErrorMessage="1" error="Please enter a numeric value.  If this data is not applicable to your unit of government the cell should be populated with zero." sqref="F218" xr:uid="{CB641EB2-3894-4A74-BBEC-CDF7A3E8D5D8}">
      <formula1>ISNUMBER(F218)</formula1>
    </dataValidation>
    <dataValidation type="custom" allowBlank="1" showErrorMessage="1" error="Please enter a numeric value.  If this data is not applicable to your unit of government, the cell should be populated wih zero." sqref="F226" xr:uid="{EE3DADAD-5656-406D-A714-9D6C22BCD542}">
      <formula1>ISNUMBER(F226)</formula1>
    </dataValidation>
    <dataValidation type="date" operator="greaterThan" allowBlank="1" showInputMessage="1" showErrorMessage="1" sqref="D275" xr:uid="{2C9B1393-897E-4C11-921A-FE72B66A3BA0}">
      <formula1>45107</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54:H25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Names(H)'!$A$1:$A$49</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pageSetUpPr fitToPage="1"/>
  </sheetPr>
  <dimension ref="A1:M53"/>
  <sheetViews>
    <sheetView zoomScaleNormal="100" workbookViewId="0">
      <selection activeCell="C11" sqref="C11"/>
    </sheetView>
  </sheetViews>
  <sheetFormatPr defaultRowHeight="14.4" x14ac:dyDescent="0.3"/>
  <cols>
    <col min="1" max="1" width="9.21875" style="149" customWidth="1"/>
    <col min="2" max="2" width="103.109375" customWidth="1"/>
    <col min="3" max="3" width="19" customWidth="1"/>
    <col min="4" max="4" width="50.33203125" style="492" customWidth="1"/>
    <col min="5" max="5" width="29.88671875" customWidth="1"/>
    <col min="9" max="9" width="8.88671875" style="640"/>
    <col min="10" max="10" width="1.6640625" style="640" customWidth="1"/>
    <col min="11" max="12" width="8.88671875" style="640" hidden="1" customWidth="1"/>
    <col min="13" max="13" width="13" style="640" customWidth="1"/>
  </cols>
  <sheetData>
    <row r="1" spans="1:13" s="560" customFormat="1" ht="12" customHeight="1" thickBot="1" x14ac:dyDescent="0.35">
      <c r="A1" s="559"/>
      <c r="D1" s="628"/>
      <c r="E1"/>
      <c r="F1"/>
      <c r="G1"/>
      <c r="H1"/>
      <c r="I1" s="639"/>
      <c r="J1" s="639"/>
      <c r="K1" s="639"/>
      <c r="L1" s="639"/>
      <c r="M1" s="639"/>
    </row>
    <row r="2" spans="1:13" ht="36.6" customHeight="1" thickBot="1" x14ac:dyDescent="0.35">
      <c r="A2" s="924" t="s">
        <v>1043</v>
      </c>
      <c r="B2" s="925"/>
      <c r="C2" s="925"/>
      <c r="D2" s="925"/>
    </row>
    <row r="3" spans="1:13" s="560" customFormat="1" ht="10.199999999999999" customHeight="1" thickBot="1" x14ac:dyDescent="0.35">
      <c r="A3" s="627"/>
      <c r="D3" s="628"/>
      <c r="E3"/>
      <c r="F3"/>
      <c r="G3"/>
      <c r="H3"/>
      <c r="I3" s="639"/>
      <c r="J3" s="639"/>
      <c r="K3" s="639"/>
      <c r="L3" s="639"/>
      <c r="M3" s="639"/>
    </row>
    <row r="4" spans="1:13" ht="19.8" customHeight="1" thickBot="1" x14ac:dyDescent="0.35">
      <c r="A4" s="926" t="s">
        <v>1044</v>
      </c>
      <c r="B4" s="927"/>
      <c r="C4" s="927"/>
      <c r="D4" s="927"/>
    </row>
    <row r="5" spans="1:13" s="560" customFormat="1" ht="6.6" customHeight="1" thickBot="1" x14ac:dyDescent="0.35">
      <c r="A5" s="629"/>
      <c r="B5" s="632"/>
      <c r="C5" s="632"/>
      <c r="D5" s="637"/>
      <c r="E5"/>
      <c r="F5"/>
      <c r="G5"/>
      <c r="H5"/>
      <c r="I5" s="639"/>
      <c r="J5" s="639"/>
      <c r="K5" s="639"/>
      <c r="L5" s="639"/>
      <c r="M5" s="639"/>
    </row>
    <row r="6" spans="1:13" ht="20.399999999999999" customHeight="1" thickBot="1" x14ac:dyDescent="0.35">
      <c r="A6" s="928" t="s">
        <v>806</v>
      </c>
      <c r="B6" s="929"/>
      <c r="C6" s="929"/>
      <c r="D6" s="929"/>
    </row>
    <row r="7" spans="1:13" s="560" customFormat="1" ht="7.2" customHeight="1" thickBot="1" x14ac:dyDescent="0.35">
      <c r="A7" s="630"/>
      <c r="B7" s="631"/>
      <c r="C7" s="631"/>
      <c r="D7" s="638"/>
      <c r="E7"/>
      <c r="F7"/>
      <c r="G7"/>
      <c r="H7"/>
      <c r="I7" s="639"/>
      <c r="J7" s="639"/>
      <c r="K7" s="639"/>
      <c r="L7" s="639"/>
      <c r="M7" s="639"/>
    </row>
    <row r="8" spans="1:13" s="560" customFormat="1" ht="43.2" customHeight="1" thickBot="1" x14ac:dyDescent="0.4">
      <c r="A8" s="930" t="s">
        <v>1640</v>
      </c>
      <c r="B8" s="931"/>
      <c r="C8" s="931"/>
      <c r="D8" s="932"/>
      <c r="E8"/>
      <c r="F8" s="173"/>
      <c r="G8" s="173"/>
      <c r="H8" s="173"/>
      <c r="I8" s="639"/>
      <c r="J8" s="639"/>
      <c r="K8" s="639"/>
      <c r="L8" s="639"/>
      <c r="M8" s="639"/>
    </row>
    <row r="9" spans="1:13" s="560" customFormat="1" ht="13.95" customHeight="1" thickBot="1" x14ac:dyDescent="0.35">
      <c r="A9" s="685"/>
      <c r="B9" s="686"/>
      <c r="C9" s="686"/>
      <c r="D9" s="687"/>
      <c r="E9" s="933" t="s">
        <v>1646</v>
      </c>
      <c r="F9" s="173"/>
      <c r="G9" s="173"/>
      <c r="H9" s="173"/>
      <c r="I9" s="639"/>
      <c r="J9" s="639"/>
      <c r="K9" s="639"/>
      <c r="L9" s="639"/>
      <c r="M9" s="639"/>
    </row>
    <row r="10" spans="1:13" ht="35.4" customHeight="1" x14ac:dyDescent="0.3">
      <c r="A10" s="685" t="s">
        <v>740</v>
      </c>
      <c r="B10" s="686"/>
      <c r="C10" s="686"/>
      <c r="D10" s="687"/>
      <c r="E10" s="934"/>
    </row>
    <row r="11" spans="1:13" s="539" customFormat="1" ht="40.200000000000003" customHeight="1" x14ac:dyDescent="0.3">
      <c r="A11" s="657">
        <v>906</v>
      </c>
      <c r="B11" s="658" t="s">
        <v>433</v>
      </c>
      <c r="C11" s="688"/>
      <c r="D11" s="661" t="str">
        <f t="shared" ref="D11:D32" si="0">IF(C11="","This Question must be answered before uploading, the report will not be processed if left blank","")</f>
        <v>This Question must be answered before uploading, the report will not be processed if left blank</v>
      </c>
      <c r="E11" s="885"/>
      <c r="F11"/>
      <c r="G11"/>
      <c r="H11"/>
      <c r="I11" s="641"/>
      <c r="J11" s="641"/>
      <c r="K11" s="641"/>
      <c r="L11" s="641"/>
      <c r="M11" s="641"/>
    </row>
    <row r="12" spans="1:13" ht="40.200000000000003" customHeight="1" x14ac:dyDescent="0.3">
      <c r="A12" s="657">
        <v>907</v>
      </c>
      <c r="B12" s="658" t="s">
        <v>1038</v>
      </c>
      <c r="C12" s="688"/>
      <c r="D12" s="661" t="str">
        <f t="shared" si="0"/>
        <v>This Question must be answered before uploading, the report will not be processed if left blank</v>
      </c>
      <c r="E12" s="885"/>
      <c r="I12" s="641"/>
      <c r="J12" s="641"/>
      <c r="K12" s="641"/>
      <c r="L12" s="641"/>
    </row>
    <row r="13" spans="1:13" s="173" customFormat="1" ht="49.8" customHeight="1" x14ac:dyDescent="0.3">
      <c r="A13" s="847">
        <v>1055</v>
      </c>
      <c r="B13" s="658" t="s">
        <v>1034</v>
      </c>
      <c r="C13" s="688"/>
      <c r="D13" s="661" t="str">
        <f>IF(C13="","This question must be answered before uploading. The report will not be processed if left blank.",IF(C13="Yes","Financial Performance Indicator of Concern that requires a response.  Please provide source document and page number in cell E13.",""))</f>
        <v>This question must be answered before uploading. The report will not be processed if left blank.</v>
      </c>
      <c r="E13" s="885"/>
      <c r="F13"/>
      <c r="G13"/>
      <c r="H13"/>
      <c r="I13" s="641"/>
      <c r="J13" s="641"/>
      <c r="K13" s="641"/>
      <c r="L13" s="641"/>
      <c r="M13" s="640"/>
    </row>
    <row r="14" spans="1:13" s="173" customFormat="1" ht="46.8" customHeight="1" x14ac:dyDescent="0.3">
      <c r="A14" s="847">
        <v>1056</v>
      </c>
      <c r="B14" s="658" t="s">
        <v>1035</v>
      </c>
      <c r="C14" s="688"/>
      <c r="D14" s="661" t="str">
        <f>IF(C14="","This question must be answered before uploading. The report will not be processed if left blank.",IF(C14="Yes"," Financial Performance Indicator of Concern that requires a response.  Please provide source document and page number in cell E14.",""))</f>
        <v>This question must be answered before uploading. The report will not be processed if left blank.</v>
      </c>
      <c r="E14" s="885"/>
      <c r="F14"/>
      <c r="G14"/>
      <c r="H14"/>
      <c r="I14" s="641"/>
      <c r="J14" s="641"/>
      <c r="K14" s="641"/>
      <c r="L14" s="641"/>
      <c r="M14" s="640"/>
    </row>
    <row r="15" spans="1:13" s="173" customFormat="1" ht="49.2" customHeight="1" x14ac:dyDescent="0.3">
      <c r="A15" s="657">
        <v>1057</v>
      </c>
      <c r="B15" s="658" t="s">
        <v>1652</v>
      </c>
      <c r="C15" s="688"/>
      <c r="D15" s="661" t="str">
        <f>IF(C15="","This question must be answered before uploading. The report will not be processed if left blank.",IF(C15="Yes","Financial Performance Indicator of Concern that requires a response.  Please provide source document and page number in cell E15.",""))</f>
        <v>This question must be answered before uploading. The report will not be processed if left blank.</v>
      </c>
      <c r="E15" s="885"/>
      <c r="F15"/>
      <c r="G15"/>
      <c r="H15"/>
      <c r="I15" s="641"/>
      <c r="J15" s="641"/>
      <c r="K15" s="641"/>
      <c r="L15" s="641"/>
      <c r="M15" s="640"/>
    </row>
    <row r="16" spans="1:13" ht="54" customHeight="1" x14ac:dyDescent="0.3">
      <c r="A16" s="847">
        <v>1058</v>
      </c>
      <c r="B16" s="658" t="s">
        <v>1037</v>
      </c>
      <c r="C16" s="688"/>
      <c r="D16" s="661" t="str">
        <f>IF(C16="","This question must be answered before uploading. The report will not be processed if left blank.",IF(C16="Yes","Financial Performance Indicator of Concern that requires a response.  Please provide source document and page number in cell E16.",""))</f>
        <v>This question must be answered before uploading. The report will not be processed if left blank.</v>
      </c>
      <c r="E16" s="885"/>
    </row>
    <row r="17" spans="1:13" ht="69.599999999999994" customHeight="1" x14ac:dyDescent="0.3">
      <c r="A17" s="657">
        <v>1059</v>
      </c>
      <c r="B17" s="658" t="s">
        <v>1410</v>
      </c>
      <c r="C17" s="688"/>
      <c r="D17" s="661" t="str">
        <f>IF(C17="","This question must be answered before uploading. The report will not be processed if left blank.",IF(C17="No","Financial Performance Indicator of Concern that requires a response.  Please provide source document and page number in cell E17.",""))</f>
        <v>This question must be answered before uploading. The report will not be processed if left blank.</v>
      </c>
      <c r="E17" s="885"/>
      <c r="I17" s="641"/>
      <c r="J17" s="641"/>
      <c r="K17" s="641"/>
      <c r="L17" s="641"/>
    </row>
    <row r="18" spans="1:13" s="173" customFormat="1" ht="69.599999999999994" customHeight="1" x14ac:dyDescent="0.3">
      <c r="A18" s="633">
        <v>1078</v>
      </c>
      <c r="B18" s="634" t="s">
        <v>1647</v>
      </c>
      <c r="C18" s="688"/>
      <c r="D18" s="661" t="str">
        <f>IF(C18="","This question must be answered before uploading. The report will not be processed if left blank.",IF(C18="Yes","Please provide source document and page number in cell E18.",""))</f>
        <v>This question must be answered before uploading. The report will not be processed if left blank.</v>
      </c>
      <c r="E18" s="885"/>
      <c r="I18" s="641"/>
      <c r="J18" s="641"/>
      <c r="K18" s="641"/>
      <c r="L18" s="641"/>
      <c r="M18" s="640"/>
    </row>
    <row r="19" spans="1:13" s="173" customFormat="1" ht="58.2" customHeight="1" x14ac:dyDescent="0.3">
      <c r="A19" s="633">
        <v>1067</v>
      </c>
      <c r="B19" s="635" t="s">
        <v>1411</v>
      </c>
      <c r="C19" s="688"/>
      <c r="D19" s="661" t="str">
        <f>IF(C19="","This question must be answered before uploading. The report will not be processed if left blank.",IF(C19="No","Financial Performance Indicator of Concern that requires a response.  Please provide source document and page number in cell E19.",""))</f>
        <v>This question must be answered before uploading. The report will not be processed if left blank.</v>
      </c>
      <c r="E19" s="885"/>
      <c r="I19" s="641"/>
      <c r="J19" s="641"/>
      <c r="K19" s="641"/>
      <c r="L19" s="641"/>
      <c r="M19" s="640"/>
    </row>
    <row r="20" spans="1:13" ht="40.200000000000003" customHeight="1" x14ac:dyDescent="0.3">
      <c r="A20" s="657">
        <v>951</v>
      </c>
      <c r="B20" s="658" t="s">
        <v>1039</v>
      </c>
      <c r="C20" s="688"/>
      <c r="D20" s="661" t="str">
        <f t="shared" si="0"/>
        <v>This Question must be answered before uploading, the report will not be processed if left blank</v>
      </c>
      <c r="E20" s="885"/>
      <c r="I20" s="641"/>
      <c r="J20" s="641"/>
      <c r="K20" s="641"/>
      <c r="L20" s="641"/>
    </row>
    <row r="21" spans="1:13" ht="40.200000000000003" customHeight="1" x14ac:dyDescent="0.3">
      <c r="A21" s="657">
        <v>953</v>
      </c>
      <c r="B21" s="658" t="s">
        <v>1654</v>
      </c>
      <c r="C21" s="688"/>
      <c r="D21" s="661" t="str">
        <f t="shared" si="0"/>
        <v>This Question must be answered before uploading, the report will not be processed if left blank</v>
      </c>
      <c r="E21" s="885"/>
      <c r="I21" s="641"/>
      <c r="J21" s="641"/>
      <c r="K21" s="641"/>
      <c r="L21" s="641"/>
    </row>
    <row r="22" spans="1:13" ht="49.2" customHeight="1" x14ac:dyDescent="0.3">
      <c r="A22" s="847">
        <v>955</v>
      </c>
      <c r="B22" s="658" t="s">
        <v>1408</v>
      </c>
      <c r="C22" s="688"/>
      <c r="D22" s="661" t="str">
        <f>IF(C22="","This question must be answered before uploading. The report will not be processed if left blank.",IF(C22&gt;0,"Financial Performance Indicator of Concern that requires a response.  Please provide source document and page number in E22.",""))</f>
        <v>This question must be answered before uploading. The report will not be processed if left blank.</v>
      </c>
      <c r="E22" s="885"/>
      <c r="I22" s="641"/>
      <c r="J22" s="641"/>
      <c r="K22" s="641"/>
      <c r="L22" s="641"/>
    </row>
    <row r="23" spans="1:13" ht="40.200000000000003" customHeight="1" x14ac:dyDescent="0.3">
      <c r="A23" s="847">
        <v>957</v>
      </c>
      <c r="B23" s="658" t="s">
        <v>1409</v>
      </c>
      <c r="C23" s="688"/>
      <c r="D23" s="661" t="str">
        <f>IF(C23="","This question must be answered before uploading. The report will not be processed if left blank.",IF(C23&gt;0,"Financial Performance Indicator of Concern that requires a response.",""))</f>
        <v>This question must be answered before uploading. The report will not be processed if left blank.</v>
      </c>
      <c r="E23" s="885"/>
      <c r="I23" s="641"/>
      <c r="J23" s="641"/>
      <c r="K23" s="641"/>
      <c r="L23" s="641"/>
    </row>
    <row r="24" spans="1:13" s="173" customFormat="1" ht="135.6" customHeight="1" x14ac:dyDescent="0.3">
      <c r="A24" s="657">
        <v>973</v>
      </c>
      <c r="B24" s="658" t="s">
        <v>1664</v>
      </c>
      <c r="C24" s="688"/>
      <c r="D24" s="661" t="str">
        <f>IF(C24="","This question must be answered before uploading. The report will not be processed if left blank.",IF(C24&gt;0,"Financial Performance Indicator of Concern that requires a response.",""))</f>
        <v>This question must be answered before uploading. The report will not be processed if left blank.</v>
      </c>
      <c r="E24" s="885"/>
      <c r="F24"/>
      <c r="G24"/>
      <c r="H24"/>
      <c r="I24" s="641"/>
      <c r="J24" s="641"/>
      <c r="K24" s="641"/>
      <c r="L24" s="641"/>
      <c r="M24" s="640"/>
    </row>
    <row r="25" spans="1:13" s="173" customFormat="1" ht="46.2" customHeight="1" x14ac:dyDescent="0.3">
      <c r="A25" s="657">
        <v>959</v>
      </c>
      <c r="B25" s="658" t="s">
        <v>589</v>
      </c>
      <c r="C25" s="688"/>
      <c r="D25" s="661" t="str">
        <f t="shared" si="0"/>
        <v>This Question must be answered before uploading, the report will not be processed if left blank</v>
      </c>
      <c r="E25" s="885"/>
      <c r="F25"/>
      <c r="G25"/>
      <c r="H25"/>
      <c r="I25" s="641"/>
      <c r="J25" s="641"/>
      <c r="K25" s="641"/>
      <c r="L25" s="641"/>
      <c r="M25" s="640"/>
    </row>
    <row r="26" spans="1:13" ht="67.2" customHeight="1" x14ac:dyDescent="0.3">
      <c r="A26" s="657">
        <v>974</v>
      </c>
      <c r="B26" s="658" t="s">
        <v>592</v>
      </c>
      <c r="C26" s="688"/>
      <c r="D26" s="661" t="str">
        <f>IF(C26="","This question must be answered before uploading. The report will not be processed if left blank.",IF(C26="Yes","Financial Performance Indicator of Concern that requires a response.  Please provide source document and page number in cell E26.",""))</f>
        <v>This question must be answered before uploading. The report will not be processed if left blank.</v>
      </c>
      <c r="E26" s="885"/>
      <c r="I26" s="641"/>
      <c r="J26" s="641"/>
      <c r="K26" s="641"/>
      <c r="L26" s="641"/>
    </row>
    <row r="27" spans="1:13" ht="40.200000000000003" customHeight="1" x14ac:dyDescent="0.3">
      <c r="A27" s="657" t="s">
        <v>554</v>
      </c>
      <c r="B27" s="658" t="s">
        <v>434</v>
      </c>
      <c r="C27" s="688"/>
      <c r="D27" s="661" t="str">
        <f>IF(C27="","This Question must be answered before uploading, the report will not be processed if left blank",IF(C27="Yes","Please submit copy via LGC File Portal.",""))</f>
        <v>This Question must be answered before uploading, the report will not be processed if left blank</v>
      </c>
      <c r="E27" s="885"/>
      <c r="I27" s="641"/>
      <c r="J27" s="641"/>
      <c r="K27" s="641"/>
      <c r="L27" s="641"/>
    </row>
    <row r="28" spans="1:13" ht="40.200000000000003" customHeight="1" x14ac:dyDescent="0.3">
      <c r="A28" s="657" t="s">
        <v>555</v>
      </c>
      <c r="B28" s="658" t="s">
        <v>1679</v>
      </c>
      <c r="C28" s="688"/>
      <c r="D28" s="661" t="str">
        <f t="shared" ref="D28:D29" si="1">IF(C28="","This Question must be answered before uploading, the report will not be processed if left blank",IF(C28="Yes","Please submit copy via LGC File Portal.",""))</f>
        <v>This Question must be answered before uploading, the report will not be processed if left blank</v>
      </c>
      <c r="E28" s="885"/>
      <c r="I28" s="641"/>
      <c r="J28" s="641"/>
      <c r="K28" s="641"/>
      <c r="L28" s="641"/>
    </row>
    <row r="29" spans="1:13" ht="40.200000000000003" customHeight="1" x14ac:dyDescent="0.3">
      <c r="A29" s="657" t="s">
        <v>556</v>
      </c>
      <c r="B29" s="658" t="s">
        <v>1680</v>
      </c>
      <c r="C29" s="688"/>
      <c r="D29" s="661" t="str">
        <f t="shared" si="1"/>
        <v>This Question must be answered before uploading, the report will not be processed if left blank</v>
      </c>
      <c r="E29" s="885"/>
      <c r="I29" s="641"/>
      <c r="J29" s="641"/>
      <c r="K29" s="641"/>
      <c r="L29" s="641"/>
    </row>
    <row r="30" spans="1:13" s="173" customFormat="1" ht="40.200000000000003" customHeight="1" x14ac:dyDescent="0.3">
      <c r="A30" s="802" t="s">
        <v>1686</v>
      </c>
      <c r="B30" s="803" t="s">
        <v>1687</v>
      </c>
      <c r="C30" s="804">
        <v>45107</v>
      </c>
      <c r="D30" s="805" t="s">
        <v>1688</v>
      </c>
      <c r="E30" s="885"/>
      <c r="I30" s="641"/>
      <c r="J30" s="641"/>
      <c r="K30" s="641"/>
      <c r="L30" s="641"/>
      <c r="M30" s="640"/>
    </row>
    <row r="31" spans="1:13" ht="40.200000000000003" customHeight="1" x14ac:dyDescent="0.3">
      <c r="A31" s="633">
        <v>1079</v>
      </c>
      <c r="B31" s="634" t="s">
        <v>1712</v>
      </c>
      <c r="C31" s="804"/>
      <c r="D31" s="806" t="str">
        <f>IF(C31="","This question must be answered before uploading. The report will not be processed if left blank.",IF(C31&gt;'Performance  Indicators Print'!N20,"Financial Performance Indicator of Concern that requires a response.",""))</f>
        <v>This question must be answered before uploading. The report will not be processed if left blank.</v>
      </c>
      <c r="E31" s="885"/>
      <c r="I31" s="641"/>
      <c r="J31" s="641"/>
      <c r="K31" s="641"/>
      <c r="L31" s="641"/>
    </row>
    <row r="32" spans="1:13" ht="52.95" customHeight="1" x14ac:dyDescent="0.3">
      <c r="A32" s="657">
        <v>980</v>
      </c>
      <c r="B32" s="658" t="s">
        <v>1685</v>
      </c>
      <c r="C32" s="689"/>
      <c r="D32" s="661" t="str">
        <f t="shared" si="0"/>
        <v>This Question must be answered before uploading, the report will not be processed if left blank</v>
      </c>
      <c r="E32" s="885"/>
      <c r="I32"/>
      <c r="J32"/>
      <c r="K32"/>
      <c r="L32"/>
      <c r="M32"/>
    </row>
    <row r="33" spans="1:13" ht="40.200000000000003" customHeight="1" x14ac:dyDescent="0.3">
      <c r="A33" s="828">
        <v>975</v>
      </c>
      <c r="B33" s="899" t="s">
        <v>1665</v>
      </c>
      <c r="C33" s="829"/>
      <c r="D33" s="830" t="str">
        <f>IF(C33="","This question must be answered before uploading. The report will not be processed if left blank.",IF(C33="Yes","Financial Performance Indicator of Concern that requires a response.",""))</f>
        <v>This question must be answered before uploading. The report will not be processed if left blank.</v>
      </c>
      <c r="E33" s="885"/>
      <c r="I33" s="641"/>
      <c r="J33" s="641"/>
      <c r="K33" s="641"/>
      <c r="L33" s="641"/>
    </row>
    <row r="34" spans="1:13" s="173" customFormat="1" ht="30.6" customHeight="1" x14ac:dyDescent="0.3">
      <c r="A34" s="846" t="s">
        <v>1407</v>
      </c>
      <c r="B34" s="834"/>
      <c r="C34" s="835"/>
      <c r="D34" s="836"/>
      <c r="E34" s="886"/>
      <c r="I34" s="641"/>
      <c r="J34" s="641"/>
      <c r="K34" s="641"/>
      <c r="L34" s="641"/>
      <c r="M34" s="640"/>
    </row>
    <row r="35" spans="1:13" ht="35.4" customHeight="1" x14ac:dyDescent="0.3">
      <c r="A35" s="831">
        <v>1068</v>
      </c>
      <c r="B35" s="832" t="s">
        <v>1406</v>
      </c>
      <c r="C35" s="833"/>
      <c r="D35" s="900" t="str">
        <f>IF(C35="","This Question must be answered before uploading, the report will not be processed if left blank","")</f>
        <v>This Question must be answered before uploading, the report will not be processed if left blank</v>
      </c>
      <c r="E35" s="886"/>
    </row>
    <row r="36" spans="1:13" ht="34.799999999999997" customHeight="1" x14ac:dyDescent="0.3">
      <c r="A36" s="633">
        <v>1069</v>
      </c>
      <c r="B36" s="634" t="s">
        <v>1417</v>
      </c>
      <c r="C36" s="749"/>
      <c r="D36" s="661" t="str">
        <f t="shared" ref="D36:D38" si="2">IF(C36="","This Question must be answered before uploading, the report will not be processed if left blank","")</f>
        <v>This Question must be answered before uploading, the report will not be processed if left blank</v>
      </c>
      <c r="E36" s="886"/>
      <c r="I36"/>
      <c r="J36"/>
      <c r="K36"/>
      <c r="L36"/>
      <c r="M36"/>
    </row>
    <row r="37" spans="1:13" ht="34.200000000000003" customHeight="1" x14ac:dyDescent="0.3">
      <c r="A37" s="633">
        <v>1070</v>
      </c>
      <c r="B37" s="634" t="s">
        <v>1414</v>
      </c>
      <c r="C37" s="749"/>
      <c r="D37" s="661" t="str">
        <f t="shared" si="2"/>
        <v>This Question must be answered before uploading, the report will not be processed if left blank</v>
      </c>
      <c r="E37" s="886"/>
      <c r="I37"/>
      <c r="J37"/>
      <c r="K37"/>
      <c r="L37"/>
      <c r="M37"/>
    </row>
    <row r="38" spans="1:13" ht="35.4" customHeight="1" x14ac:dyDescent="0.3">
      <c r="A38" s="633">
        <v>1071</v>
      </c>
      <c r="B38" s="634" t="s">
        <v>1714</v>
      </c>
      <c r="C38" s="750"/>
      <c r="D38" s="661" t="str">
        <f t="shared" si="2"/>
        <v>This Question must be answered before uploading, the report will not be processed if left blank</v>
      </c>
      <c r="E38" s="886"/>
      <c r="I38"/>
      <c r="J38"/>
      <c r="K38"/>
      <c r="L38"/>
      <c r="M38"/>
    </row>
    <row r="39" spans="1:13" x14ac:dyDescent="0.3">
      <c r="A39"/>
      <c r="D39"/>
      <c r="E39" s="886"/>
      <c r="I39"/>
      <c r="J39"/>
      <c r="K39"/>
      <c r="L39"/>
      <c r="M39"/>
    </row>
    <row r="40" spans="1:13" s="173" customFormat="1" ht="40.200000000000003" customHeight="1" x14ac:dyDescent="0.3">
      <c r="A40" s="659" t="s">
        <v>557</v>
      </c>
      <c r="B40" s="663" t="str">
        <f>IF(D40="","This Question must be answered before uploading, the report will not be processed if left blank","")</f>
        <v>This Question must be answered before uploading, the report will not be processed if left blank</v>
      </c>
      <c r="C40" s="837" t="s">
        <v>435</v>
      </c>
      <c r="D40" s="901"/>
      <c r="E40" s="886"/>
      <c r="F40"/>
      <c r="G40"/>
      <c r="H40"/>
      <c r="I40" s="640"/>
      <c r="J40" s="640"/>
      <c r="K40" s="640"/>
      <c r="L40" s="640"/>
      <c r="M40" s="640"/>
    </row>
    <row r="41" spans="1:13" ht="14.4" customHeight="1" x14ac:dyDescent="0.3">
      <c r="A41" s="559"/>
      <c r="B41" s="628"/>
      <c r="C41" s="838"/>
      <c r="D41" s="658"/>
      <c r="E41" s="886"/>
    </row>
    <row r="42" spans="1:13" ht="40.200000000000003" customHeight="1" x14ac:dyDescent="0.3">
      <c r="A42" s="659" t="s">
        <v>558</v>
      </c>
      <c r="B42" s="663" t="str">
        <f>IF(D42="","This Question must be answered before uploading, the report will not be processed if left blank","")</f>
        <v>This Question must be answered before uploading, the report will not be processed if left blank</v>
      </c>
      <c r="C42" s="837" t="s">
        <v>436</v>
      </c>
      <c r="D42" s="901"/>
      <c r="E42" s="886"/>
    </row>
    <row r="43" spans="1:13" ht="14.4" customHeight="1" x14ac:dyDescent="0.3">
      <c r="A43" s="559"/>
      <c r="B43" s="628"/>
      <c r="C43" s="838"/>
      <c r="D43" s="658"/>
      <c r="E43" s="886"/>
    </row>
    <row r="44" spans="1:13" s="173" customFormat="1" ht="40.200000000000003" customHeight="1" x14ac:dyDescent="0.3">
      <c r="A44" s="659" t="s">
        <v>805</v>
      </c>
      <c r="B44" s="663" t="str">
        <f>IF(D44="","This Question must be answered before uploading, the report will not be processed if left blank","")</f>
        <v>This Question must be answered before uploading, the report will not be processed if left blank</v>
      </c>
      <c r="C44" s="837" t="s">
        <v>1040</v>
      </c>
      <c r="D44" s="667"/>
      <c r="E44" s="886"/>
      <c r="F44"/>
      <c r="G44"/>
      <c r="H44"/>
      <c r="I44" s="640"/>
      <c r="J44" s="640"/>
      <c r="K44" s="640"/>
      <c r="L44" s="640"/>
      <c r="M44" s="640"/>
    </row>
    <row r="49" spans="1:3" x14ac:dyDescent="0.3">
      <c r="A49" s="149">
        <f>SUM(A11:A48)</f>
        <v>23277</v>
      </c>
      <c r="B49" s="560" t="s">
        <v>437</v>
      </c>
      <c r="C49" s="662">
        <v>1.1000000000000001</v>
      </c>
    </row>
    <row r="50" spans="1:3" x14ac:dyDescent="0.3">
      <c r="B50" s="560" t="s">
        <v>438</v>
      </c>
      <c r="C50" s="744">
        <v>45212</v>
      </c>
    </row>
    <row r="51" spans="1:3" x14ac:dyDescent="0.3">
      <c r="B51" s="560"/>
      <c r="C51" s="628"/>
    </row>
    <row r="52" spans="1:3" x14ac:dyDescent="0.3">
      <c r="B52" s="560"/>
      <c r="C52" s="628"/>
    </row>
    <row r="53" spans="1:3" x14ac:dyDescent="0.3">
      <c r="B53" s="560"/>
      <c r="C53" s="560"/>
    </row>
  </sheetData>
  <sheetProtection algorithmName="SHA-512" hashValue="JbOZqQ4Y0LrEM0xLyWBjnMWhgzxoCs4qcO+UjpPbOIZN8RlOTK+r1EGaScCjfKhXiuc6zT9gms1LV6auWPzYmw==" saltValue="jUGUeJR4juy7f834l/q+Aw==" spinCount="100000" sheet="1" objects="1" scenarios="1"/>
  <mergeCells count="5">
    <mergeCell ref="A2:D2"/>
    <mergeCell ref="A4:D4"/>
    <mergeCell ref="A6:D6"/>
    <mergeCell ref="A8:D8"/>
    <mergeCell ref="E9:E10"/>
  </mergeCells>
  <conditionalFormatting sqref="D44">
    <cfRule type="expression" dxfId="69" priority="17">
      <formula>$T44</formula>
    </cfRule>
  </conditionalFormatting>
  <conditionalFormatting sqref="E13">
    <cfRule type="expression" dxfId="68" priority="16">
      <formula>C13="yes"</formula>
    </cfRule>
  </conditionalFormatting>
  <conditionalFormatting sqref="E14">
    <cfRule type="expression" dxfId="67" priority="15">
      <formula>C14="Yes"</formula>
    </cfRule>
  </conditionalFormatting>
  <conditionalFormatting sqref="E15">
    <cfRule type="expression" dxfId="66" priority="14">
      <formula>C15="Yes"</formula>
    </cfRule>
  </conditionalFormatting>
  <conditionalFormatting sqref="E16">
    <cfRule type="expression" dxfId="65" priority="13">
      <formula>C16="Yes"</formula>
    </cfRule>
  </conditionalFormatting>
  <conditionalFormatting sqref="E17:E18">
    <cfRule type="expression" dxfId="64" priority="12">
      <formula>C17="No"</formula>
    </cfRule>
  </conditionalFormatting>
  <conditionalFormatting sqref="E26">
    <cfRule type="expression" dxfId="63" priority="10">
      <formula>C26="Yes"</formula>
    </cfRule>
  </conditionalFormatting>
  <conditionalFormatting sqref="E27">
    <cfRule type="expression" dxfId="62" priority="9">
      <formula>C27="Yes"</formula>
    </cfRule>
  </conditionalFormatting>
  <conditionalFormatting sqref="E23">
    <cfRule type="expression" dxfId="61" priority="8">
      <formula>$C$23&gt;0</formula>
    </cfRule>
  </conditionalFormatting>
  <conditionalFormatting sqref="E24">
    <cfRule type="expression" dxfId="60" priority="7">
      <formula>$C$24&gt;0</formula>
    </cfRule>
  </conditionalFormatting>
  <conditionalFormatting sqref="E19">
    <cfRule type="expression" dxfId="59" priority="6">
      <formula>$C$19="No"</formula>
    </cfRule>
  </conditionalFormatting>
  <conditionalFormatting sqref="E18">
    <cfRule type="expression" dxfId="58" priority="5">
      <formula>$C$18="Yes"</formula>
    </cfRule>
  </conditionalFormatting>
  <conditionalFormatting sqref="E22">
    <cfRule type="expression" dxfId="57" priority="3">
      <formula>$C$22&gt;0</formula>
    </cfRule>
  </conditionalFormatting>
  <dataValidations count="11">
    <dataValidation type="list" allowBlank="1" showInputMessage="1" showErrorMessage="1" prompt="Please select Yes or No from the drop down list" sqref="C21 C37 C19 C33:C35 C15:C17 C27:C29" xr:uid="{42DC82DB-0AE6-4795-B8A2-67794DECDEAD}">
      <formula1>"Yes, No"</formula1>
    </dataValidation>
    <dataValidation type="whole" operator="greaterThan" allowBlank="1" showInputMessage="1" showErrorMessage="1" prompt="Please enter a whole number.  If there are no findings please enter 0" sqref="C22:C24" xr:uid="{22039F36-BF2D-4D90-ACF3-F17B7FAD9827}">
      <formula1>-1</formula1>
    </dataValidation>
    <dataValidation type="list" allowBlank="1" showInputMessage="1" showErrorMessage="1" prompt="Please select Yes, No or N/A from the drop down list" sqref="C25:C26 C36" xr:uid="{1338E819-A8A7-4AB4-965C-9AAE0E62C78A}">
      <formula1>"Yes, No, N/A"</formula1>
    </dataValidation>
    <dataValidation type="date" operator="greaterThan" showInputMessage="1" showErrorMessage="1" promptTitle="MM/DD/YYYY" prompt="This cannot be blank" sqref="C32" xr:uid="{F2F609DE-2DD8-4C56-AEA4-B39EA636E384}">
      <formula1>45107</formula1>
    </dataValidation>
    <dataValidation type="list" allowBlank="1" showInputMessage="1" showErrorMessage="1" prompt="Please select Yes or No from the drop down list" sqref="C32" xr:uid="{B4C96C02-4742-4E38-B12A-360ABBD230F0}">
      <formula1>"Yes,No"</formula1>
    </dataValidation>
    <dataValidation type="list" allowBlank="1" showInputMessage="1" showErrorMessage="1" sqref="C32" xr:uid="{C1CF9E65-608C-4B9B-B8C1-8E5A300F6B99}">
      <formula1>"Yes, No"</formula1>
    </dataValidation>
    <dataValidation type="list" allowBlank="1" showInputMessage="1" showErrorMessage="1" sqref="C32" xr:uid="{2F6B1B33-D794-41C2-9ACB-1601D80589F6}">
      <formula1>"Yes,No"</formula1>
    </dataValidation>
    <dataValidation type="date" operator="greaterThan" allowBlank="1" showInputMessage="1" showErrorMessage="1" sqref="D44" xr:uid="{C03418DF-3B42-4CD5-A316-291388505573}">
      <formula1>45107</formula1>
    </dataValidation>
    <dataValidation type="list" allowBlank="1" showInputMessage="1" showErrorMessage="1" prompt="Please select Yes or No from the drop down list." sqref="C11:C14 C20" xr:uid="{09FCC64E-5331-4E1E-8B61-60F4B5075DD5}">
      <formula1>"Yes, No"</formula1>
    </dataValidation>
    <dataValidation type="list" allowBlank="1" showInputMessage="1" showErrorMessage="1" prompt="Please select Yes. No or N/A from the dropdown list." sqref="C18" xr:uid="{DC11DF64-5D44-47BD-A937-950FE9284109}">
      <formula1>"Yes, No, N/A"</formula1>
    </dataValidation>
    <dataValidation type="custom" allowBlank="1" showInputMessage="1" showErrorMessage="1" error="Submit Date is equal or prior to the fiscal year-end date." sqref="C31" xr:uid="{E5F1E187-FAA4-46FA-AA62-EF081E0BC3C2}">
      <formula1>C30&lt;C31</formula1>
    </dataValidation>
  </dataValidations>
  <pageMargins left="0.7" right="0.7" top="0.75" bottom="0.75" header="0.3" footer="0.3"/>
  <pageSetup scale="4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31"/>
  <sheetViews>
    <sheetView showGridLines="0" zoomScale="80" zoomScaleNormal="80" workbookViewId="0">
      <selection activeCell="G30" sqref="G30"/>
    </sheetView>
  </sheetViews>
  <sheetFormatPr defaultColWidth="9.109375" defaultRowHeight="14.4" x14ac:dyDescent="0.3"/>
  <cols>
    <col min="1" max="1" width="6.33203125" style="494" customWidth="1"/>
    <col min="2" max="2" width="57.6640625" style="494" customWidth="1"/>
    <col min="3" max="4" width="14.33203125" style="494" customWidth="1"/>
    <col min="5" max="7" width="17.33203125" style="494" customWidth="1"/>
    <col min="8" max="8" width="72.44140625" style="494" customWidth="1"/>
    <col min="9" max="9" width="56.77734375" style="495" customWidth="1"/>
    <col min="10" max="10" width="46.109375" style="495" customWidth="1"/>
    <col min="11" max="11" width="9.109375" style="626" hidden="1" customWidth="1"/>
    <col min="12" max="12" width="26.33203125" style="605" hidden="1" customWidth="1"/>
    <col min="13" max="14" width="15.6640625" style="605" hidden="1" customWidth="1"/>
    <col min="15" max="15" width="56.33203125" style="605" hidden="1" customWidth="1"/>
    <col min="16" max="16" width="11.109375" style="606" customWidth="1"/>
    <col min="17" max="18" width="9.109375" style="607" customWidth="1"/>
    <col min="19" max="59" width="9.109375" style="607"/>
    <col min="60" max="16384" width="9.109375" style="494"/>
  </cols>
  <sheetData>
    <row r="1" spans="1:81" ht="40.5" customHeight="1" thickBot="1" x14ac:dyDescent="0.35">
      <c r="A1" s="573"/>
      <c r="B1" s="937" t="s">
        <v>1011</v>
      </c>
      <c r="C1" s="937"/>
      <c r="D1" s="937"/>
      <c r="E1" s="937"/>
      <c r="F1" s="937"/>
      <c r="G1" s="937"/>
      <c r="H1" s="938"/>
      <c r="I1" s="935"/>
      <c r="J1" s="936"/>
      <c r="K1" s="604"/>
    </row>
    <row r="2" spans="1:81" ht="72" customHeight="1" thickBot="1" x14ac:dyDescent="0.35">
      <c r="A2" s="574"/>
      <c r="B2" s="939" t="s">
        <v>1012</v>
      </c>
      <c r="C2" s="940"/>
      <c r="D2" s="940"/>
      <c r="E2" s="940"/>
      <c r="F2" s="940"/>
      <c r="G2" s="940"/>
      <c r="H2" s="941"/>
      <c r="I2" s="954" t="s">
        <v>1013</v>
      </c>
      <c r="J2" s="956" t="s">
        <v>1050</v>
      </c>
      <c r="K2" s="608"/>
    </row>
    <row r="3" spans="1:81" ht="75" customHeight="1" thickBot="1" x14ac:dyDescent="0.35">
      <c r="A3" s="575"/>
      <c r="B3" s="958" t="s">
        <v>1639</v>
      </c>
      <c r="C3" s="959"/>
      <c r="D3" s="959"/>
      <c r="E3" s="959"/>
      <c r="F3" s="959"/>
      <c r="G3" s="959"/>
      <c r="H3" s="960"/>
      <c r="I3" s="955"/>
      <c r="J3" s="957"/>
      <c r="K3" s="608"/>
    </row>
    <row r="4" spans="1:81" ht="21.75" customHeight="1" thickBot="1" x14ac:dyDescent="0.35">
      <c r="A4" s="576"/>
      <c r="B4" s="577" t="s">
        <v>553</v>
      </c>
      <c r="C4" s="942" t="str">
        <f>'Unit Data from Audit Worksheet'!D2</f>
        <v>Select Unit Name from Drop Down List</v>
      </c>
      <c r="D4" s="943"/>
      <c r="E4" s="944"/>
      <c r="F4" s="945" t="s">
        <v>1694</v>
      </c>
      <c r="G4" s="946"/>
      <c r="H4" s="949" t="s">
        <v>1048</v>
      </c>
      <c r="I4" s="955"/>
      <c r="J4" s="957"/>
      <c r="K4" s="609"/>
      <c r="L4" s="610"/>
    </row>
    <row r="5" spans="1:81" ht="21.6" thickBot="1" x14ac:dyDescent="0.35">
      <c r="A5" s="578"/>
      <c r="B5" s="579" t="s">
        <v>541</v>
      </c>
      <c r="C5" s="951" t="e">
        <f>'Unit Data from Audit Worksheet'!D3</f>
        <v>#N/A</v>
      </c>
      <c r="D5" s="952"/>
      <c r="E5" s="953"/>
      <c r="F5" s="947"/>
      <c r="G5" s="948"/>
      <c r="H5" s="950"/>
      <c r="I5" s="955"/>
      <c r="J5" s="957"/>
      <c r="K5" s="611"/>
      <c r="L5" s="605">
        <v>2021</v>
      </c>
      <c r="M5" s="610">
        <v>2022</v>
      </c>
      <c r="N5" s="605">
        <v>2023</v>
      </c>
    </row>
    <row r="6" spans="1:81" ht="37.200000000000003" customHeight="1" thickBot="1" x14ac:dyDescent="0.35">
      <c r="A6" s="583"/>
      <c r="B6" s="961" t="s">
        <v>1017</v>
      </c>
      <c r="C6" s="961"/>
      <c r="D6" s="961"/>
      <c r="E6" s="966"/>
      <c r="F6" s="496" t="s">
        <v>594</v>
      </c>
      <c r="G6" s="496" t="s">
        <v>796</v>
      </c>
      <c r="H6" s="584" t="s">
        <v>1018</v>
      </c>
      <c r="I6" s="512"/>
      <c r="J6" s="512"/>
      <c r="K6" s="611"/>
      <c r="L6" s="612" t="e">
        <f>HLOOKUP($C$5,'PY2 Data(H)'!$D$2:$CQ$307,285,FALSE)</f>
        <v>#N/A</v>
      </c>
      <c r="M6" s="612" t="e">
        <f>HLOOKUP($C$5,'PY1 Data(H)'!$D$2:$CS$374,227,FALSE)</f>
        <v>#N/A</v>
      </c>
      <c r="N6" s="613" t="e">
        <f>Import!L229</f>
        <v>#N/A</v>
      </c>
      <c r="O6" s="614"/>
      <c r="P6" s="615"/>
      <c r="Q6" s="616"/>
      <c r="R6" s="616"/>
      <c r="S6" s="616"/>
      <c r="T6" s="616"/>
      <c r="U6" s="616"/>
      <c r="V6" s="616"/>
      <c r="W6" s="616"/>
      <c r="X6" s="616"/>
      <c r="Y6" s="616"/>
      <c r="Z6" s="616"/>
      <c r="AA6" s="616"/>
      <c r="AB6" s="616"/>
      <c r="AC6" s="616"/>
      <c r="AD6" s="616"/>
      <c r="AE6" s="616"/>
      <c r="AF6" s="616"/>
      <c r="AG6" s="616"/>
      <c r="AH6" s="616"/>
      <c r="AI6" s="616"/>
      <c r="AJ6" s="616"/>
      <c r="AK6" s="616"/>
      <c r="AL6" s="616"/>
      <c r="AM6" s="616"/>
      <c r="AN6" s="616"/>
      <c r="AO6" s="616"/>
      <c r="AP6" s="616"/>
      <c r="AQ6" s="616"/>
      <c r="AR6" s="616"/>
      <c r="AS6" s="616"/>
      <c r="AT6" s="616"/>
      <c r="AU6" s="616"/>
      <c r="AV6" s="616"/>
      <c r="AW6" s="616"/>
      <c r="AX6" s="616"/>
      <c r="AY6" s="616"/>
      <c r="AZ6" s="616"/>
      <c r="BA6" s="616"/>
      <c r="BB6" s="616"/>
      <c r="BC6" s="616"/>
      <c r="BD6" s="616"/>
      <c r="BE6" s="616"/>
      <c r="BF6" s="616"/>
      <c r="BG6" s="616"/>
      <c r="BH6" s="501"/>
      <c r="BI6" s="501"/>
      <c r="BJ6" s="501"/>
      <c r="BK6" s="501"/>
      <c r="BL6" s="501"/>
      <c r="BM6" s="501"/>
      <c r="BN6" s="501"/>
      <c r="BO6" s="501"/>
      <c r="BP6" s="501"/>
      <c r="BQ6" s="501"/>
      <c r="BR6" s="501"/>
      <c r="BS6" s="501"/>
      <c r="BT6" s="501"/>
      <c r="BU6" s="501"/>
      <c r="BV6" s="501"/>
      <c r="BW6" s="501"/>
      <c r="BX6" s="501"/>
      <c r="BY6" s="501"/>
      <c r="BZ6" s="501"/>
    </row>
    <row r="7" spans="1:81" ht="202.5" customHeight="1" thickBot="1" x14ac:dyDescent="0.35">
      <c r="A7" s="580" t="s">
        <v>1014</v>
      </c>
      <c r="B7" s="585"/>
      <c r="C7" s="502"/>
      <c r="D7" s="502"/>
      <c r="E7" s="503"/>
      <c r="F7" s="581" t="s">
        <v>542</v>
      </c>
      <c r="G7" s="745" t="e">
        <f>N7</f>
        <v>#DIV/0!</v>
      </c>
      <c r="H7" s="582" t="s">
        <v>797</v>
      </c>
      <c r="I7" s="522" t="s">
        <v>543</v>
      </c>
      <c r="J7" s="851"/>
      <c r="K7" s="611"/>
      <c r="L7" s="612" t="e">
        <f>HLOOKUP($C$5,'PY2 Data(H)'!$D$2:$CQ$307,297,FALSE)</f>
        <v>#N/A</v>
      </c>
      <c r="M7" s="612" t="e">
        <f>HLOOKUP($C$5,'PY1 Data(H)'!$D$2:$CS$374,250,FALSE)</f>
        <v>#N/A</v>
      </c>
      <c r="N7" s="613" t="e">
        <f>(+Import!L75-Import!L76-Import!L73-Import!L74)/(Import!L79-Import!L80-Import!L81-Import!L82-Import!L$83-Import!L84-Import!L78)</f>
        <v>#DIV/0!</v>
      </c>
    </row>
    <row r="8" spans="1:81" ht="27.75" customHeight="1" thickBot="1" x14ac:dyDescent="0.35">
      <c r="A8" s="506"/>
      <c r="B8" s="586" t="s">
        <v>1019</v>
      </c>
      <c r="C8" s="504">
        <v>2021</v>
      </c>
      <c r="D8" s="504">
        <v>2022</v>
      </c>
      <c r="E8" s="504">
        <v>2023</v>
      </c>
      <c r="F8" s="496" t="s">
        <v>594</v>
      </c>
      <c r="G8" s="496" t="s">
        <v>796</v>
      </c>
      <c r="H8" s="499"/>
      <c r="I8" s="512"/>
      <c r="J8" s="854"/>
      <c r="K8" s="611"/>
      <c r="L8" s="613"/>
      <c r="M8" s="613"/>
      <c r="N8" s="613"/>
    </row>
    <row r="9" spans="1:81" ht="92.4" customHeight="1" thickBot="1" x14ac:dyDescent="0.35">
      <c r="A9" s="580" t="s">
        <v>1015</v>
      </c>
      <c r="B9" s="590" t="s">
        <v>1020</v>
      </c>
      <c r="C9" s="652" t="e">
        <f>IF(L6=0,"N/A",L9)</f>
        <v>#N/A</v>
      </c>
      <c r="D9" s="652" t="e">
        <f>IF(M6=0,"N/A",M9)</f>
        <v>#N/A</v>
      </c>
      <c r="E9" s="652" t="e">
        <f>IF(N6=0,"N/A",N9)</f>
        <v>#N/A</v>
      </c>
      <c r="F9" s="497" t="s">
        <v>798</v>
      </c>
      <c r="G9" s="587" t="e">
        <f>E9</f>
        <v>#N/A</v>
      </c>
      <c r="H9" s="582" t="s">
        <v>1399</v>
      </c>
      <c r="I9" s="522" t="s">
        <v>1400</v>
      </c>
      <c r="J9" s="849"/>
      <c r="K9" s="611"/>
      <c r="L9" s="617" t="e">
        <f>HLOOKUP($C$5,'PY2 Data(H)'!$D$2:$CQ$307,298,FALSE)</f>
        <v>#N/A</v>
      </c>
      <c r="M9" s="617" t="e">
        <f>HLOOKUP($C$5,'PY1 Data(H)'!$D$2:$CS$374,251,FALSE)</f>
        <v>#N/A</v>
      </c>
      <c r="N9" s="617">
        <f>+Import!L108-Import!L110+Import!L109-Import!L139-Import!L111</f>
        <v>0</v>
      </c>
    </row>
    <row r="10" spans="1:81" ht="114.6" customHeight="1" thickBot="1" x14ac:dyDescent="0.35">
      <c r="A10" s="580" t="s">
        <v>1016</v>
      </c>
      <c r="B10" s="599" t="s">
        <v>1021</v>
      </c>
      <c r="C10" s="588" t="e">
        <f>IF(L6=0,"N/A",L10)</f>
        <v>#N/A</v>
      </c>
      <c r="D10" s="588" t="e">
        <f>IF(M6=0,"N/A",M10)</f>
        <v>#N/A</v>
      </c>
      <c r="E10" s="588" t="e">
        <f>IF(N6=0,"N/A",N10)</f>
        <v>#N/A</v>
      </c>
      <c r="F10" s="497" t="s">
        <v>736</v>
      </c>
      <c r="G10" s="589" t="e">
        <f>E10</f>
        <v>#N/A</v>
      </c>
      <c r="H10" s="582" t="s">
        <v>1022</v>
      </c>
      <c r="I10" s="522" t="s">
        <v>1401</v>
      </c>
      <c r="J10" s="850"/>
      <c r="K10" s="611"/>
      <c r="L10" s="603" t="e">
        <f>HLOOKUP($C$5,'PY2 Data(H)'!$D$2:$CQ$307,299,FALSE)</f>
        <v>#N/A</v>
      </c>
      <c r="M10" s="603" t="e">
        <f>HLOOKUP($C$5,'PY1 Data(H)'!$D$2:$CS$374,252,FALSE)</f>
        <v>#N/A</v>
      </c>
      <c r="N10" s="618" t="e">
        <f>Import!L71/(Import!L110+Import!L113-Import!L109+Import!L139)</f>
        <v>#DIV/0!</v>
      </c>
      <c r="O10" s="619"/>
    </row>
    <row r="11" spans="1:81" ht="114.6" customHeight="1" thickBot="1" x14ac:dyDescent="0.35">
      <c r="A11" s="790">
        <v>4</v>
      </c>
      <c r="B11" s="789" t="s">
        <v>1662</v>
      </c>
      <c r="C11" s="798" t="e">
        <f>L11</f>
        <v>#N/A</v>
      </c>
      <c r="D11" s="798" t="e">
        <f>M11</f>
        <v>#N/A</v>
      </c>
      <c r="E11" s="797" t="e">
        <f>N11</f>
        <v>#DIV/0!</v>
      </c>
      <c r="F11" s="795" t="s">
        <v>1695</v>
      </c>
      <c r="G11" s="825" t="e">
        <f>E11</f>
        <v>#DIV/0!</v>
      </c>
      <c r="H11" s="796" t="s">
        <v>1663</v>
      </c>
      <c r="I11" s="794" t="s">
        <v>1659</v>
      </c>
      <c r="J11" s="850"/>
      <c r="K11" s="611"/>
      <c r="L11" s="793" t="e">
        <f>HLOOKUP($C$5,'PY2 Data(H)'!$D$2:$CQ$308,307,FALSE)</f>
        <v>#N/A</v>
      </c>
      <c r="M11" s="793" t="e">
        <f>HLOOKUP($C$5,'PY1 Data(H)'!$D$2:$CS$374,260,FALSE)</f>
        <v>#N/A</v>
      </c>
      <c r="N11" s="618" t="e">
        <f>1-((Import!L158+Import!L159+Import!L160+Import!L161)/(Import!L150+Import!L151+Import!L152+Import!L153))</f>
        <v>#DIV/0!</v>
      </c>
      <c r="O11" s="619"/>
    </row>
    <row r="12" spans="1:81" ht="51.75" customHeight="1" thickBot="1" x14ac:dyDescent="0.35">
      <c r="A12" s="583"/>
      <c r="B12" s="961" t="s">
        <v>799</v>
      </c>
      <c r="C12" s="961"/>
      <c r="D12" s="961"/>
      <c r="E12" s="961"/>
      <c r="F12" s="496" t="s">
        <v>594</v>
      </c>
      <c r="G12" s="496" t="s">
        <v>796</v>
      </c>
      <c r="H12" s="584" t="s">
        <v>1023</v>
      </c>
      <c r="I12" s="513"/>
      <c r="J12" s="854"/>
      <c r="K12" s="611"/>
      <c r="L12" s="612" t="e">
        <f>HLOOKUP($C$5,'PY2 Data(H)'!$D$2:$CQ$307,284,FALSE)</f>
        <v>#N/A</v>
      </c>
      <c r="M12" s="612" t="e">
        <f>HLOOKUP($C$5,'PY1 Data(H)'!$D$2:$CS$327,226,FALSE)</f>
        <v>#N/A</v>
      </c>
      <c r="N12" s="620" t="e">
        <f>Import!L228</f>
        <v>#N/A</v>
      </c>
    </row>
    <row r="13" spans="1:81" ht="202.5" customHeight="1" thickBot="1" x14ac:dyDescent="0.35">
      <c r="A13" s="580">
        <v>5</v>
      </c>
      <c r="B13" s="962"/>
      <c r="C13" s="962"/>
      <c r="D13" s="962"/>
      <c r="E13" s="963"/>
      <c r="F13" s="497" t="s">
        <v>542</v>
      </c>
      <c r="G13" s="746" t="e">
        <f>N13</f>
        <v>#DIV/0!</v>
      </c>
      <c r="H13" s="582" t="s">
        <v>800</v>
      </c>
      <c r="I13" s="522" t="s">
        <v>547</v>
      </c>
      <c r="J13" s="849"/>
      <c r="K13" s="611"/>
      <c r="L13" s="612" t="e">
        <f>HLOOKUP($C$5,'PY2 Data(H)'!$D$2:$CQ$307,301,FALSE)</f>
        <v>#N/A</v>
      </c>
      <c r="M13" s="612" t="e">
        <f>HLOOKUP($C$5,'PY1 Data(H)'!$D$2:$CS$374,254,FALSE)</f>
        <v>#N/A</v>
      </c>
      <c r="N13" s="613" t="e">
        <f>+(Import!L93-Import!L94-Import!L92-Import!L91)/(Import!L98-Import!L99-Import!L100-Import!L101-Import!L102-Import!L103-Import!L97)</f>
        <v>#DIV/0!</v>
      </c>
    </row>
    <row r="14" spans="1:81" ht="27.75" customHeight="1" thickBot="1" x14ac:dyDescent="0.35">
      <c r="A14" s="506"/>
      <c r="B14" s="592" t="s">
        <v>1019</v>
      </c>
      <c r="C14" s="504">
        <v>2021</v>
      </c>
      <c r="D14" s="504">
        <v>2022</v>
      </c>
      <c r="E14" s="504">
        <v>2023</v>
      </c>
      <c r="F14" s="496" t="s">
        <v>594</v>
      </c>
      <c r="G14" s="496" t="s">
        <v>796</v>
      </c>
      <c r="H14" s="498"/>
      <c r="I14" s="515"/>
      <c r="J14" s="852"/>
      <c r="K14" s="611"/>
      <c r="L14" s="621"/>
      <c r="M14" s="613"/>
      <c r="N14" s="613"/>
    </row>
    <row r="15" spans="1:81" ht="82.8" customHeight="1" thickBot="1" x14ac:dyDescent="0.35">
      <c r="A15" s="580">
        <v>6</v>
      </c>
      <c r="B15" s="590" t="s">
        <v>1020</v>
      </c>
      <c r="C15" s="653" t="e">
        <f>IF(L12=0,"N/A",L15)</f>
        <v>#N/A</v>
      </c>
      <c r="D15" s="653" t="e">
        <f>IF(M12=0,"N/A",M15)</f>
        <v>#N/A</v>
      </c>
      <c r="E15" s="653" t="e">
        <f>IF(N12=0,"N/A",N15)</f>
        <v>#N/A</v>
      </c>
      <c r="F15" s="497" t="s">
        <v>798</v>
      </c>
      <c r="G15" s="587" t="e">
        <f>E15</f>
        <v>#N/A</v>
      </c>
      <c r="H15" s="582" t="s">
        <v>1398</v>
      </c>
      <c r="I15" s="593" t="s">
        <v>1024</v>
      </c>
      <c r="J15" s="849"/>
      <c r="K15" s="611"/>
      <c r="L15" s="617" t="e">
        <f>HLOOKUP($C$5,'PY2 Data(H)'!$D$2:$CQ$307,302,FALSE)</f>
        <v>#N/A</v>
      </c>
      <c r="M15" s="617" t="e">
        <f>HLOOKUP($C$5,'PY1 Data(H)'!$D$2:$CS$374,255,FALSE)</f>
        <v>#N/A</v>
      </c>
      <c r="N15" s="622">
        <f>+Import!L124-Import!L127+Import!L126-Import!L142-Import!L128</f>
        <v>0</v>
      </c>
    </row>
    <row r="16" spans="1:81" s="173" customFormat="1" ht="116.4" customHeight="1" thickBot="1" x14ac:dyDescent="0.35">
      <c r="A16" s="580">
        <v>7</v>
      </c>
      <c r="B16" s="599" t="s">
        <v>1021</v>
      </c>
      <c r="C16" s="588" t="e">
        <f>IF(L12=0,"N/A",L16)</f>
        <v>#N/A</v>
      </c>
      <c r="D16" s="588" t="e">
        <f>IF(M12=0,"N/A",M16)</f>
        <v>#N/A</v>
      </c>
      <c r="E16" s="588" t="e">
        <f>IF(N12=0,"N/A",N16)</f>
        <v>#N/A</v>
      </c>
      <c r="F16" s="497" t="s">
        <v>736</v>
      </c>
      <c r="G16" s="589" t="e">
        <f>E16</f>
        <v>#N/A</v>
      </c>
      <c r="H16" s="582" t="s">
        <v>1022</v>
      </c>
      <c r="I16" s="593" t="s">
        <v>1402</v>
      </c>
      <c r="J16" s="850"/>
      <c r="K16" s="611"/>
      <c r="L16" s="603" t="e">
        <f>HLOOKUP($C$5,'PY2 Data(H)'!$D$2:$CQ$307,303,FALSE)</f>
        <v>#N/A</v>
      </c>
      <c r="M16" s="603" t="e">
        <f>HLOOKUP($C$5,'PY1 Data(H)'!$D$2:$CS$374,256,FALSE)</f>
        <v>#N/A</v>
      </c>
      <c r="N16" s="618" t="e">
        <f>+Import!L89/(Import!L130+Import!L127-Import!L126+Import!L142)</f>
        <v>#DIV/0!</v>
      </c>
      <c r="O16" s="605"/>
      <c r="P16" s="606"/>
      <c r="Q16" s="607"/>
      <c r="R16" s="607"/>
      <c r="S16" s="607"/>
      <c r="T16" s="607"/>
      <c r="U16" s="607"/>
      <c r="V16" s="607"/>
      <c r="W16" s="607"/>
      <c r="X16" s="607"/>
      <c r="Y16" s="607"/>
      <c r="Z16" s="607"/>
      <c r="AA16" s="607"/>
      <c r="AB16" s="607"/>
      <c r="AC16" s="607"/>
      <c r="AD16" s="607"/>
      <c r="AE16" s="607"/>
      <c r="AF16" s="607"/>
      <c r="AG16" s="607"/>
      <c r="AH16" s="607"/>
      <c r="AI16" s="607"/>
      <c r="AJ16" s="607"/>
      <c r="AK16" s="607"/>
      <c r="AL16" s="607"/>
      <c r="AM16" s="607"/>
      <c r="AN16" s="607"/>
      <c r="AO16" s="607"/>
      <c r="AP16" s="607"/>
      <c r="AQ16" s="607"/>
      <c r="AR16" s="607"/>
      <c r="AS16" s="607"/>
      <c r="AT16" s="607"/>
      <c r="AU16" s="607"/>
      <c r="AV16" s="607"/>
      <c r="AW16" s="607"/>
      <c r="AX16" s="607"/>
      <c r="AY16" s="607"/>
      <c r="AZ16" s="607"/>
      <c r="BA16" s="607"/>
      <c r="BB16" s="607"/>
      <c r="BC16" s="607"/>
      <c r="BD16" s="607"/>
      <c r="BE16" s="607"/>
      <c r="BF16" s="607"/>
      <c r="BG16" s="607"/>
      <c r="BH16" s="494"/>
      <c r="BI16" s="494"/>
      <c r="BJ16" s="494"/>
      <c r="BK16" s="494"/>
      <c r="BL16" s="494"/>
      <c r="BM16" s="494"/>
      <c r="BN16" s="494"/>
      <c r="BO16" s="494"/>
      <c r="BP16" s="494"/>
      <c r="BQ16" s="494"/>
      <c r="BR16" s="494"/>
      <c r="BS16" s="494"/>
      <c r="BT16" s="494"/>
      <c r="BU16" s="494"/>
      <c r="BV16" s="494"/>
      <c r="BW16" s="494"/>
      <c r="BX16" s="494"/>
      <c r="BY16" s="494"/>
      <c r="BZ16" s="494"/>
      <c r="CA16" s="494"/>
      <c r="CB16" s="494"/>
      <c r="CC16" s="494"/>
    </row>
    <row r="17" spans="1:81" s="173" customFormat="1" ht="25.5" hidden="1" customHeight="1" thickBot="1" x14ac:dyDescent="0.35">
      <c r="A17" s="526"/>
      <c r="B17" s="594" t="s">
        <v>595</v>
      </c>
      <c r="C17" s="516"/>
      <c r="D17" s="516"/>
      <c r="E17" s="516"/>
      <c r="F17" s="517"/>
      <c r="G17" s="518"/>
      <c r="H17" s="528"/>
      <c r="I17" s="527"/>
      <c r="J17" s="853"/>
      <c r="K17" s="611"/>
      <c r="L17" s="618"/>
      <c r="M17" s="618"/>
      <c r="N17" s="618"/>
      <c r="O17" s="605"/>
      <c r="P17" s="606"/>
      <c r="Q17" s="607"/>
      <c r="R17" s="607"/>
      <c r="S17" s="607"/>
      <c r="T17" s="607"/>
      <c r="U17" s="607"/>
      <c r="V17" s="607"/>
      <c r="W17" s="607"/>
      <c r="X17" s="607"/>
      <c r="Y17" s="607"/>
      <c r="Z17" s="607"/>
      <c r="AA17" s="607"/>
      <c r="AB17" s="607"/>
      <c r="AC17" s="607"/>
      <c r="AD17" s="607"/>
      <c r="AE17" s="607"/>
      <c r="AF17" s="607"/>
      <c r="AG17" s="607"/>
      <c r="AH17" s="607"/>
      <c r="AI17" s="607"/>
      <c r="AJ17" s="607"/>
      <c r="AK17" s="607"/>
      <c r="AL17" s="607"/>
      <c r="AM17" s="607"/>
      <c r="AN17" s="607"/>
      <c r="AO17" s="607"/>
      <c r="AP17" s="607"/>
      <c r="AQ17" s="607"/>
      <c r="AR17" s="607"/>
      <c r="AS17" s="607"/>
      <c r="AT17" s="607"/>
      <c r="AU17" s="607"/>
      <c r="AV17" s="607"/>
      <c r="AW17" s="607"/>
      <c r="AX17" s="607"/>
      <c r="AY17" s="607"/>
      <c r="AZ17" s="607"/>
      <c r="BA17" s="607"/>
      <c r="BB17" s="607"/>
      <c r="BC17" s="607"/>
      <c r="BD17" s="607"/>
      <c r="BE17" s="607"/>
      <c r="BF17" s="607"/>
      <c r="BG17" s="607"/>
      <c r="BH17" s="494"/>
      <c r="BI17" s="494"/>
      <c r="BJ17" s="494"/>
      <c r="BK17" s="494"/>
      <c r="BL17" s="494"/>
      <c r="BM17" s="494"/>
      <c r="BN17" s="494"/>
      <c r="BO17" s="494"/>
      <c r="BP17" s="494"/>
      <c r="BQ17" s="494"/>
      <c r="BR17" s="494"/>
      <c r="BS17" s="494"/>
      <c r="BT17" s="494"/>
      <c r="BU17" s="494"/>
      <c r="BV17" s="494"/>
      <c r="BW17" s="494"/>
      <c r="BX17" s="494"/>
      <c r="BY17" s="494"/>
      <c r="BZ17" s="494"/>
      <c r="CA17" s="494"/>
      <c r="CB17" s="494"/>
      <c r="CC17" s="494"/>
    </row>
    <row r="18" spans="1:81" s="173" customFormat="1" ht="2.4" hidden="1" customHeight="1" thickBot="1" x14ac:dyDescent="0.35">
      <c r="A18" s="526"/>
      <c r="B18" s="594" t="s">
        <v>340</v>
      </c>
      <c r="C18" s="516"/>
      <c r="D18" s="516"/>
      <c r="E18" s="529" t="str">
        <f>+N18</f>
        <v/>
      </c>
      <c r="F18" s="505" t="s">
        <v>542</v>
      </c>
      <c r="G18" s="530" t="str">
        <f>+N18</f>
        <v/>
      </c>
      <c r="H18" s="520" t="s">
        <v>800</v>
      </c>
      <c r="I18" s="515" t="s">
        <v>738</v>
      </c>
      <c r="J18" s="849"/>
      <c r="K18" s="611"/>
      <c r="L18" s="618"/>
      <c r="M18" s="618"/>
      <c r="N18" s="623" t="str">
        <f>IFERROR((Import!L95-Import!L94)/Import!L96,"")</f>
        <v/>
      </c>
      <c r="O18" s="605"/>
      <c r="P18" s="606"/>
      <c r="Q18" s="607"/>
      <c r="R18" s="607"/>
      <c r="S18" s="607"/>
      <c r="T18" s="607"/>
      <c r="U18" s="607"/>
      <c r="V18" s="607"/>
      <c r="W18" s="607"/>
      <c r="X18" s="607"/>
      <c r="Y18" s="607"/>
      <c r="Z18" s="607"/>
      <c r="AA18" s="607"/>
      <c r="AB18" s="607"/>
      <c r="AC18" s="607"/>
      <c r="AD18" s="607"/>
      <c r="AE18" s="607"/>
      <c r="AF18" s="607"/>
      <c r="AG18" s="607"/>
      <c r="AH18" s="607"/>
      <c r="AI18" s="607"/>
      <c r="AJ18" s="607"/>
      <c r="AK18" s="607"/>
      <c r="AL18" s="607"/>
      <c r="AM18" s="607"/>
      <c r="AN18" s="607"/>
      <c r="AO18" s="607"/>
      <c r="AP18" s="607"/>
      <c r="AQ18" s="607"/>
      <c r="AR18" s="607"/>
      <c r="AS18" s="607"/>
      <c r="AT18" s="607"/>
      <c r="AU18" s="607"/>
      <c r="AV18" s="607"/>
      <c r="AW18" s="607"/>
      <c r="AX18" s="607"/>
      <c r="AY18" s="607"/>
      <c r="AZ18" s="607"/>
      <c r="BA18" s="607"/>
      <c r="BB18" s="607"/>
      <c r="BC18" s="607"/>
      <c r="BD18" s="607"/>
      <c r="BE18" s="607"/>
      <c r="BF18" s="607"/>
      <c r="BG18" s="607"/>
      <c r="BH18" s="494"/>
      <c r="BI18" s="494"/>
      <c r="BJ18" s="494"/>
      <c r="BK18" s="494"/>
      <c r="BL18" s="494"/>
      <c r="BM18" s="494"/>
      <c r="BN18" s="494"/>
      <c r="BO18" s="494"/>
      <c r="BP18" s="494"/>
      <c r="BQ18" s="494"/>
      <c r="BR18" s="494"/>
      <c r="BS18" s="494"/>
      <c r="BT18" s="494"/>
      <c r="BU18" s="494"/>
      <c r="BV18" s="494"/>
      <c r="BW18" s="494"/>
      <c r="BX18" s="494"/>
      <c r="BY18" s="494"/>
      <c r="BZ18" s="494"/>
      <c r="CA18" s="494"/>
      <c r="CB18" s="494"/>
      <c r="CC18" s="494"/>
    </row>
    <row r="19" spans="1:81" s="173" customFormat="1" ht="33.6" customHeight="1" thickBot="1" x14ac:dyDescent="0.35">
      <c r="A19" s="526"/>
      <c r="B19" s="961" t="s">
        <v>801</v>
      </c>
      <c r="C19" s="961"/>
      <c r="D19" s="961"/>
      <c r="E19" s="504">
        <v>2023</v>
      </c>
      <c r="F19" s="595" t="s">
        <v>802</v>
      </c>
      <c r="G19" s="596"/>
      <c r="H19" s="507"/>
      <c r="I19" s="524"/>
      <c r="J19" s="887"/>
      <c r="K19" s="611"/>
      <c r="L19" s="605"/>
      <c r="M19" s="605"/>
      <c r="N19" s="605"/>
      <c r="O19" s="605"/>
      <c r="P19" s="606"/>
      <c r="Q19" s="607"/>
      <c r="R19" s="607"/>
      <c r="S19" s="607"/>
      <c r="T19" s="607"/>
      <c r="U19" s="607"/>
      <c r="V19" s="607"/>
      <c r="W19" s="607"/>
      <c r="X19" s="607"/>
      <c r="Y19" s="607"/>
      <c r="Z19" s="607"/>
      <c r="AA19" s="607"/>
      <c r="AB19" s="607"/>
      <c r="AC19" s="607"/>
      <c r="AD19" s="607"/>
      <c r="AE19" s="607"/>
      <c r="AF19" s="607"/>
      <c r="AG19" s="607"/>
      <c r="AH19" s="607"/>
      <c r="AI19" s="607"/>
      <c r="AJ19" s="607"/>
      <c r="AK19" s="607"/>
      <c r="AL19" s="607"/>
      <c r="AM19" s="607"/>
      <c r="AN19" s="607"/>
      <c r="AO19" s="607"/>
      <c r="AP19" s="607"/>
      <c r="AQ19" s="607"/>
      <c r="AR19" s="607"/>
      <c r="AS19" s="607"/>
      <c r="AT19" s="607"/>
      <c r="AU19" s="607"/>
      <c r="AV19" s="607"/>
      <c r="AW19" s="607"/>
      <c r="AX19" s="607"/>
      <c r="AY19" s="607"/>
      <c r="AZ19" s="607"/>
      <c r="BA19" s="607"/>
      <c r="BB19" s="607"/>
      <c r="BC19" s="607"/>
      <c r="BD19" s="607"/>
      <c r="BE19" s="607"/>
      <c r="BF19" s="607"/>
      <c r="BG19" s="607"/>
      <c r="BH19" s="494"/>
      <c r="BI19" s="494"/>
      <c r="BJ19" s="494"/>
      <c r="BK19" s="494"/>
      <c r="BL19" s="494"/>
      <c r="BM19" s="494"/>
      <c r="BN19" s="494"/>
      <c r="BO19" s="494"/>
      <c r="BP19" s="494"/>
      <c r="BQ19" s="494"/>
      <c r="BR19" s="494"/>
      <c r="BS19" s="494"/>
      <c r="BT19" s="494"/>
      <c r="BU19" s="494"/>
      <c r="BV19" s="494"/>
      <c r="BW19" s="494"/>
      <c r="BX19" s="494"/>
      <c r="BY19" s="494"/>
      <c r="BZ19" s="494"/>
      <c r="CA19" s="494"/>
      <c r="CB19" s="494"/>
      <c r="CC19" s="494"/>
    </row>
    <row r="20" spans="1:81" s="173" customFormat="1" ht="127.2" customHeight="1" thickBot="1" x14ac:dyDescent="0.35">
      <c r="A20" s="597" t="s">
        <v>1669</v>
      </c>
      <c r="B20" s="941" t="s">
        <v>1689</v>
      </c>
      <c r="C20" s="967"/>
      <c r="D20" s="967"/>
      <c r="E20" s="817">
        <f>Import!L248</f>
        <v>0</v>
      </c>
      <c r="F20" s="600"/>
      <c r="G20" s="817" t="str">
        <f>IF('TD Info Completed by Auditor'!C31&gt;N20,"Late","Response Not Required")</f>
        <v>Response Not Required</v>
      </c>
      <c r="H20" s="521" t="s">
        <v>803</v>
      </c>
      <c r="I20" s="799" t="s">
        <v>1666</v>
      </c>
      <c r="J20" s="849"/>
      <c r="K20" s="611"/>
      <c r="L20" s="807">
        <f>'TD Info Completed by Auditor'!C31</f>
        <v>0</v>
      </c>
      <c r="M20" s="808">
        <f>'TD Info Completed by Auditor'!C30</f>
        <v>45107</v>
      </c>
      <c r="N20" s="809">
        <f>IF(M20=DATEVALUE("6/30/2023"),N22,IF(M20=DATEVALUE("9/30/2023"),N23,IF(M20=DATEVALUE("12/31/2023"),N24,IF(M20=DATEVALUE("3/31/2024"),N25))))</f>
        <v>45291</v>
      </c>
      <c r="O20" s="605"/>
      <c r="P20" s="606"/>
      <c r="Q20" s="607"/>
      <c r="R20" s="607"/>
      <c r="S20" s="607"/>
      <c r="T20" s="607"/>
      <c r="U20" s="607"/>
      <c r="V20" s="607"/>
      <c r="W20" s="607"/>
      <c r="X20" s="607"/>
      <c r="Y20" s="607"/>
      <c r="Z20" s="607"/>
      <c r="AA20" s="607"/>
      <c r="AB20" s="607"/>
      <c r="AC20" s="607"/>
      <c r="AD20" s="607"/>
      <c r="AE20" s="607"/>
      <c r="AF20" s="607"/>
      <c r="AG20" s="607"/>
      <c r="AH20" s="607"/>
      <c r="AI20" s="607"/>
      <c r="AJ20" s="607"/>
      <c r="AK20" s="607"/>
      <c r="AL20" s="607"/>
      <c r="AM20" s="607"/>
      <c r="AN20" s="607"/>
      <c r="AO20" s="607"/>
      <c r="AP20" s="607"/>
      <c r="AQ20" s="607"/>
      <c r="AR20" s="607"/>
      <c r="AS20" s="607"/>
      <c r="AT20" s="607"/>
      <c r="AU20" s="607"/>
      <c r="AV20" s="607"/>
      <c r="AW20" s="607"/>
      <c r="AX20" s="607"/>
      <c r="AY20" s="607"/>
      <c r="AZ20" s="607"/>
      <c r="BA20" s="607"/>
      <c r="BB20" s="607"/>
      <c r="BC20" s="607"/>
      <c r="BD20" s="607"/>
      <c r="BE20" s="607"/>
      <c r="BF20" s="607"/>
      <c r="BG20" s="607"/>
      <c r="BH20" s="494"/>
      <c r="BI20" s="494"/>
      <c r="BJ20" s="494"/>
      <c r="BK20" s="494"/>
      <c r="BL20" s="494"/>
      <c r="BM20" s="494"/>
      <c r="BN20" s="494"/>
      <c r="BO20" s="494"/>
      <c r="BP20" s="494"/>
      <c r="BQ20" s="494"/>
      <c r="BR20" s="494"/>
      <c r="BS20" s="494"/>
      <c r="BT20" s="494"/>
      <c r="BU20" s="494"/>
      <c r="BV20" s="494"/>
      <c r="BW20" s="494"/>
      <c r="BX20" s="494"/>
      <c r="BY20" s="494"/>
      <c r="BZ20" s="494"/>
      <c r="CA20" s="494"/>
      <c r="CB20" s="494"/>
      <c r="CC20" s="494"/>
    </row>
    <row r="21" spans="1:81" s="173" customFormat="1" ht="18" customHeight="1" thickBot="1" x14ac:dyDescent="0.35">
      <c r="A21" s="598"/>
      <c r="B21" s="968"/>
      <c r="C21" s="968"/>
      <c r="D21" s="969"/>
      <c r="E21" s="504">
        <v>2023</v>
      </c>
      <c r="F21" s="180" t="s">
        <v>802</v>
      </c>
      <c r="G21" s="508"/>
      <c r="H21" s="519"/>
      <c r="I21" s="525"/>
      <c r="J21" s="888"/>
      <c r="K21" s="624"/>
      <c r="L21" s="810" t="s">
        <v>1691</v>
      </c>
      <c r="M21" s="605" t="s">
        <v>1692</v>
      </c>
      <c r="N21" s="811"/>
      <c r="O21" s="605"/>
      <c r="P21" s="606"/>
      <c r="Q21" s="607"/>
      <c r="R21" s="607"/>
      <c r="S21" s="607"/>
      <c r="T21" s="607"/>
      <c r="U21" s="607"/>
      <c r="V21" s="607"/>
      <c r="W21" s="607"/>
      <c r="X21" s="607"/>
      <c r="Y21" s="607"/>
      <c r="Z21" s="607"/>
      <c r="AA21" s="607"/>
      <c r="AB21" s="607"/>
      <c r="AC21" s="607"/>
      <c r="AD21" s="607"/>
      <c r="AE21" s="607"/>
      <c r="AF21" s="607"/>
      <c r="AG21" s="607"/>
      <c r="AH21" s="607"/>
      <c r="AI21" s="607"/>
      <c r="AJ21" s="607"/>
      <c r="AK21" s="607"/>
      <c r="AL21" s="607"/>
      <c r="AM21" s="607"/>
      <c r="AN21" s="607"/>
      <c r="AO21" s="607"/>
      <c r="AP21" s="607"/>
      <c r="AQ21" s="607"/>
      <c r="AR21" s="607"/>
      <c r="AS21" s="607"/>
      <c r="AT21" s="607"/>
      <c r="AU21" s="607"/>
      <c r="AV21" s="607"/>
      <c r="AW21" s="607"/>
      <c r="AX21" s="607"/>
      <c r="AY21" s="607"/>
      <c r="AZ21" s="607"/>
      <c r="BA21" s="607"/>
      <c r="BB21" s="607"/>
      <c r="BC21" s="607"/>
      <c r="BD21" s="607"/>
      <c r="BE21" s="607"/>
      <c r="BF21" s="607"/>
      <c r="BG21" s="607"/>
      <c r="BH21" s="494"/>
      <c r="BI21" s="494"/>
      <c r="BJ21" s="494"/>
      <c r="BK21" s="494"/>
      <c r="BL21" s="494"/>
      <c r="BM21" s="494"/>
      <c r="BN21" s="494"/>
      <c r="BO21" s="494"/>
      <c r="BP21" s="494"/>
      <c r="BQ21" s="494"/>
      <c r="BR21" s="494"/>
      <c r="BS21" s="494"/>
      <c r="BT21" s="494"/>
      <c r="BU21" s="494"/>
      <c r="BV21" s="494"/>
      <c r="BW21" s="494"/>
      <c r="BX21" s="494"/>
      <c r="BY21" s="494"/>
      <c r="BZ21" s="494"/>
      <c r="CA21" s="494"/>
      <c r="CB21" s="494"/>
      <c r="CC21" s="494"/>
    </row>
    <row r="22" spans="1:81" s="173" customFormat="1" ht="78.75" customHeight="1" thickBot="1" x14ac:dyDescent="0.35">
      <c r="A22" s="580">
        <v>9</v>
      </c>
      <c r="B22" s="970" t="s">
        <v>1667</v>
      </c>
      <c r="C22" s="971"/>
      <c r="D22" s="972"/>
      <c r="E22" s="497" t="str">
        <f>IF(Import!L205=1,"Yes",IF(Import!L205=2,"No",IF(Import!L205=0,"This question must be answered.  See cell C13 on TD")))</f>
        <v>This question must be answered.  See cell C13 on TD</v>
      </c>
      <c r="F22" s="497" t="s">
        <v>546</v>
      </c>
      <c r="G22" s="497" t="str">
        <f>+E22</f>
        <v>This question must be answered.  See cell C13 on TD</v>
      </c>
      <c r="H22" s="514" t="s">
        <v>1026</v>
      </c>
      <c r="I22" s="593" t="s">
        <v>1042</v>
      </c>
      <c r="J22" s="849"/>
      <c r="K22" s="611"/>
      <c r="L22" s="810"/>
      <c r="M22" s="812">
        <v>45107</v>
      </c>
      <c r="N22" s="813">
        <v>45291</v>
      </c>
      <c r="O22" s="605"/>
      <c r="P22" s="606"/>
      <c r="Q22" s="607"/>
      <c r="R22" s="607"/>
      <c r="S22" s="607"/>
      <c r="T22" s="607"/>
      <c r="U22" s="607"/>
      <c r="V22" s="607"/>
      <c r="W22" s="607"/>
      <c r="X22" s="607"/>
      <c r="Y22" s="607"/>
      <c r="Z22" s="607"/>
      <c r="AA22" s="607"/>
      <c r="AB22" s="607"/>
      <c r="AC22" s="607"/>
      <c r="AD22" s="607"/>
      <c r="AE22" s="607"/>
      <c r="AF22" s="607"/>
      <c r="AG22" s="607"/>
      <c r="AH22" s="607"/>
      <c r="AI22" s="607"/>
      <c r="AJ22" s="607"/>
      <c r="AK22" s="607"/>
      <c r="AL22" s="607"/>
      <c r="AM22" s="607"/>
      <c r="AN22" s="607"/>
      <c r="AO22" s="607"/>
      <c r="AP22" s="607"/>
      <c r="AQ22" s="607"/>
      <c r="AR22" s="607"/>
      <c r="AS22" s="607"/>
      <c r="AT22" s="607"/>
      <c r="AU22" s="607"/>
      <c r="AV22" s="607"/>
      <c r="AW22" s="607"/>
      <c r="AX22" s="607"/>
      <c r="AY22" s="607"/>
      <c r="AZ22" s="607"/>
      <c r="BA22" s="607"/>
      <c r="BB22" s="607"/>
      <c r="BC22" s="607"/>
      <c r="BD22" s="607"/>
      <c r="BE22" s="607"/>
      <c r="BF22" s="607"/>
      <c r="BG22" s="607"/>
      <c r="BH22" s="494"/>
      <c r="BI22" s="494"/>
      <c r="BJ22" s="494"/>
      <c r="BK22" s="494"/>
      <c r="BL22" s="494"/>
      <c r="BM22" s="494"/>
      <c r="BN22" s="494"/>
      <c r="BO22" s="494"/>
      <c r="BP22" s="494"/>
      <c r="BQ22" s="494"/>
      <c r="BR22" s="494"/>
      <c r="BS22" s="494"/>
      <c r="BT22" s="494"/>
      <c r="BU22" s="494"/>
      <c r="BV22" s="494"/>
      <c r="BW22" s="494"/>
      <c r="BX22" s="494"/>
      <c r="BY22" s="494"/>
      <c r="BZ22" s="494"/>
      <c r="CA22" s="494"/>
      <c r="CB22" s="494"/>
      <c r="CC22" s="494"/>
    </row>
    <row r="23" spans="1:81" s="173" customFormat="1" ht="18" customHeight="1" thickBot="1" x14ac:dyDescent="0.35">
      <c r="A23" s="598"/>
      <c r="B23" s="968"/>
      <c r="C23" s="968"/>
      <c r="D23" s="969"/>
      <c r="E23" s="504">
        <v>2023</v>
      </c>
      <c r="F23" s="180" t="s">
        <v>802</v>
      </c>
      <c r="G23" s="508"/>
      <c r="H23" s="519"/>
      <c r="I23" s="525"/>
      <c r="J23" s="888"/>
      <c r="K23" s="611"/>
      <c r="L23" s="810"/>
      <c r="M23" s="812">
        <v>45199</v>
      </c>
      <c r="N23" s="813">
        <v>45382</v>
      </c>
      <c r="O23" s="605"/>
      <c r="P23" s="606"/>
      <c r="Q23" s="607"/>
      <c r="R23" s="607"/>
      <c r="S23" s="607"/>
      <c r="T23" s="607"/>
      <c r="U23" s="607"/>
      <c r="V23" s="607"/>
      <c r="W23" s="607"/>
      <c r="X23" s="607"/>
      <c r="Y23" s="607"/>
      <c r="Z23" s="607"/>
      <c r="AA23" s="607"/>
      <c r="AB23" s="607"/>
      <c r="AC23" s="607"/>
      <c r="AD23" s="607"/>
      <c r="AE23" s="607"/>
      <c r="AF23" s="607"/>
      <c r="AG23" s="607"/>
      <c r="AH23" s="607"/>
      <c r="AI23" s="607"/>
      <c r="AJ23" s="607"/>
      <c r="AK23" s="607"/>
      <c r="AL23" s="607"/>
      <c r="AM23" s="607"/>
      <c r="AN23" s="607"/>
      <c r="AO23" s="607"/>
      <c r="AP23" s="607"/>
      <c r="AQ23" s="607"/>
      <c r="AR23" s="607"/>
      <c r="AS23" s="607"/>
      <c r="AT23" s="607"/>
      <c r="AU23" s="607"/>
      <c r="AV23" s="607"/>
      <c r="AW23" s="607"/>
      <c r="AX23" s="607"/>
      <c r="AY23" s="607"/>
      <c r="AZ23" s="607"/>
      <c r="BA23" s="607"/>
      <c r="BB23" s="607"/>
      <c r="BC23" s="607"/>
      <c r="BD23" s="607"/>
      <c r="BE23" s="607"/>
      <c r="BF23" s="607"/>
      <c r="BG23" s="607"/>
      <c r="BH23" s="494"/>
      <c r="BI23" s="494"/>
      <c r="BJ23" s="494"/>
      <c r="BK23" s="494"/>
      <c r="BL23" s="494"/>
      <c r="BM23" s="494"/>
      <c r="BN23" s="494"/>
      <c r="BO23" s="494"/>
      <c r="BP23" s="494"/>
      <c r="BQ23" s="494"/>
      <c r="BR23" s="494"/>
      <c r="BS23" s="494"/>
      <c r="BT23" s="494"/>
      <c r="BU23" s="494"/>
      <c r="BV23" s="494"/>
      <c r="BW23" s="494"/>
      <c r="BX23" s="494"/>
      <c r="BY23" s="494"/>
      <c r="BZ23" s="494"/>
      <c r="CA23" s="494"/>
      <c r="CB23" s="494"/>
      <c r="CC23" s="494"/>
    </row>
    <row r="24" spans="1:81" s="173" customFormat="1" ht="79.2" customHeight="1" thickBot="1" x14ac:dyDescent="0.35">
      <c r="A24" s="580">
        <v>10</v>
      </c>
      <c r="B24" s="964" t="s">
        <v>1668</v>
      </c>
      <c r="C24" s="964"/>
      <c r="D24" s="965"/>
      <c r="E24" s="591" t="str">
        <f>IF(AND(Import!L203=2,Import!L204=2,Import!L206=2,AND(Import!L212&lt;=0,Import!L213&lt;=0)),"No","Yes")</f>
        <v>Yes</v>
      </c>
      <c r="F24" s="600"/>
      <c r="G24" s="591" t="str">
        <f>E24</f>
        <v>Yes</v>
      </c>
      <c r="H24" s="845" t="s">
        <v>1668</v>
      </c>
      <c r="I24" s="522" t="s">
        <v>1049</v>
      </c>
      <c r="J24" s="849"/>
      <c r="K24" s="611"/>
      <c r="L24" s="810"/>
      <c r="M24" s="812">
        <v>45291</v>
      </c>
      <c r="N24" s="813">
        <v>45473</v>
      </c>
      <c r="O24" s="605"/>
      <c r="P24" s="606"/>
      <c r="Q24" s="607"/>
      <c r="R24" s="607"/>
      <c r="S24" s="607"/>
      <c r="T24" s="607"/>
      <c r="U24" s="607"/>
      <c r="V24" s="607"/>
      <c r="W24" s="607"/>
      <c r="X24" s="607"/>
      <c r="Y24" s="607"/>
      <c r="Z24" s="607"/>
      <c r="AA24" s="607"/>
      <c r="AB24" s="607"/>
      <c r="AC24" s="607"/>
      <c r="AD24" s="607"/>
      <c r="AE24" s="607"/>
      <c r="AF24" s="607"/>
      <c r="AG24" s="607"/>
      <c r="AH24" s="607"/>
      <c r="AI24" s="607"/>
      <c r="AJ24" s="607"/>
      <c r="AK24" s="607"/>
      <c r="AL24" s="607"/>
      <c r="AM24" s="607"/>
      <c r="AN24" s="607"/>
      <c r="AO24" s="607"/>
      <c r="AP24" s="607"/>
      <c r="AQ24" s="607"/>
      <c r="AR24" s="607"/>
      <c r="AS24" s="607"/>
      <c r="AT24" s="607"/>
      <c r="AU24" s="607"/>
      <c r="AV24" s="607"/>
      <c r="AW24" s="607"/>
      <c r="AX24" s="607"/>
      <c r="AY24" s="607"/>
      <c r="AZ24" s="607"/>
      <c r="BA24" s="607"/>
      <c r="BB24" s="607"/>
      <c r="BC24" s="607"/>
      <c r="BD24" s="607"/>
      <c r="BE24" s="607"/>
      <c r="BF24" s="607"/>
      <c r="BG24" s="607"/>
      <c r="BH24" s="494"/>
      <c r="BI24" s="494"/>
      <c r="BJ24" s="494"/>
      <c r="BK24" s="494"/>
      <c r="BL24" s="494"/>
      <c r="BM24" s="494"/>
      <c r="BN24" s="494"/>
      <c r="BO24" s="494"/>
      <c r="BP24" s="494"/>
      <c r="BQ24" s="494"/>
      <c r="BR24" s="494"/>
      <c r="BS24" s="494"/>
      <c r="BT24" s="494"/>
      <c r="BU24" s="494"/>
      <c r="BV24" s="494"/>
      <c r="BW24" s="494"/>
      <c r="BX24" s="494"/>
      <c r="BY24" s="494"/>
      <c r="BZ24" s="494"/>
      <c r="CA24" s="494"/>
      <c r="CB24" s="494"/>
      <c r="CC24" s="494"/>
    </row>
    <row r="25" spans="1:81" s="173" customFormat="1" ht="95.4" customHeight="1" thickBot="1" x14ac:dyDescent="0.35">
      <c r="A25" s="790">
        <v>11</v>
      </c>
      <c r="B25" s="979" t="s">
        <v>1670</v>
      </c>
      <c r="C25" s="980"/>
      <c r="D25" s="981"/>
      <c r="E25" s="591" t="str">
        <f>IF(Import!L207=1,"Yes",IF(Import!L207=2,"No",IF(Import!L207=0,"This question must be answered.  See cell C17 on TD")))</f>
        <v>This question must be answered.  See cell C17 on TD</v>
      </c>
      <c r="F25" s="600"/>
      <c r="G25" s="591" t="str">
        <f>E25</f>
        <v>This question must be answered.  See cell C17 on TD</v>
      </c>
      <c r="H25" s="514" t="s">
        <v>1047</v>
      </c>
      <c r="I25" s="522" t="s">
        <v>1046</v>
      </c>
      <c r="J25" s="889"/>
      <c r="K25" s="611"/>
      <c r="L25" s="814"/>
      <c r="M25" s="815">
        <v>45382</v>
      </c>
      <c r="N25" s="816">
        <v>45565</v>
      </c>
      <c r="O25" s="605"/>
      <c r="P25" s="606"/>
      <c r="Q25" s="607"/>
      <c r="R25" s="607"/>
      <c r="S25" s="607"/>
      <c r="T25" s="607"/>
      <c r="U25" s="607"/>
      <c r="V25" s="607"/>
      <c r="W25" s="607"/>
      <c r="X25" s="607"/>
      <c r="Y25" s="607"/>
      <c r="Z25" s="607"/>
      <c r="AA25" s="607"/>
      <c r="AB25" s="607"/>
      <c r="AC25" s="607"/>
      <c r="AD25" s="607"/>
      <c r="AE25" s="607"/>
      <c r="AF25" s="607"/>
      <c r="AG25" s="607"/>
      <c r="AH25" s="607"/>
      <c r="AI25" s="607"/>
      <c r="AJ25" s="607"/>
      <c r="AK25" s="607"/>
      <c r="AL25" s="607"/>
      <c r="AM25" s="607"/>
      <c r="AN25" s="607"/>
      <c r="AO25" s="607"/>
      <c r="AP25" s="607"/>
      <c r="AQ25" s="607"/>
      <c r="AR25" s="607"/>
      <c r="AS25" s="607"/>
      <c r="AT25" s="607"/>
      <c r="AU25" s="607"/>
      <c r="AV25" s="607"/>
      <c r="AW25" s="607"/>
      <c r="AX25" s="607"/>
      <c r="AY25" s="607"/>
      <c r="AZ25" s="607"/>
      <c r="BA25" s="607"/>
      <c r="BB25" s="607"/>
      <c r="BC25" s="607"/>
      <c r="BD25" s="607"/>
      <c r="BE25" s="607"/>
      <c r="BF25" s="607"/>
      <c r="BG25" s="607"/>
      <c r="BH25" s="494"/>
      <c r="BI25" s="494"/>
      <c r="BJ25" s="494"/>
      <c r="BK25" s="494"/>
      <c r="BL25" s="494"/>
      <c r="BM25" s="494"/>
      <c r="BN25" s="494"/>
      <c r="BO25" s="494"/>
      <c r="BP25" s="494"/>
      <c r="BQ25" s="494"/>
      <c r="BR25" s="494"/>
      <c r="BS25" s="494"/>
      <c r="BT25" s="494"/>
      <c r="BU25" s="494"/>
      <c r="BV25" s="494"/>
      <c r="BW25" s="494"/>
      <c r="BX25" s="494"/>
      <c r="BY25" s="494"/>
      <c r="BZ25" s="494"/>
      <c r="CA25" s="494"/>
      <c r="CB25" s="494"/>
      <c r="CC25" s="494"/>
    </row>
    <row r="26" spans="1:81" s="173" customFormat="1" ht="86.4" customHeight="1" thickBot="1" x14ac:dyDescent="0.35">
      <c r="A26" s="790">
        <v>12</v>
      </c>
      <c r="B26" s="979" t="s">
        <v>1671</v>
      </c>
      <c r="C26" s="980"/>
      <c r="D26" s="981"/>
      <c r="E26" s="591" t="str">
        <f>IF(Import!L209=1,"Yes",IF(Import!L209=2,"No",IF(Import!L209=0,"This question must be answered.  See cell C19 on TD")))</f>
        <v>This question must be answered.  See cell C19 on TD</v>
      </c>
      <c r="F26" s="600"/>
      <c r="G26" s="591" t="str">
        <f>E26</f>
        <v>This question must be answered.  See cell C19 on TD</v>
      </c>
      <c r="H26" s="514" t="s">
        <v>1672</v>
      </c>
      <c r="I26" s="593" t="s">
        <v>1673</v>
      </c>
      <c r="J26" s="889"/>
      <c r="K26" s="611"/>
      <c r="L26" s="605"/>
      <c r="M26" s="605"/>
      <c r="N26" s="605"/>
      <c r="O26" s="605"/>
      <c r="P26" s="606"/>
      <c r="Q26" s="607"/>
      <c r="R26" s="607"/>
      <c r="S26" s="607"/>
      <c r="T26" s="607"/>
      <c r="U26" s="607"/>
      <c r="V26" s="607"/>
      <c r="W26" s="607"/>
      <c r="X26" s="607"/>
      <c r="Y26" s="607"/>
      <c r="Z26" s="607"/>
      <c r="AA26" s="607"/>
      <c r="AB26" s="607"/>
      <c r="AC26" s="607"/>
      <c r="AD26" s="607"/>
      <c r="AE26" s="607"/>
      <c r="AF26" s="607"/>
      <c r="AG26" s="607"/>
      <c r="AH26" s="607"/>
      <c r="AI26" s="607"/>
      <c r="AJ26" s="607"/>
      <c r="AK26" s="607"/>
      <c r="AL26" s="607"/>
      <c r="AM26" s="607"/>
      <c r="AN26" s="607"/>
      <c r="AO26" s="607"/>
      <c r="AP26" s="607"/>
      <c r="AQ26" s="607"/>
      <c r="AR26" s="607"/>
      <c r="AS26" s="607"/>
      <c r="AT26" s="607"/>
      <c r="AU26" s="607"/>
      <c r="AV26" s="607"/>
      <c r="AW26" s="607"/>
      <c r="AX26" s="607"/>
      <c r="AY26" s="607"/>
      <c r="AZ26" s="607"/>
      <c r="BA26" s="607"/>
      <c r="BB26" s="607"/>
      <c r="BC26" s="607"/>
      <c r="BD26" s="607"/>
      <c r="BE26" s="607"/>
      <c r="BF26" s="607"/>
      <c r="BG26" s="607"/>
      <c r="BH26" s="494"/>
      <c r="BI26" s="494"/>
      <c r="BJ26" s="494"/>
      <c r="BK26" s="494"/>
      <c r="BL26" s="494"/>
      <c r="BM26" s="494"/>
      <c r="BN26" s="494"/>
      <c r="BO26" s="494"/>
      <c r="BP26" s="494"/>
      <c r="BQ26" s="494"/>
      <c r="BR26" s="494"/>
      <c r="BS26" s="494"/>
      <c r="BT26" s="494"/>
      <c r="BU26" s="494"/>
      <c r="BV26" s="494"/>
      <c r="BW26" s="494"/>
      <c r="BX26" s="494"/>
      <c r="BY26" s="494"/>
      <c r="BZ26" s="494"/>
      <c r="CA26" s="494"/>
      <c r="CB26" s="494"/>
      <c r="CC26" s="494"/>
    </row>
    <row r="27" spans="1:81" s="173" customFormat="1" ht="18" customHeight="1" thickBot="1" x14ac:dyDescent="0.35">
      <c r="A27" s="598"/>
      <c r="B27" s="961" t="s">
        <v>801</v>
      </c>
      <c r="C27" s="961"/>
      <c r="D27" s="973"/>
      <c r="E27" s="504">
        <v>2023</v>
      </c>
      <c r="F27" s="180" t="s">
        <v>802</v>
      </c>
      <c r="G27" s="509"/>
      <c r="H27" s="508"/>
      <c r="I27" s="523"/>
      <c r="J27" s="888"/>
      <c r="K27" s="611"/>
      <c r="L27" s="605"/>
      <c r="M27" s="605"/>
      <c r="N27" s="605"/>
      <c r="O27" s="605"/>
      <c r="P27" s="606"/>
      <c r="Q27" s="607"/>
      <c r="R27" s="607"/>
      <c r="S27" s="607"/>
      <c r="T27" s="607"/>
      <c r="U27" s="607"/>
      <c r="V27" s="607"/>
      <c r="W27" s="607"/>
      <c r="X27" s="607"/>
      <c r="Y27" s="607"/>
      <c r="Z27" s="607"/>
      <c r="AA27" s="607"/>
      <c r="AB27" s="607"/>
      <c r="AC27" s="607"/>
      <c r="AD27" s="607"/>
      <c r="AE27" s="607"/>
      <c r="AF27" s="607"/>
      <c r="AG27" s="607"/>
      <c r="AH27" s="607"/>
      <c r="AI27" s="607"/>
      <c r="AJ27" s="607"/>
      <c r="AK27" s="607"/>
      <c r="AL27" s="607"/>
      <c r="AM27" s="607"/>
      <c r="AN27" s="607"/>
      <c r="AO27" s="607"/>
      <c r="AP27" s="607"/>
      <c r="AQ27" s="607"/>
      <c r="AR27" s="607"/>
      <c r="AS27" s="607"/>
      <c r="AT27" s="607"/>
      <c r="AU27" s="607"/>
      <c r="AV27" s="607"/>
      <c r="AW27" s="607"/>
      <c r="AX27" s="607"/>
      <c r="AY27" s="607"/>
      <c r="AZ27" s="607"/>
      <c r="BA27" s="607"/>
      <c r="BB27" s="607"/>
      <c r="BC27" s="607"/>
      <c r="BD27" s="607"/>
      <c r="BE27" s="607"/>
      <c r="BF27" s="607"/>
      <c r="BG27" s="607"/>
      <c r="BH27" s="494"/>
      <c r="BI27" s="494"/>
      <c r="BJ27" s="494"/>
      <c r="BK27" s="494"/>
      <c r="BL27" s="494"/>
      <c r="BM27" s="494"/>
      <c r="BN27" s="494"/>
      <c r="BO27" s="494"/>
      <c r="BP27" s="494"/>
      <c r="BQ27" s="494"/>
      <c r="BR27" s="494"/>
      <c r="BS27" s="494"/>
      <c r="BT27" s="494"/>
      <c r="BU27" s="494"/>
      <c r="BV27" s="494"/>
      <c r="BW27" s="494"/>
      <c r="BX27" s="494"/>
      <c r="BY27" s="494"/>
      <c r="BZ27" s="494"/>
      <c r="CA27" s="494"/>
      <c r="CB27" s="494"/>
      <c r="CC27" s="494"/>
    </row>
    <row r="28" spans="1:81" s="173" customFormat="1" ht="84" customHeight="1" thickBot="1" x14ac:dyDescent="0.35">
      <c r="A28" s="580">
        <v>13</v>
      </c>
      <c r="B28" s="974" t="s">
        <v>1025</v>
      </c>
      <c r="C28" s="974"/>
      <c r="D28" s="975"/>
      <c r="E28" s="591" t="str">
        <f>IF(Import!L216=1,"Yes",IF(Import!L216=2,"No",IF(Import!L216=3,"N/A",IF(Import!L216=0,"This question must be answered.  See cell C22 on TD"))))</f>
        <v>This question must be answered.  See cell C22 on TD</v>
      </c>
      <c r="F28" s="600"/>
      <c r="G28" s="591" t="str">
        <f>E28</f>
        <v>This question must be answered.  See cell C22 on TD</v>
      </c>
      <c r="H28" s="514" t="s">
        <v>804</v>
      </c>
      <c r="I28" s="593" t="s">
        <v>593</v>
      </c>
      <c r="J28" s="849"/>
      <c r="K28" s="611"/>
      <c r="L28" s="605"/>
      <c r="M28" s="605"/>
      <c r="N28" s="605"/>
      <c r="O28" s="605"/>
      <c r="P28" s="606"/>
      <c r="Q28" s="607"/>
      <c r="R28" s="607"/>
      <c r="S28" s="607"/>
      <c r="T28" s="607"/>
      <c r="U28" s="607"/>
      <c r="V28" s="607"/>
      <c r="W28" s="607"/>
      <c r="X28" s="607"/>
      <c r="Y28" s="607"/>
      <c r="Z28" s="607"/>
      <c r="AA28" s="607"/>
      <c r="AB28" s="607"/>
      <c r="AC28" s="607"/>
      <c r="AD28" s="607"/>
      <c r="AE28" s="607"/>
      <c r="AF28" s="607"/>
      <c r="AG28" s="607"/>
      <c r="AH28" s="607"/>
      <c r="AI28" s="607"/>
      <c r="AJ28" s="607"/>
      <c r="AK28" s="607"/>
      <c r="AL28" s="607"/>
      <c r="AM28" s="607"/>
      <c r="AN28" s="607"/>
      <c r="AO28" s="607"/>
      <c r="AP28" s="607"/>
      <c r="AQ28" s="607"/>
      <c r="AR28" s="607"/>
      <c r="AS28" s="607"/>
      <c r="AT28" s="607"/>
      <c r="AU28" s="607"/>
      <c r="AV28" s="607"/>
      <c r="AW28" s="607"/>
      <c r="AX28" s="607"/>
      <c r="AY28" s="607"/>
      <c r="AZ28" s="607"/>
      <c r="BA28" s="607"/>
      <c r="BB28" s="607"/>
      <c r="BC28" s="607"/>
      <c r="BD28" s="607"/>
      <c r="BE28" s="607"/>
      <c r="BF28" s="607"/>
      <c r="BG28" s="607"/>
      <c r="BH28" s="494"/>
      <c r="BI28" s="494"/>
      <c r="BJ28" s="494"/>
      <c r="BK28" s="494"/>
      <c r="BL28" s="494"/>
      <c r="BM28" s="494"/>
      <c r="BN28" s="494"/>
      <c r="BO28" s="494"/>
      <c r="BP28" s="494"/>
      <c r="BQ28" s="494"/>
      <c r="BR28" s="494"/>
      <c r="BS28" s="494"/>
      <c r="BT28" s="494"/>
      <c r="BU28" s="494"/>
      <c r="BV28" s="494"/>
      <c r="BW28" s="494"/>
      <c r="BX28" s="494"/>
      <c r="BY28" s="494"/>
      <c r="BZ28" s="494"/>
      <c r="CA28" s="494"/>
      <c r="CB28" s="494"/>
      <c r="CC28" s="494"/>
    </row>
    <row r="29" spans="1:81" s="173" customFormat="1" ht="18" customHeight="1" thickBot="1" x14ac:dyDescent="0.35">
      <c r="A29" s="598"/>
      <c r="B29" s="977"/>
      <c r="C29" s="977"/>
      <c r="D29" s="978"/>
      <c r="E29" s="504">
        <v>2023</v>
      </c>
      <c r="F29" s="180" t="s">
        <v>802</v>
      </c>
      <c r="G29" s="509"/>
      <c r="H29" s="508"/>
      <c r="I29" s="525"/>
      <c r="J29" s="888"/>
      <c r="K29" s="611"/>
      <c r="L29" s="605"/>
      <c r="M29" s="605"/>
      <c r="N29" s="605"/>
      <c r="O29" s="605"/>
      <c r="P29" s="606"/>
      <c r="Q29" s="607"/>
      <c r="R29" s="607"/>
      <c r="S29" s="607"/>
      <c r="T29" s="607"/>
      <c r="U29" s="607"/>
      <c r="V29" s="607"/>
      <c r="W29" s="607"/>
      <c r="X29" s="607"/>
      <c r="Y29" s="607"/>
      <c r="Z29" s="607"/>
      <c r="AA29" s="607"/>
      <c r="AB29" s="607"/>
      <c r="AC29" s="607"/>
      <c r="AD29" s="607"/>
      <c r="AE29" s="607"/>
      <c r="AF29" s="607"/>
      <c r="AG29" s="607"/>
      <c r="AH29" s="607"/>
      <c r="AI29" s="607"/>
      <c r="AJ29" s="607"/>
      <c r="AK29" s="607"/>
      <c r="AL29" s="607"/>
      <c r="AM29" s="607"/>
      <c r="AN29" s="607"/>
      <c r="AO29" s="607"/>
      <c r="AP29" s="607"/>
      <c r="AQ29" s="607"/>
      <c r="AR29" s="607"/>
      <c r="AS29" s="607"/>
      <c r="AT29" s="607"/>
      <c r="AU29" s="607"/>
      <c r="AV29" s="607"/>
      <c r="AW29" s="607"/>
      <c r="AX29" s="607"/>
      <c r="AY29" s="607"/>
      <c r="AZ29" s="607"/>
      <c r="BA29" s="607"/>
      <c r="BB29" s="607"/>
      <c r="BC29" s="607"/>
      <c r="BD29" s="607"/>
      <c r="BE29" s="607"/>
      <c r="BF29" s="607"/>
      <c r="BG29" s="607"/>
      <c r="BH29" s="494"/>
      <c r="BI29" s="494"/>
      <c r="BJ29" s="494"/>
      <c r="BK29" s="494"/>
      <c r="BL29" s="494"/>
      <c r="BM29" s="494"/>
      <c r="BN29" s="494"/>
      <c r="BO29" s="494"/>
      <c r="BP29" s="494"/>
      <c r="BQ29" s="494"/>
      <c r="BR29" s="494"/>
      <c r="BS29" s="494"/>
      <c r="BT29" s="494"/>
      <c r="BU29" s="494"/>
      <c r="BV29" s="494"/>
      <c r="BW29" s="494"/>
      <c r="BX29" s="494"/>
      <c r="BY29" s="494"/>
      <c r="BZ29" s="494"/>
      <c r="CA29" s="494"/>
      <c r="CB29" s="494"/>
      <c r="CC29" s="494"/>
    </row>
    <row r="30" spans="1:81" s="173" customFormat="1" ht="99.75" customHeight="1" thickBot="1" x14ac:dyDescent="0.35">
      <c r="A30" s="580">
        <v>14</v>
      </c>
      <c r="B30" s="972" t="s">
        <v>1690</v>
      </c>
      <c r="C30" s="976"/>
      <c r="D30" s="976"/>
      <c r="E30" s="601">
        <f>Import!L214</f>
        <v>0</v>
      </c>
      <c r="F30" s="600"/>
      <c r="G30" s="591" t="str">
        <f>IF(E30&gt;0,"Yes","No")</f>
        <v>No</v>
      </c>
      <c r="H30" s="800" t="s">
        <v>1674</v>
      </c>
      <c r="I30" s="593" t="s">
        <v>1340</v>
      </c>
      <c r="J30" s="849"/>
      <c r="K30" s="611"/>
      <c r="L30" s="605"/>
      <c r="M30" s="625"/>
      <c r="N30" s="605"/>
      <c r="O30" s="605"/>
      <c r="P30" s="606"/>
      <c r="Q30" s="607"/>
      <c r="R30" s="607"/>
      <c r="S30" s="607"/>
      <c r="T30" s="607"/>
      <c r="U30" s="607"/>
      <c r="V30" s="607"/>
      <c r="W30" s="607"/>
      <c r="X30" s="607"/>
      <c r="Y30" s="607"/>
      <c r="Z30" s="607"/>
      <c r="AA30" s="607"/>
      <c r="AB30" s="607"/>
      <c r="AC30" s="607"/>
      <c r="AD30" s="607"/>
      <c r="AE30" s="607"/>
      <c r="AF30" s="607"/>
      <c r="AG30" s="607"/>
      <c r="AH30" s="607"/>
      <c r="AI30" s="607"/>
      <c r="AJ30" s="607"/>
      <c r="AK30" s="607"/>
      <c r="AL30" s="607"/>
      <c r="AM30" s="607"/>
      <c r="AN30" s="607"/>
      <c r="AO30" s="607"/>
      <c r="AP30" s="607"/>
      <c r="AQ30" s="607"/>
      <c r="AR30" s="607"/>
      <c r="AS30" s="607"/>
      <c r="AT30" s="607"/>
      <c r="AU30" s="607"/>
      <c r="AV30" s="607"/>
      <c r="AW30" s="607"/>
      <c r="AX30" s="607"/>
      <c r="AY30" s="607"/>
      <c r="AZ30" s="607"/>
      <c r="BA30" s="607"/>
      <c r="BB30" s="607"/>
      <c r="BC30" s="607"/>
      <c r="BD30" s="607"/>
      <c r="BE30" s="607"/>
      <c r="BF30" s="607"/>
      <c r="BG30" s="607"/>
      <c r="BH30" s="494"/>
      <c r="BI30" s="494"/>
      <c r="BJ30" s="494"/>
      <c r="BK30" s="494"/>
      <c r="BL30" s="494"/>
      <c r="BM30" s="494"/>
      <c r="BN30" s="494"/>
      <c r="BO30" s="494"/>
      <c r="BP30" s="494"/>
      <c r="BQ30" s="494"/>
      <c r="BR30" s="494"/>
      <c r="BS30" s="494"/>
      <c r="BT30" s="494"/>
      <c r="BU30" s="494"/>
      <c r="BV30" s="494"/>
      <c r="BW30" s="494"/>
      <c r="BX30" s="494"/>
      <c r="BY30" s="494"/>
      <c r="BZ30" s="494"/>
      <c r="CA30" s="494"/>
      <c r="CB30" s="494"/>
      <c r="CC30" s="494"/>
    </row>
    <row r="31" spans="1:81" s="495" customFormat="1" x14ac:dyDescent="0.3">
      <c r="A31" s="602"/>
      <c r="B31" s="510"/>
      <c r="C31" s="510"/>
      <c r="D31" s="510"/>
      <c r="E31" s="510"/>
      <c r="F31" s="510"/>
      <c r="G31" s="510"/>
      <c r="H31" s="510"/>
      <c r="I31" s="511"/>
      <c r="J31" s="511"/>
      <c r="K31" s="626"/>
      <c r="L31" s="605"/>
      <c r="M31" s="605"/>
      <c r="N31" s="605"/>
      <c r="O31" s="605"/>
      <c r="P31" s="606"/>
      <c r="Q31" s="607"/>
      <c r="R31" s="607"/>
      <c r="S31" s="607"/>
      <c r="T31" s="607"/>
      <c r="U31" s="607"/>
      <c r="V31" s="607"/>
      <c r="W31" s="607"/>
      <c r="X31" s="607"/>
      <c r="Y31" s="607"/>
      <c r="Z31" s="607"/>
      <c r="AA31" s="607"/>
      <c r="AB31" s="607"/>
      <c r="AC31" s="607"/>
      <c r="AD31" s="607"/>
      <c r="AE31" s="607"/>
      <c r="AF31" s="607"/>
      <c r="AG31" s="607"/>
      <c r="AH31" s="607"/>
      <c r="AI31" s="607"/>
      <c r="AJ31" s="607"/>
      <c r="AK31" s="607"/>
      <c r="AL31" s="607"/>
      <c r="AM31" s="607"/>
      <c r="AN31" s="607"/>
      <c r="AO31" s="607"/>
      <c r="AP31" s="607"/>
      <c r="AQ31" s="607"/>
      <c r="AR31" s="607"/>
      <c r="AS31" s="607"/>
      <c r="AT31" s="607"/>
      <c r="AU31" s="607"/>
      <c r="AV31" s="607"/>
      <c r="AW31" s="607"/>
      <c r="AX31" s="607"/>
      <c r="AY31" s="607"/>
      <c r="AZ31" s="607"/>
      <c r="BA31" s="607"/>
      <c r="BB31" s="607"/>
      <c r="BC31" s="607"/>
      <c r="BD31" s="607"/>
      <c r="BE31" s="607"/>
      <c r="BF31" s="607"/>
      <c r="BG31" s="607"/>
      <c r="BH31" s="494"/>
      <c r="BI31" s="494"/>
      <c r="BJ31" s="494"/>
      <c r="BK31" s="494"/>
      <c r="BL31" s="494"/>
      <c r="BM31" s="494"/>
      <c r="BN31" s="494"/>
      <c r="BO31" s="494"/>
      <c r="BP31" s="494"/>
      <c r="BQ31" s="494"/>
      <c r="BR31" s="494"/>
      <c r="BS31" s="494"/>
      <c r="BT31" s="494"/>
      <c r="BU31" s="494"/>
      <c r="BV31" s="494"/>
      <c r="BW31" s="494"/>
      <c r="BX31" s="494"/>
      <c r="BY31" s="494"/>
      <c r="BZ31" s="494"/>
      <c r="CA31" s="494"/>
      <c r="CB31" s="494"/>
      <c r="CC31" s="494"/>
    </row>
  </sheetData>
  <sheetProtection algorithmName="SHA-512" hashValue="/A3CcSVj4D/tbyQF1f4x3b+Pf5PoUvAUdLUlGA3pjsJRLE+vj7icLfTjEMEDI413aQbAcosMytGuUqVd0H6Quw==" saltValue="sFCUan9Y6HgHpvaPVtvpcw==" spinCount="100000" sheet="1" objects="1" scenarios="1"/>
  <mergeCells count="25">
    <mergeCell ref="B27:D27"/>
    <mergeCell ref="B28:D28"/>
    <mergeCell ref="B23:D23"/>
    <mergeCell ref="B30:D30"/>
    <mergeCell ref="B29:D29"/>
    <mergeCell ref="B25:D25"/>
    <mergeCell ref="B26:D26"/>
    <mergeCell ref="B12:E12"/>
    <mergeCell ref="B13:E13"/>
    <mergeCell ref="B19:D19"/>
    <mergeCell ref="B24:D24"/>
    <mergeCell ref="B6:E6"/>
    <mergeCell ref="B20:D20"/>
    <mergeCell ref="B21:D21"/>
    <mergeCell ref="B22:D22"/>
    <mergeCell ref="I1:J1"/>
    <mergeCell ref="B1:H1"/>
    <mergeCell ref="B2:H2"/>
    <mergeCell ref="C4:E4"/>
    <mergeCell ref="F4:G5"/>
    <mergeCell ref="H4:H5"/>
    <mergeCell ref="C5:E5"/>
    <mergeCell ref="I2:I5"/>
    <mergeCell ref="J2:J5"/>
    <mergeCell ref="B3:H3"/>
  </mergeCells>
  <conditionalFormatting sqref="G7">
    <cfRule type="cellIs" dxfId="56" priority="43" operator="lessThan">
      <formula>1</formula>
    </cfRule>
  </conditionalFormatting>
  <conditionalFormatting sqref="G9">
    <cfRule type="cellIs" dxfId="55" priority="42" operator="lessThan">
      <formula>0</formula>
    </cfRule>
  </conditionalFormatting>
  <conditionalFormatting sqref="G10:G11">
    <cfRule type="cellIs" dxfId="54" priority="41" operator="lessThan">
      <formula>0.5</formula>
    </cfRule>
  </conditionalFormatting>
  <conditionalFormatting sqref="G13">
    <cfRule type="cellIs" dxfId="53" priority="40" operator="lessThan">
      <formula>1</formula>
    </cfRule>
  </conditionalFormatting>
  <conditionalFormatting sqref="G15">
    <cfRule type="cellIs" dxfId="52" priority="39" operator="lessThan">
      <formula>0</formula>
    </cfRule>
  </conditionalFormatting>
  <conditionalFormatting sqref="G16">
    <cfRule type="cellIs" dxfId="51" priority="38" operator="lessThan">
      <formula>0.16</formula>
    </cfRule>
  </conditionalFormatting>
  <conditionalFormatting sqref="G24">
    <cfRule type="cellIs" dxfId="50" priority="34" operator="equal">
      <formula>"Yes"</formula>
    </cfRule>
  </conditionalFormatting>
  <conditionalFormatting sqref="G28">
    <cfRule type="cellIs" dxfId="49" priority="33" operator="equal">
      <formula>"Yes"</formula>
    </cfRule>
  </conditionalFormatting>
  <conditionalFormatting sqref="G22">
    <cfRule type="cellIs" dxfId="48" priority="32" operator="equal">
      <formula>"Yes"</formula>
    </cfRule>
  </conditionalFormatting>
  <conditionalFormatting sqref="G29">
    <cfRule type="cellIs" dxfId="47" priority="31" operator="equal">
      <formula>"Yes"</formula>
    </cfRule>
  </conditionalFormatting>
  <conditionalFormatting sqref="G18">
    <cfRule type="cellIs" dxfId="46" priority="26" operator="lessThan">
      <formula>1</formula>
    </cfRule>
  </conditionalFormatting>
  <conditionalFormatting sqref="E22 G22">
    <cfRule type="containsText" dxfId="45" priority="21" operator="containsText" text="This question must be answered">
      <formula>NOT(ISERROR(SEARCH("This question must be answered",E22)))</formula>
    </cfRule>
  </conditionalFormatting>
  <conditionalFormatting sqref="E28 G28">
    <cfRule type="containsText" dxfId="44" priority="16" operator="containsText" text="This question must be answered">
      <formula>NOT(ISERROR(SEARCH("This question must be answered",E28)))</formula>
    </cfRule>
  </conditionalFormatting>
  <conditionalFormatting sqref="G30">
    <cfRule type="cellIs" dxfId="43" priority="14" operator="equal">
      <formula>"Yes"</formula>
    </cfRule>
  </conditionalFormatting>
  <conditionalFormatting sqref="G30 E30">
    <cfRule type="containsText" dxfId="42" priority="13" operator="containsText" text="This question must be answered">
      <formula>NOT(ISERROR(SEARCH("This question must be answered",E30)))</formula>
    </cfRule>
  </conditionalFormatting>
  <conditionalFormatting sqref="E25:E26">
    <cfRule type="containsText" dxfId="41" priority="10" operator="containsText" text="This question must be answered">
      <formula>NOT(ISERROR(SEARCH("This question must be answered",E25)))</formula>
    </cfRule>
  </conditionalFormatting>
  <conditionalFormatting sqref="G25:G26">
    <cfRule type="containsText" dxfId="40" priority="8" operator="containsText" text="No">
      <formula>NOT(ISERROR(SEARCH("No",G25)))</formula>
    </cfRule>
    <cfRule type="containsText" dxfId="39" priority="9" operator="containsText" text="This question must be answered">
      <formula>NOT(ISERROR(SEARCH("This question must be answered",G25)))</formula>
    </cfRule>
  </conditionalFormatting>
  <conditionalFormatting sqref="G20">
    <cfRule type="cellIs" dxfId="38" priority="3" operator="equal">
      <formula>"Late"</formula>
    </cfRule>
  </conditionalFormatting>
  <conditionalFormatting sqref="E20 G20">
    <cfRule type="containsText" dxfId="37" priority="2" operator="containsText" text="This question must be answered">
      <formula>NOT(ISERROR(SEARCH("This question must be answered",E20)))</formula>
    </cfRule>
  </conditionalFormatting>
  <conditionalFormatting sqref="G26">
    <cfRule type="expression" dxfId="36" priority="1">
      <formula>$E$26="No"</formula>
    </cfRule>
  </conditionalFormatting>
  <pageMargins left="0.25" right="0.25" top="0.05" bottom="0.25" header="0.3" footer="0.25"/>
  <pageSetup scale="61" fitToHeight="0" orientation="landscape" r:id="rId1"/>
  <headerFooter>
    <oddFooter>&amp;C&amp;12&amp;P</oddFooter>
  </headerFooter>
  <rowBreaks count="2" manualBreakCount="2">
    <brk id="11" max="7" man="1"/>
    <brk id="16"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1C8F9-5EB0-4A07-9AB8-23E104072BAF}">
  <dimension ref="A2:K43"/>
  <sheetViews>
    <sheetView workbookViewId="0">
      <selection activeCell="B22" sqref="B22"/>
    </sheetView>
  </sheetViews>
  <sheetFormatPr defaultColWidth="9.109375" defaultRowHeight="14.4" x14ac:dyDescent="0.3"/>
  <cols>
    <col min="1" max="1" width="4.77734375" style="173" customWidth="1"/>
    <col min="2" max="2" width="77.21875" style="173" customWidth="1"/>
    <col min="3" max="3" width="20.21875" style="173" customWidth="1"/>
    <col min="4" max="4" width="3.6640625" style="173" customWidth="1"/>
    <col min="5" max="5" width="20.21875" style="173" customWidth="1"/>
    <col min="6" max="6" width="6.21875" style="173" customWidth="1"/>
    <col min="7" max="7" width="17.33203125" style="173" customWidth="1"/>
    <col min="8" max="8" width="34.77734375" style="173" customWidth="1"/>
    <col min="9" max="9" width="17.77734375" style="149" customWidth="1"/>
    <col min="10" max="10" width="56.5546875" style="173" customWidth="1"/>
    <col min="11" max="11" width="18.33203125" style="173" customWidth="1"/>
    <col min="12" max="12" width="19.88671875" style="173" customWidth="1"/>
    <col min="13" max="13" width="17.77734375" style="173" customWidth="1"/>
    <col min="14" max="16384" width="9.109375" style="173"/>
  </cols>
  <sheetData>
    <row r="2" spans="1:11" ht="50.4" customHeight="1" x14ac:dyDescent="0.3">
      <c r="B2" s="982" t="s">
        <v>1360</v>
      </c>
      <c r="C2" s="982"/>
      <c r="D2" s="982"/>
      <c r="E2" s="982"/>
      <c r="F2" s="694"/>
      <c r="G2" s="695"/>
    </row>
    <row r="4" spans="1:11" ht="15.6" x14ac:dyDescent="0.3">
      <c r="A4" s="695"/>
      <c r="B4" s="696" t="str">
        <f>'Unit Data from Audit Worksheet'!D2</f>
        <v>Select Unit Name from Drop Down List</v>
      </c>
      <c r="C4" s="697">
        <f>'Unit Data from Audit Worksheet'!F5</f>
        <v>2023</v>
      </c>
      <c r="E4" s="698">
        <f>'Unit Data from Audit Worksheet'!F5</f>
        <v>2023</v>
      </c>
    </row>
    <row r="5" spans="1:11" ht="27.6" x14ac:dyDescent="0.4">
      <c r="A5" s="699"/>
      <c r="B5" s="700" t="s">
        <v>1361</v>
      </c>
      <c r="C5" s="701" t="s">
        <v>1362</v>
      </c>
      <c r="D5" s="699"/>
      <c r="E5" s="702" t="s">
        <v>1363</v>
      </c>
      <c r="G5" s="149"/>
      <c r="I5" s="173"/>
    </row>
    <row r="6" spans="1:11" x14ac:dyDescent="0.3">
      <c r="A6" s="695"/>
      <c r="B6" s="703" t="s">
        <v>1364</v>
      </c>
      <c r="C6" s="704"/>
      <c r="D6" s="704"/>
      <c r="E6" s="704"/>
      <c r="G6" s="149"/>
      <c r="I6" s="173"/>
    </row>
    <row r="7" spans="1:11" x14ac:dyDescent="0.3">
      <c r="A7" s="695"/>
      <c r="B7" s="705" t="s">
        <v>1365</v>
      </c>
      <c r="C7" s="706">
        <f>Import!L41</f>
        <v>0</v>
      </c>
      <c r="D7" s="707"/>
      <c r="E7" s="708">
        <f>C7</f>
        <v>0</v>
      </c>
      <c r="G7" s="709">
        <v>506</v>
      </c>
      <c r="H7" s="710" t="s">
        <v>165</v>
      </c>
      <c r="I7" s="173"/>
    </row>
    <row r="8" spans="1:11" x14ac:dyDescent="0.3">
      <c r="A8" s="695"/>
      <c r="B8" s="705" t="s">
        <v>1366</v>
      </c>
      <c r="C8" s="711">
        <f>Import!L42</f>
        <v>0</v>
      </c>
      <c r="D8" s="712"/>
      <c r="E8" s="712"/>
      <c r="G8" s="709">
        <v>536</v>
      </c>
      <c r="H8" s="710" t="s">
        <v>166</v>
      </c>
      <c r="I8" s="173"/>
    </row>
    <row r="9" spans="1:11" x14ac:dyDescent="0.3">
      <c r="A9" s="695"/>
      <c r="B9" s="705" t="s">
        <v>1367</v>
      </c>
      <c r="C9" s="713">
        <f>Import!L46</f>
        <v>0</v>
      </c>
      <c r="D9" s="712"/>
      <c r="E9" s="713">
        <f>C9</f>
        <v>0</v>
      </c>
      <c r="G9" s="709">
        <v>4</v>
      </c>
      <c r="H9" s="710" t="s">
        <v>89</v>
      </c>
      <c r="I9" s="173"/>
    </row>
    <row r="10" spans="1:11" x14ac:dyDescent="0.3">
      <c r="A10" s="695"/>
      <c r="B10" s="705" t="s">
        <v>1368</v>
      </c>
      <c r="C10" s="714">
        <f>Import!L199</f>
        <v>0</v>
      </c>
      <c r="D10" s="712"/>
      <c r="E10" s="713">
        <f>C10</f>
        <v>0</v>
      </c>
      <c r="G10" s="709">
        <v>6</v>
      </c>
      <c r="H10" s="710" t="s">
        <v>227</v>
      </c>
      <c r="I10" s="173"/>
    </row>
    <row r="11" spans="1:11" x14ac:dyDescent="0.3">
      <c r="A11" s="695"/>
      <c r="B11" s="705" t="s">
        <v>1369</v>
      </c>
      <c r="C11" s="715">
        <f>Import!L47</f>
        <v>0</v>
      </c>
      <c r="D11" s="716"/>
      <c r="E11" s="713">
        <f>C11</f>
        <v>0</v>
      </c>
      <c r="G11" s="709">
        <v>5</v>
      </c>
      <c r="H11" s="710" t="s">
        <v>90</v>
      </c>
      <c r="I11" s="173"/>
    </row>
    <row r="12" spans="1:11" x14ac:dyDescent="0.3">
      <c r="A12" s="717"/>
      <c r="B12" s="705" t="s">
        <v>1370</v>
      </c>
      <c r="C12" s="718">
        <f>C7+C8-SUM(C9:C11)</f>
        <v>0</v>
      </c>
      <c r="E12" s="718">
        <f>E7-SUM(E9:E11)</f>
        <v>0</v>
      </c>
      <c r="G12" s="709" t="s">
        <v>1371</v>
      </c>
      <c r="H12" s="719" t="s">
        <v>1394</v>
      </c>
      <c r="I12" s="173" t="s">
        <v>1372</v>
      </c>
      <c r="J12" s="719" t="s">
        <v>1373</v>
      </c>
      <c r="K12" s="720"/>
    </row>
    <row r="13" spans="1:11" x14ac:dyDescent="0.3">
      <c r="A13" s="695"/>
      <c r="B13" s="695"/>
      <c r="C13" s="704"/>
      <c r="D13" s="704"/>
      <c r="E13" s="704"/>
      <c r="G13" s="709"/>
      <c r="H13" s="710"/>
      <c r="I13" s="173"/>
    </row>
    <row r="14" spans="1:11" x14ac:dyDescent="0.3">
      <c r="A14" s="695"/>
      <c r="B14" s="705" t="s">
        <v>1374</v>
      </c>
      <c r="C14" s="721">
        <f>Import!L53</f>
        <v>0</v>
      </c>
      <c r="D14" s="704"/>
      <c r="E14" s="704"/>
      <c r="G14" s="709">
        <v>9</v>
      </c>
      <c r="H14" s="710" t="s">
        <v>171</v>
      </c>
      <c r="I14" s="173"/>
    </row>
    <row r="15" spans="1:11" x14ac:dyDescent="0.3">
      <c r="A15" s="695"/>
      <c r="B15" s="705" t="s">
        <v>1375</v>
      </c>
      <c r="C15" s="722">
        <f>C14-C12</f>
        <v>0</v>
      </c>
      <c r="D15" s="704"/>
      <c r="E15" s="704"/>
      <c r="G15" s="709" t="s">
        <v>1371</v>
      </c>
      <c r="H15" s="719" t="s">
        <v>1395</v>
      </c>
      <c r="I15" s="723"/>
    </row>
    <row r="16" spans="1:11" x14ac:dyDescent="0.3">
      <c r="A16" s="695"/>
      <c r="B16" s="724" t="s">
        <v>1376</v>
      </c>
      <c r="C16" s="704"/>
      <c r="D16" s="704"/>
      <c r="E16" s="704"/>
      <c r="G16" s="709"/>
      <c r="H16" s="710"/>
      <c r="I16" s="173"/>
    </row>
    <row r="17" spans="1:9" x14ac:dyDescent="0.3">
      <c r="A17" s="725" t="s">
        <v>1377</v>
      </c>
      <c r="B17" s="705" t="s">
        <v>1378</v>
      </c>
      <c r="C17" s="722">
        <f>Import!L50</f>
        <v>0</v>
      </c>
      <c r="D17" s="704"/>
      <c r="E17" s="704"/>
      <c r="G17" s="709">
        <v>7</v>
      </c>
      <c r="H17" s="710" t="s">
        <v>169</v>
      </c>
      <c r="I17" s="173"/>
    </row>
    <row r="18" spans="1:9" ht="15" thickBot="1" x14ac:dyDescent="0.35">
      <c r="B18" s="705" t="s">
        <v>1379</v>
      </c>
      <c r="C18" s="726">
        <f>(C15-SUM(C17:C17))</f>
        <v>0</v>
      </c>
      <c r="D18" s="704"/>
      <c r="E18" s="704"/>
      <c r="G18" s="709" t="s">
        <v>1371</v>
      </c>
      <c r="H18" s="719" t="s">
        <v>1396</v>
      </c>
      <c r="I18" s="173"/>
    </row>
    <row r="19" spans="1:9" ht="15" thickTop="1" x14ac:dyDescent="0.3">
      <c r="B19" s="695"/>
      <c r="C19" s="704"/>
      <c r="D19" s="704"/>
      <c r="E19" s="704"/>
      <c r="G19" s="709"/>
      <c r="H19" s="710"/>
      <c r="I19" s="173"/>
    </row>
    <row r="20" spans="1:9" ht="15" thickBot="1" x14ac:dyDescent="0.35">
      <c r="B20" s="705" t="s">
        <v>1380</v>
      </c>
      <c r="C20" s="727">
        <f>Import!L49</f>
        <v>0</v>
      </c>
      <c r="D20" s="704"/>
      <c r="E20" s="704"/>
      <c r="G20" s="709">
        <v>391</v>
      </c>
      <c r="H20" s="710" t="s">
        <v>168</v>
      </c>
      <c r="I20" s="173"/>
    </row>
    <row r="21" spans="1:9" ht="15.6" thickTop="1" thickBot="1" x14ac:dyDescent="0.35">
      <c r="B21" s="728"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729">
        <f>ABS(C18-C20)</f>
        <v>0</v>
      </c>
      <c r="D21" s="704"/>
      <c r="E21" s="704"/>
      <c r="G21" s="149"/>
      <c r="I21" s="173"/>
    </row>
    <row r="22" spans="1:9" ht="42" customHeight="1" thickTop="1" x14ac:dyDescent="0.3">
      <c r="B22" s="730" t="str">
        <f>IF(C18&gt;C20,"Since Restricted-Stabilization by State Statute was understated, verfiy that the unit did not appropriate fund balance in excess of legal amount available in row 12 above.","")</f>
        <v/>
      </c>
      <c r="C22" s="730"/>
      <c r="D22" s="730"/>
      <c r="E22" s="730"/>
      <c r="F22" s="704"/>
      <c r="G22" s="704"/>
    </row>
    <row r="23" spans="1:9" x14ac:dyDescent="0.3">
      <c r="B23" s="724" t="s">
        <v>1381</v>
      </c>
      <c r="C23" s="704"/>
      <c r="D23" s="704"/>
      <c r="E23" s="731" t="s">
        <v>1382</v>
      </c>
      <c r="G23" s="149"/>
      <c r="I23" s="173"/>
    </row>
    <row r="24" spans="1:9" x14ac:dyDescent="0.3">
      <c r="B24" s="724"/>
      <c r="C24" s="701" t="s">
        <v>1383</v>
      </c>
      <c r="D24" s="704"/>
      <c r="E24" s="701" t="s">
        <v>1384</v>
      </c>
      <c r="G24" s="149"/>
      <c r="I24" s="173"/>
    </row>
    <row r="25" spans="1:9" x14ac:dyDescent="0.3">
      <c r="B25" s="703" t="s">
        <v>1385</v>
      </c>
      <c r="C25" s="704"/>
      <c r="D25" s="704"/>
      <c r="E25" s="704"/>
      <c r="G25" s="149"/>
      <c r="I25" s="173"/>
    </row>
    <row r="26" spans="1:9" x14ac:dyDescent="0.3">
      <c r="B26" s="705" t="s">
        <v>1386</v>
      </c>
      <c r="C26" s="706">
        <f>Import!L59</f>
        <v>0</v>
      </c>
      <c r="D26" s="707"/>
      <c r="E26" s="706">
        <f>C26</f>
        <v>0</v>
      </c>
      <c r="G26" s="732">
        <v>532</v>
      </c>
      <c r="H26" s="733" t="s">
        <v>175</v>
      </c>
      <c r="I26" s="173"/>
    </row>
    <row r="27" spans="1:9" x14ac:dyDescent="0.3">
      <c r="B27" s="703" t="s">
        <v>1387</v>
      </c>
      <c r="C27" s="704"/>
      <c r="D27" s="704"/>
      <c r="E27" s="704"/>
      <c r="G27" s="149"/>
      <c r="H27" s="710"/>
      <c r="I27" s="173"/>
    </row>
    <row r="28" spans="1:9" x14ac:dyDescent="0.3">
      <c r="B28" s="705" t="s">
        <v>1388</v>
      </c>
      <c r="C28" s="711">
        <f>Import!L61</f>
        <v>0</v>
      </c>
      <c r="D28" s="712"/>
      <c r="E28" s="711">
        <f>C28</f>
        <v>0</v>
      </c>
      <c r="G28" s="732">
        <v>20</v>
      </c>
      <c r="H28" s="710" t="s">
        <v>177</v>
      </c>
      <c r="I28" s="173"/>
    </row>
    <row r="29" spans="1:9" ht="41.4" x14ac:dyDescent="0.3">
      <c r="B29" s="705" t="s">
        <v>1389</v>
      </c>
      <c r="C29" s="711">
        <f>Import!L64</f>
        <v>0</v>
      </c>
      <c r="D29" s="712"/>
      <c r="E29" s="711">
        <f>C29</f>
        <v>0</v>
      </c>
      <c r="G29" s="732">
        <v>509</v>
      </c>
      <c r="H29" s="734" t="s">
        <v>266</v>
      </c>
      <c r="I29" s="173"/>
    </row>
    <row r="30" spans="1:9" x14ac:dyDescent="0.3">
      <c r="B30" s="705" t="s">
        <v>1390</v>
      </c>
      <c r="C30" s="711">
        <f>Import!L62</f>
        <v>0</v>
      </c>
      <c r="D30" s="712"/>
      <c r="E30" s="711">
        <f>C30</f>
        <v>0</v>
      </c>
      <c r="G30" s="732">
        <v>533</v>
      </c>
      <c r="H30" s="710" t="s">
        <v>176</v>
      </c>
      <c r="I30" s="173"/>
    </row>
    <row r="31" spans="1:9" ht="41.4" x14ac:dyDescent="0.3">
      <c r="B31" s="705" t="s">
        <v>1391</v>
      </c>
      <c r="C31" s="711">
        <f>Import!L63</f>
        <v>0</v>
      </c>
      <c r="D31" s="712"/>
      <c r="E31" s="711">
        <f>C31</f>
        <v>0</v>
      </c>
      <c r="G31" s="732">
        <v>508</v>
      </c>
      <c r="H31" s="734" t="s">
        <v>268</v>
      </c>
      <c r="I31" s="173"/>
    </row>
    <row r="32" spans="1:9" ht="15" thickBot="1" x14ac:dyDescent="0.35">
      <c r="B32" s="735" t="s">
        <v>1392</v>
      </c>
      <c r="C32" s="739">
        <f>SUM(C26:C28)-C30</f>
        <v>0</v>
      </c>
      <c r="D32" s="707"/>
      <c r="E32" s="739">
        <f>SUM(E26:E28)-E30</f>
        <v>0</v>
      </c>
      <c r="F32" s="707"/>
      <c r="G32" s="739" t="s">
        <v>1371</v>
      </c>
      <c r="H32" s="720" t="s">
        <v>1397</v>
      </c>
      <c r="I32" s="173"/>
    </row>
    <row r="33" spans="1:9" ht="15" thickTop="1" x14ac:dyDescent="0.3">
      <c r="B33" s="704"/>
      <c r="C33" s="704"/>
      <c r="D33" s="704"/>
      <c r="E33" s="704"/>
      <c r="G33" s="149"/>
      <c r="I33" s="173"/>
    </row>
    <row r="34" spans="1:9" ht="15" thickBot="1" x14ac:dyDescent="0.35">
      <c r="B34" s="735" t="s">
        <v>1393</v>
      </c>
      <c r="C34" s="736" t="e">
        <f>C12/C32</f>
        <v>#DIV/0!</v>
      </c>
      <c r="D34" s="704"/>
      <c r="E34" s="736" t="e">
        <f>E12/E32</f>
        <v>#DIV/0!</v>
      </c>
      <c r="G34" s="149"/>
      <c r="I34" s="173"/>
    </row>
    <row r="35" spans="1:9" ht="15" thickTop="1" x14ac:dyDescent="0.3">
      <c r="C35" s="704"/>
      <c r="D35" s="704"/>
      <c r="E35" s="704"/>
      <c r="G35" s="149"/>
      <c r="I35" s="173"/>
    </row>
    <row r="36" spans="1:9" ht="15.6" x14ac:dyDescent="0.3">
      <c r="A36" s="737"/>
    </row>
    <row r="38" spans="1:9" x14ac:dyDescent="0.3">
      <c r="E38" s="500"/>
    </row>
    <row r="39" spans="1:9" x14ac:dyDescent="0.3">
      <c r="E39" s="738"/>
    </row>
    <row r="40" spans="1:9" x14ac:dyDescent="0.3">
      <c r="E40" s="738"/>
    </row>
    <row r="41" spans="1:9" x14ac:dyDescent="0.3">
      <c r="E41" s="738"/>
    </row>
    <row r="42" spans="1:9" x14ac:dyDescent="0.3">
      <c r="E42" s="738"/>
    </row>
    <row r="43" spans="1:9" x14ac:dyDescent="0.3">
      <c r="E43" s="738"/>
    </row>
  </sheetData>
  <sheetProtection algorithmName="SHA-512" hashValue="G6V4uCoy859J7y2YYmZoqMVfQ7pqNnCUbu5rfQ+vWvT/lf62jYhmmfxE0mf9MGGQInLbyXgbKspV0mmpUA3vqQ==" saltValue="/rVx5oYviy9ONPQmxMcoow==" spinCount="100000" sheet="1" objects="1" scenarios="1"/>
  <mergeCells count="1">
    <mergeCell ref="B2:E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D28" sqref="D28"/>
    </sheetView>
  </sheetViews>
  <sheetFormatPr defaultColWidth="9.109375" defaultRowHeight="14.4" x14ac:dyDescent="0.3"/>
  <cols>
    <col min="1" max="1" width="9.109375" style="173"/>
    <col min="2" max="2" width="54.109375" style="173" customWidth="1"/>
    <col min="3" max="3" width="23.6640625" style="173" customWidth="1"/>
    <col min="4" max="4" width="19.6640625" style="173" customWidth="1"/>
    <col min="5" max="10" width="9.109375" style="173"/>
    <col min="11" max="11" width="54.109375" style="173" customWidth="1"/>
    <col min="12" max="16384" width="9.109375" style="173"/>
  </cols>
  <sheetData>
    <row r="1" spans="1:11" ht="43.2" x14ac:dyDescent="0.3">
      <c r="A1" s="173" t="s">
        <v>369</v>
      </c>
      <c r="B1" s="173" t="s">
        <v>442</v>
      </c>
      <c r="C1" s="177" t="s">
        <v>432</v>
      </c>
      <c r="D1" s="178" t="s">
        <v>551</v>
      </c>
      <c r="E1" s="173" t="s">
        <v>741</v>
      </c>
    </row>
    <row r="3" spans="1:11" ht="23.4" x14ac:dyDescent="0.45">
      <c r="A3" s="173">
        <v>50001</v>
      </c>
      <c r="B3" s="173" t="s">
        <v>443</v>
      </c>
      <c r="C3" s="173">
        <v>50</v>
      </c>
      <c r="D3" s="149" t="s">
        <v>50</v>
      </c>
      <c r="E3" s="185" t="s">
        <v>559</v>
      </c>
    </row>
    <row r="4" spans="1:11" x14ac:dyDescent="0.3">
      <c r="A4" s="173">
        <v>50006</v>
      </c>
      <c r="B4" s="173" t="s">
        <v>444</v>
      </c>
      <c r="C4" s="173">
        <v>50</v>
      </c>
      <c r="D4" s="149" t="s">
        <v>50</v>
      </c>
    </row>
    <row r="5" spans="1:11" x14ac:dyDescent="0.3">
      <c r="A5" s="173">
        <v>50013</v>
      </c>
      <c r="B5" s="173" t="s">
        <v>446</v>
      </c>
      <c r="C5" s="173">
        <v>50</v>
      </c>
      <c r="D5" s="149" t="s">
        <v>50</v>
      </c>
    </row>
    <row r="6" spans="1:11" x14ac:dyDescent="0.3">
      <c r="A6" s="173">
        <v>50016</v>
      </c>
      <c r="B6" s="492" t="s">
        <v>742</v>
      </c>
      <c r="C6" s="173">
        <v>50</v>
      </c>
      <c r="D6" s="149" t="s">
        <v>50</v>
      </c>
      <c r="K6" s="492"/>
    </row>
    <row r="7" spans="1:11" x14ac:dyDescent="0.3">
      <c r="A7" s="173">
        <v>50019</v>
      </c>
      <c r="B7" s="492" t="s">
        <v>743</v>
      </c>
      <c r="C7" s="173">
        <v>50</v>
      </c>
      <c r="D7" s="149" t="s">
        <v>50</v>
      </c>
      <c r="K7" s="492"/>
    </row>
    <row r="8" spans="1:11" x14ac:dyDescent="0.3">
      <c r="A8" s="173">
        <v>50504</v>
      </c>
      <c r="B8" s="173" t="s">
        <v>447</v>
      </c>
      <c r="C8" s="173">
        <v>50</v>
      </c>
      <c r="D8" s="149" t="s">
        <v>50</v>
      </c>
    </row>
    <row r="9" spans="1:11" x14ac:dyDescent="0.3">
      <c r="A9" s="173">
        <v>50021</v>
      </c>
      <c r="B9" s="492" t="s">
        <v>744</v>
      </c>
      <c r="C9" s="173">
        <v>50</v>
      </c>
      <c r="D9" s="149" t="s">
        <v>50</v>
      </c>
      <c r="K9" s="492"/>
    </row>
    <row r="10" spans="1:11" x14ac:dyDescent="0.3">
      <c r="A10" s="173">
        <v>50024</v>
      </c>
      <c r="B10" s="173" t="s">
        <v>448</v>
      </c>
      <c r="C10" s="173">
        <v>50</v>
      </c>
      <c r="D10" s="149" t="s">
        <v>50</v>
      </c>
    </row>
    <row r="11" spans="1:11" x14ac:dyDescent="0.3">
      <c r="A11" s="173">
        <v>50029</v>
      </c>
      <c r="B11" s="173" t="s">
        <v>449</v>
      </c>
      <c r="C11" s="173">
        <v>50</v>
      </c>
      <c r="D11" s="149" t="s">
        <v>50</v>
      </c>
    </row>
    <row r="12" spans="1:11" x14ac:dyDescent="0.3">
      <c r="A12" s="173">
        <v>50031</v>
      </c>
      <c r="B12" s="492" t="s">
        <v>745</v>
      </c>
      <c r="C12" s="173">
        <v>50</v>
      </c>
      <c r="D12" s="149" t="s">
        <v>50</v>
      </c>
      <c r="K12" s="492"/>
    </row>
    <row r="13" spans="1:11" x14ac:dyDescent="0.3">
      <c r="A13" s="173">
        <v>50469</v>
      </c>
      <c r="B13" s="173" t="s">
        <v>450</v>
      </c>
      <c r="C13" s="173">
        <v>50</v>
      </c>
      <c r="D13" s="149" t="s">
        <v>50</v>
      </c>
    </row>
    <row r="14" spans="1:11" x14ac:dyDescent="0.3">
      <c r="A14" s="173">
        <v>50034</v>
      </c>
      <c r="B14" s="173" t="s">
        <v>452</v>
      </c>
      <c r="C14" s="173">
        <v>50</v>
      </c>
      <c r="D14" s="149" t="s">
        <v>50</v>
      </c>
    </row>
    <row r="15" spans="1:11" x14ac:dyDescent="0.3">
      <c r="A15" s="173">
        <v>50038</v>
      </c>
      <c r="B15" s="173" t="s">
        <v>453</v>
      </c>
      <c r="C15" s="173">
        <v>50</v>
      </c>
      <c r="D15" s="149" t="s">
        <v>50</v>
      </c>
    </row>
    <row r="16" spans="1:11" x14ac:dyDescent="0.3">
      <c r="A16" s="173">
        <v>50506</v>
      </c>
      <c r="B16" s="173" t="s">
        <v>454</v>
      </c>
      <c r="C16" s="173">
        <v>50</v>
      </c>
      <c r="D16" s="149" t="s">
        <v>50</v>
      </c>
    </row>
    <row r="17" spans="1:11" x14ac:dyDescent="0.3">
      <c r="A17" s="173">
        <v>50045</v>
      </c>
      <c r="B17" s="173" t="s">
        <v>455</v>
      </c>
      <c r="C17" s="173">
        <v>50</v>
      </c>
      <c r="D17" s="149" t="s">
        <v>50</v>
      </c>
    </row>
    <row r="18" spans="1:11" x14ac:dyDescent="0.3">
      <c r="A18" s="173">
        <v>50049</v>
      </c>
      <c r="B18" s="173" t="s">
        <v>456</v>
      </c>
      <c r="C18" s="173">
        <v>50</v>
      </c>
      <c r="D18" s="149" t="s">
        <v>50</v>
      </c>
    </row>
    <row r="19" spans="1:11" x14ac:dyDescent="0.3">
      <c r="A19" s="173">
        <v>50055</v>
      </c>
      <c r="B19" s="492" t="s">
        <v>746</v>
      </c>
      <c r="C19" s="173">
        <v>50</v>
      </c>
      <c r="D19" s="149" t="s">
        <v>50</v>
      </c>
      <c r="K19" s="492"/>
    </row>
    <row r="20" spans="1:11" x14ac:dyDescent="0.3">
      <c r="A20" s="173">
        <v>50466</v>
      </c>
      <c r="B20" s="173" t="s">
        <v>747</v>
      </c>
      <c r="C20" s="173">
        <v>50</v>
      </c>
      <c r="D20" s="149" t="s">
        <v>50</v>
      </c>
    </row>
    <row r="21" spans="1:11" x14ac:dyDescent="0.3">
      <c r="A21" s="173">
        <v>50069</v>
      </c>
      <c r="B21" s="173" t="s">
        <v>457</v>
      </c>
      <c r="C21" s="173">
        <v>50</v>
      </c>
      <c r="D21" s="149" t="s">
        <v>50</v>
      </c>
    </row>
    <row r="22" spans="1:11" x14ac:dyDescent="0.3">
      <c r="A22" s="173">
        <v>50467</v>
      </c>
      <c r="B22" s="173" t="s">
        <v>458</v>
      </c>
      <c r="C22" s="173">
        <v>50</v>
      </c>
      <c r="D22" s="149" t="s">
        <v>50</v>
      </c>
    </row>
    <row r="23" spans="1:11" x14ac:dyDescent="0.3">
      <c r="A23" s="173">
        <v>50510</v>
      </c>
      <c r="B23" s="173" t="s">
        <v>459</v>
      </c>
      <c r="C23" s="173">
        <v>50</v>
      </c>
      <c r="D23" s="149" t="s">
        <v>50</v>
      </c>
    </row>
    <row r="24" spans="1:11" x14ac:dyDescent="0.3">
      <c r="A24" s="173">
        <v>50078</v>
      </c>
      <c r="B24" s="173" t="s">
        <v>748</v>
      </c>
      <c r="C24" s="173">
        <v>50</v>
      </c>
      <c r="D24" s="149" t="s">
        <v>50</v>
      </c>
    </row>
    <row r="25" spans="1:11" x14ac:dyDescent="0.3">
      <c r="A25" s="173">
        <v>50080</v>
      </c>
      <c r="B25" s="173" t="s">
        <v>749</v>
      </c>
      <c r="C25" s="173">
        <v>50</v>
      </c>
      <c r="D25" s="149" t="s">
        <v>50</v>
      </c>
    </row>
    <row r="26" spans="1:11" x14ac:dyDescent="0.3">
      <c r="A26" s="173">
        <v>50468</v>
      </c>
      <c r="B26" s="492" t="s">
        <v>750</v>
      </c>
      <c r="C26" s="173">
        <v>50</v>
      </c>
      <c r="D26" s="149" t="s">
        <v>50</v>
      </c>
      <c r="K26" s="492"/>
    </row>
    <row r="27" spans="1:11" x14ac:dyDescent="0.3">
      <c r="A27" s="173">
        <v>50086</v>
      </c>
      <c r="B27" s="173" t="s">
        <v>461</v>
      </c>
      <c r="C27" s="173">
        <v>50</v>
      </c>
      <c r="D27" s="149" t="s">
        <v>50</v>
      </c>
    </row>
    <row r="28" spans="1:11" x14ac:dyDescent="0.3">
      <c r="A28" s="173">
        <v>50087</v>
      </c>
      <c r="B28" s="173" t="s">
        <v>462</v>
      </c>
      <c r="C28" s="173">
        <v>50</v>
      </c>
      <c r="D28" s="149" t="s">
        <v>50</v>
      </c>
    </row>
    <row r="29" spans="1:11" x14ac:dyDescent="0.3">
      <c r="A29" s="173">
        <v>50091</v>
      </c>
      <c r="B29" s="492" t="s">
        <v>751</v>
      </c>
      <c r="C29" s="173">
        <v>50</v>
      </c>
      <c r="D29" s="149" t="s">
        <v>50</v>
      </c>
      <c r="K29" s="492"/>
    </row>
    <row r="30" spans="1:11" x14ac:dyDescent="0.3">
      <c r="A30" s="173">
        <v>50098</v>
      </c>
      <c r="B30" s="173" t="s">
        <v>752</v>
      </c>
      <c r="C30" s="173">
        <v>50</v>
      </c>
      <c r="D30" s="149" t="s">
        <v>50</v>
      </c>
    </row>
    <row r="31" spans="1:11" x14ac:dyDescent="0.3">
      <c r="A31" s="173">
        <v>50100</v>
      </c>
      <c r="B31" s="173" t="s">
        <v>753</v>
      </c>
      <c r="C31" s="173">
        <v>50</v>
      </c>
      <c r="D31" s="149" t="s">
        <v>50</v>
      </c>
    </row>
    <row r="32" spans="1:11" x14ac:dyDescent="0.3">
      <c r="A32" s="173">
        <v>50513</v>
      </c>
      <c r="B32" s="173" t="s">
        <v>463</v>
      </c>
      <c r="C32" s="173">
        <v>50</v>
      </c>
      <c r="D32" s="149" t="s">
        <v>50</v>
      </c>
    </row>
    <row r="33" spans="1:11" x14ac:dyDescent="0.3">
      <c r="A33" s="173">
        <v>50106</v>
      </c>
      <c r="B33" s="173" t="s">
        <v>464</v>
      </c>
      <c r="C33" s="173">
        <v>50</v>
      </c>
      <c r="D33" s="149" t="s">
        <v>50</v>
      </c>
    </row>
    <row r="34" spans="1:11" x14ac:dyDescent="0.3">
      <c r="A34" s="173">
        <v>50472</v>
      </c>
      <c r="B34" s="173" t="s">
        <v>465</v>
      </c>
      <c r="C34" s="173">
        <v>50</v>
      </c>
      <c r="D34" s="149" t="s">
        <v>50</v>
      </c>
    </row>
    <row r="35" spans="1:11" x14ac:dyDescent="0.3">
      <c r="A35" s="173">
        <v>50112</v>
      </c>
      <c r="B35" s="173" t="s">
        <v>466</v>
      </c>
      <c r="C35" s="173">
        <v>50</v>
      </c>
      <c r="D35" s="149" t="s">
        <v>50</v>
      </c>
    </row>
    <row r="36" spans="1:11" x14ac:dyDescent="0.3">
      <c r="A36" s="173">
        <v>50113</v>
      </c>
      <c r="B36" s="173" t="s">
        <v>467</v>
      </c>
      <c r="C36" s="173">
        <v>50</v>
      </c>
      <c r="D36" s="149" t="s">
        <v>50</v>
      </c>
    </row>
    <row r="37" spans="1:11" x14ac:dyDescent="0.3">
      <c r="A37" s="173">
        <v>50116</v>
      </c>
      <c r="B37" s="492" t="s">
        <v>754</v>
      </c>
      <c r="C37" s="173">
        <v>50</v>
      </c>
      <c r="D37" s="149" t="s">
        <v>50</v>
      </c>
      <c r="K37" s="492"/>
    </row>
    <row r="38" spans="1:11" x14ac:dyDescent="0.3">
      <c r="A38" s="173">
        <v>50121</v>
      </c>
      <c r="B38" s="173" t="s">
        <v>469</v>
      </c>
      <c r="C38" s="173">
        <v>50</v>
      </c>
      <c r="D38" s="149" t="s">
        <v>50</v>
      </c>
    </row>
    <row r="39" spans="1:11" x14ac:dyDescent="0.3">
      <c r="A39" s="173">
        <v>50122</v>
      </c>
      <c r="B39" s="173" t="s">
        <v>470</v>
      </c>
      <c r="C39" s="173">
        <v>50</v>
      </c>
      <c r="D39" s="149" t="s">
        <v>50</v>
      </c>
    </row>
    <row r="40" spans="1:11" x14ac:dyDescent="0.3">
      <c r="A40" s="173">
        <v>50125</v>
      </c>
      <c r="B40" s="173" t="s">
        <v>471</v>
      </c>
      <c r="C40" s="173">
        <v>50</v>
      </c>
      <c r="D40" s="149" t="s">
        <v>50</v>
      </c>
    </row>
    <row r="41" spans="1:11" x14ac:dyDescent="0.3">
      <c r="A41" s="173">
        <v>50126</v>
      </c>
      <c r="B41" s="492" t="s">
        <v>755</v>
      </c>
      <c r="C41" s="173">
        <v>50</v>
      </c>
      <c r="D41" s="149" t="s">
        <v>50</v>
      </c>
      <c r="K41" s="492"/>
    </row>
    <row r="42" spans="1:11" x14ac:dyDescent="0.3">
      <c r="A42" s="173">
        <v>50127</v>
      </c>
      <c r="B42" s="173" t="s">
        <v>756</v>
      </c>
      <c r="C42" s="173">
        <v>50</v>
      </c>
      <c r="D42" s="149" t="s">
        <v>50</v>
      </c>
    </row>
    <row r="43" spans="1:11" x14ac:dyDescent="0.3">
      <c r="A43" s="173">
        <v>50128</v>
      </c>
      <c r="B43" s="173" t="s">
        <v>473</v>
      </c>
      <c r="C43" s="173">
        <v>50</v>
      </c>
      <c r="D43" s="149" t="s">
        <v>50</v>
      </c>
    </row>
    <row r="44" spans="1:11" x14ac:dyDescent="0.3">
      <c r="A44" s="173">
        <v>50129</v>
      </c>
      <c r="B44" s="173" t="s">
        <v>474</v>
      </c>
      <c r="C44" s="173">
        <v>50</v>
      </c>
      <c r="D44" s="149" t="s">
        <v>50</v>
      </c>
    </row>
    <row r="45" spans="1:11" x14ac:dyDescent="0.3">
      <c r="A45" s="173">
        <v>50130</v>
      </c>
      <c r="B45" s="173" t="s">
        <v>475</v>
      </c>
      <c r="C45" s="173">
        <v>50</v>
      </c>
      <c r="D45" s="149" t="s">
        <v>50</v>
      </c>
    </row>
    <row r="46" spans="1:11" x14ac:dyDescent="0.3">
      <c r="A46" s="173">
        <v>50570</v>
      </c>
      <c r="B46" s="173" t="s">
        <v>476</v>
      </c>
      <c r="C46" s="173">
        <v>50</v>
      </c>
      <c r="D46" s="149" t="s">
        <v>50</v>
      </c>
    </row>
    <row r="47" spans="1:11" x14ac:dyDescent="0.3">
      <c r="A47" s="173">
        <v>50139</v>
      </c>
      <c r="B47" s="173" t="s">
        <v>478</v>
      </c>
      <c r="C47" s="173">
        <v>50</v>
      </c>
      <c r="D47" s="149" t="s">
        <v>50</v>
      </c>
    </row>
    <row r="48" spans="1:11" x14ac:dyDescent="0.3">
      <c r="A48" s="173">
        <v>50142</v>
      </c>
      <c r="B48" s="173" t="s">
        <v>479</v>
      </c>
      <c r="C48" s="173">
        <v>50</v>
      </c>
      <c r="D48" s="149" t="s">
        <v>50</v>
      </c>
    </row>
    <row r="49" spans="1:11" x14ac:dyDescent="0.3">
      <c r="A49" s="173">
        <v>50143</v>
      </c>
      <c r="B49" s="173" t="s">
        <v>480</v>
      </c>
      <c r="C49" s="173">
        <v>50</v>
      </c>
      <c r="D49" s="149" t="s">
        <v>50</v>
      </c>
    </row>
    <row r="50" spans="1:11" x14ac:dyDescent="0.3">
      <c r="A50" s="173">
        <v>50148</v>
      </c>
      <c r="B50" s="173" t="s">
        <v>366</v>
      </c>
      <c r="C50" s="173">
        <v>50</v>
      </c>
      <c r="D50" s="149" t="s">
        <v>50</v>
      </c>
    </row>
    <row r="51" spans="1:11" x14ac:dyDescent="0.3">
      <c r="A51" s="173">
        <v>50151</v>
      </c>
      <c r="B51" s="173" t="s">
        <v>757</v>
      </c>
      <c r="C51" s="173">
        <v>50</v>
      </c>
      <c r="D51" s="149" t="s">
        <v>50</v>
      </c>
    </row>
    <row r="52" spans="1:11" x14ac:dyDescent="0.3">
      <c r="A52" s="173">
        <v>50153</v>
      </c>
      <c r="B52" s="173" t="s">
        <v>481</v>
      </c>
      <c r="C52" s="173">
        <v>50</v>
      </c>
      <c r="D52" s="149" t="s">
        <v>50</v>
      </c>
    </row>
    <row r="53" spans="1:11" x14ac:dyDescent="0.3">
      <c r="A53" s="173">
        <v>50154</v>
      </c>
      <c r="B53" s="173" t="s">
        <v>482</v>
      </c>
      <c r="C53" s="173">
        <v>50</v>
      </c>
      <c r="D53" s="149" t="s">
        <v>50</v>
      </c>
    </row>
    <row r="54" spans="1:11" x14ac:dyDescent="0.3">
      <c r="A54" s="173">
        <v>50517</v>
      </c>
      <c r="B54" s="492" t="s">
        <v>758</v>
      </c>
      <c r="C54" s="173">
        <v>50</v>
      </c>
      <c r="D54" s="149" t="s">
        <v>50</v>
      </c>
      <c r="K54" s="492"/>
    </row>
    <row r="55" spans="1:11" x14ac:dyDescent="0.3">
      <c r="A55" s="173">
        <v>50448</v>
      </c>
      <c r="B55" s="173" t="s">
        <v>483</v>
      </c>
      <c r="C55" s="173">
        <v>50</v>
      </c>
      <c r="D55" s="149" t="s">
        <v>50</v>
      </c>
    </row>
    <row r="56" spans="1:11" x14ac:dyDescent="0.3">
      <c r="A56" s="173">
        <v>50163</v>
      </c>
      <c r="B56" s="173" t="s">
        <v>484</v>
      </c>
      <c r="C56" s="173">
        <v>50</v>
      </c>
      <c r="D56" s="149" t="s">
        <v>50</v>
      </c>
    </row>
    <row r="57" spans="1:11" x14ac:dyDescent="0.3">
      <c r="A57" s="173">
        <v>50165</v>
      </c>
      <c r="B57" s="173" t="s">
        <v>485</v>
      </c>
      <c r="C57" s="173">
        <v>50</v>
      </c>
      <c r="D57" s="149" t="s">
        <v>50</v>
      </c>
    </row>
    <row r="58" spans="1:11" x14ac:dyDescent="0.3">
      <c r="A58" s="173">
        <v>50166</v>
      </c>
      <c r="B58" s="173" t="s">
        <v>486</v>
      </c>
      <c r="C58" s="173">
        <v>50</v>
      </c>
      <c r="D58" s="149" t="s">
        <v>50</v>
      </c>
    </row>
    <row r="59" spans="1:11" x14ac:dyDescent="0.3">
      <c r="A59" s="173">
        <v>50167</v>
      </c>
      <c r="B59" s="173" t="s">
        <v>487</v>
      </c>
      <c r="C59" s="173">
        <v>50</v>
      </c>
      <c r="D59" s="149" t="s">
        <v>50</v>
      </c>
    </row>
    <row r="60" spans="1:11" x14ac:dyDescent="0.3">
      <c r="A60" s="173">
        <v>50171</v>
      </c>
      <c r="B60" s="492" t="s">
        <v>759</v>
      </c>
      <c r="C60" s="173">
        <v>50</v>
      </c>
      <c r="D60" s="149" t="s">
        <v>50</v>
      </c>
      <c r="K60" s="492"/>
    </row>
    <row r="61" spans="1:11" x14ac:dyDescent="0.3">
      <c r="A61" s="173">
        <v>50440</v>
      </c>
      <c r="B61" s="173" t="s">
        <v>760</v>
      </c>
      <c r="C61" s="173">
        <v>50</v>
      </c>
      <c r="D61" s="149" t="s">
        <v>50</v>
      </c>
    </row>
    <row r="62" spans="1:11" x14ac:dyDescent="0.3">
      <c r="A62" s="173">
        <v>50175</v>
      </c>
      <c r="B62" s="492" t="s">
        <v>367</v>
      </c>
      <c r="C62" s="173">
        <v>50</v>
      </c>
      <c r="D62" s="149" t="s">
        <v>50</v>
      </c>
      <c r="K62" s="492"/>
    </row>
    <row r="63" spans="1:11" x14ac:dyDescent="0.3">
      <c r="A63" s="173">
        <v>50177</v>
      </c>
      <c r="B63" s="492" t="s">
        <v>761</v>
      </c>
      <c r="C63" s="173">
        <v>50</v>
      </c>
      <c r="D63" s="149" t="s">
        <v>50</v>
      </c>
      <c r="K63" s="492"/>
    </row>
    <row r="64" spans="1:11" x14ac:dyDescent="0.3">
      <c r="A64" s="173">
        <v>50183</v>
      </c>
      <c r="B64" s="173" t="s">
        <v>488</v>
      </c>
      <c r="C64" s="173">
        <v>50</v>
      </c>
      <c r="D64" s="149" t="s">
        <v>50</v>
      </c>
    </row>
    <row r="65" spans="1:11" x14ac:dyDescent="0.3">
      <c r="A65" s="173">
        <v>50184</v>
      </c>
      <c r="B65" s="173" t="s">
        <v>489</v>
      </c>
      <c r="C65" s="173">
        <v>50</v>
      </c>
      <c r="D65" s="149" t="s">
        <v>50</v>
      </c>
    </row>
    <row r="66" spans="1:11" x14ac:dyDescent="0.3">
      <c r="A66" s="173">
        <v>50186</v>
      </c>
      <c r="B66" s="173" t="s">
        <v>490</v>
      </c>
      <c r="C66" s="173">
        <v>50</v>
      </c>
      <c r="D66" s="149" t="s">
        <v>50</v>
      </c>
    </row>
    <row r="67" spans="1:11" x14ac:dyDescent="0.3">
      <c r="A67" s="173">
        <v>50476</v>
      </c>
      <c r="B67" s="173" t="s">
        <v>403</v>
      </c>
      <c r="C67" s="173">
        <v>50</v>
      </c>
      <c r="D67" s="149" t="s">
        <v>50</v>
      </c>
    </row>
    <row r="68" spans="1:11" x14ac:dyDescent="0.3">
      <c r="A68" s="173">
        <v>50192</v>
      </c>
      <c r="B68" s="173" t="s">
        <v>404</v>
      </c>
      <c r="C68" s="173">
        <v>50</v>
      </c>
      <c r="D68" s="149" t="s">
        <v>50</v>
      </c>
    </row>
    <row r="69" spans="1:11" x14ac:dyDescent="0.3">
      <c r="A69" s="173">
        <v>50518</v>
      </c>
      <c r="B69" s="173" t="s">
        <v>405</v>
      </c>
      <c r="C69" s="173">
        <v>50</v>
      </c>
      <c r="D69" s="149" t="s">
        <v>50</v>
      </c>
    </row>
    <row r="70" spans="1:11" x14ac:dyDescent="0.3">
      <c r="A70" s="173">
        <v>50231</v>
      </c>
      <c r="B70" s="173" t="s">
        <v>406</v>
      </c>
      <c r="C70" s="173">
        <v>50</v>
      </c>
      <c r="D70" s="149" t="s">
        <v>50</v>
      </c>
    </row>
    <row r="71" spans="1:11" x14ac:dyDescent="0.3">
      <c r="A71" s="173">
        <v>50235</v>
      </c>
      <c r="B71" s="173" t="s">
        <v>408</v>
      </c>
      <c r="C71" s="173">
        <v>50</v>
      </c>
      <c r="D71" s="149" t="s">
        <v>50</v>
      </c>
    </row>
    <row r="72" spans="1:11" x14ac:dyDescent="0.3">
      <c r="A72" s="173">
        <v>50233</v>
      </c>
      <c r="B72" s="173" t="s">
        <v>407</v>
      </c>
      <c r="C72" s="173">
        <v>50</v>
      </c>
      <c r="D72" s="149" t="s">
        <v>50</v>
      </c>
    </row>
    <row r="73" spans="1:11" x14ac:dyDescent="0.3">
      <c r="A73" s="173">
        <v>50236</v>
      </c>
      <c r="B73" s="173" t="s">
        <v>409</v>
      </c>
      <c r="C73" s="173">
        <v>50</v>
      </c>
      <c r="D73" s="149" t="s">
        <v>50</v>
      </c>
    </row>
    <row r="74" spans="1:11" x14ac:dyDescent="0.3">
      <c r="A74" s="173">
        <v>50239</v>
      </c>
      <c r="B74" s="173" t="s">
        <v>410</v>
      </c>
      <c r="C74" s="173">
        <v>50</v>
      </c>
      <c r="D74" s="149" t="s">
        <v>50</v>
      </c>
    </row>
    <row r="75" spans="1:11" x14ac:dyDescent="0.3">
      <c r="A75" s="173">
        <v>50249</v>
      </c>
      <c r="B75" s="173" t="s">
        <v>411</v>
      </c>
      <c r="C75" s="173">
        <v>50</v>
      </c>
      <c r="D75" s="149" t="s">
        <v>50</v>
      </c>
    </row>
    <row r="76" spans="1:11" x14ac:dyDescent="0.3">
      <c r="A76" s="173">
        <v>50254</v>
      </c>
      <c r="B76" s="173" t="s">
        <v>762</v>
      </c>
      <c r="C76" s="173">
        <v>50</v>
      </c>
      <c r="D76" s="149" t="s">
        <v>50</v>
      </c>
    </row>
    <row r="77" spans="1:11" x14ac:dyDescent="0.3">
      <c r="A77" s="173">
        <v>50255</v>
      </c>
      <c r="B77" s="492" t="s">
        <v>763</v>
      </c>
      <c r="C77" s="173">
        <v>50</v>
      </c>
      <c r="D77" s="149" t="s">
        <v>50</v>
      </c>
      <c r="K77" s="492"/>
    </row>
    <row r="78" spans="1:11" x14ac:dyDescent="0.3">
      <c r="A78" s="173">
        <v>50257</v>
      </c>
      <c r="B78" s="173" t="s">
        <v>493</v>
      </c>
      <c r="C78" s="173">
        <v>50</v>
      </c>
      <c r="D78" s="149" t="s">
        <v>50</v>
      </c>
    </row>
    <row r="79" spans="1:11" x14ac:dyDescent="0.3">
      <c r="A79" s="173">
        <v>50452</v>
      </c>
      <c r="B79" s="492" t="s">
        <v>764</v>
      </c>
      <c r="C79" s="173">
        <v>50</v>
      </c>
      <c r="D79" s="149" t="s">
        <v>50</v>
      </c>
      <c r="K79" s="492"/>
    </row>
    <row r="80" spans="1:11" x14ac:dyDescent="0.3">
      <c r="A80" s="173">
        <v>50260</v>
      </c>
      <c r="B80" s="173" t="s">
        <v>494</v>
      </c>
      <c r="C80" s="173">
        <v>50</v>
      </c>
      <c r="D80" s="149" t="s">
        <v>50</v>
      </c>
    </row>
    <row r="81" spans="1:11" x14ac:dyDescent="0.3">
      <c r="A81" s="173">
        <v>50268</v>
      </c>
      <c r="B81" s="492" t="s">
        <v>765</v>
      </c>
      <c r="C81" s="173">
        <v>50</v>
      </c>
      <c r="D81" s="149" t="s">
        <v>50</v>
      </c>
      <c r="K81" s="492"/>
    </row>
    <row r="82" spans="1:11" x14ac:dyDescent="0.3">
      <c r="A82" s="173">
        <v>50269</v>
      </c>
      <c r="B82" s="173" t="s">
        <v>495</v>
      </c>
      <c r="C82" s="173">
        <v>50</v>
      </c>
      <c r="D82" s="149" t="s">
        <v>50</v>
      </c>
    </row>
    <row r="83" spans="1:11" x14ac:dyDescent="0.3">
      <c r="A83" s="173">
        <v>50480</v>
      </c>
      <c r="B83" s="173" t="s">
        <v>496</v>
      </c>
      <c r="C83" s="173">
        <v>50</v>
      </c>
      <c r="D83" s="149" t="s">
        <v>50</v>
      </c>
    </row>
    <row r="84" spans="1:11" x14ac:dyDescent="0.3">
      <c r="A84" s="173">
        <v>50278</v>
      </c>
      <c r="B84" s="173" t="s">
        <v>497</v>
      </c>
      <c r="C84" s="173">
        <v>50</v>
      </c>
      <c r="D84" s="149" t="s">
        <v>50</v>
      </c>
    </row>
    <row r="85" spans="1:11" x14ac:dyDescent="0.3">
      <c r="A85" s="173">
        <v>50280</v>
      </c>
      <c r="B85" s="173" t="s">
        <v>498</v>
      </c>
      <c r="C85" s="173">
        <v>50</v>
      </c>
      <c r="D85" s="149" t="s">
        <v>50</v>
      </c>
    </row>
    <row r="86" spans="1:11" x14ac:dyDescent="0.3">
      <c r="A86" s="173">
        <v>50281</v>
      </c>
      <c r="B86" s="173" t="s">
        <v>499</v>
      </c>
      <c r="C86" s="173">
        <v>50</v>
      </c>
      <c r="D86" s="149" t="s">
        <v>50</v>
      </c>
    </row>
    <row r="87" spans="1:11" x14ac:dyDescent="0.3">
      <c r="A87" s="173">
        <v>50478</v>
      </c>
      <c r="B87" s="173" t="s">
        <v>500</v>
      </c>
      <c r="C87" s="173">
        <v>50</v>
      </c>
      <c r="D87" s="149" t="s">
        <v>50</v>
      </c>
    </row>
    <row r="88" spans="1:11" x14ac:dyDescent="0.3">
      <c r="A88" s="173">
        <v>50283</v>
      </c>
      <c r="B88" s="173" t="s">
        <v>502</v>
      </c>
      <c r="C88" s="173">
        <v>50</v>
      </c>
      <c r="D88" s="149" t="s">
        <v>50</v>
      </c>
    </row>
    <row r="89" spans="1:11" x14ac:dyDescent="0.3">
      <c r="A89" s="173">
        <v>50285</v>
      </c>
      <c r="B89" s="173" t="s">
        <v>503</v>
      </c>
      <c r="C89" s="173">
        <v>50</v>
      </c>
      <c r="D89" s="149" t="s">
        <v>50</v>
      </c>
    </row>
    <row r="90" spans="1:11" x14ac:dyDescent="0.3">
      <c r="A90" s="173">
        <v>50296</v>
      </c>
      <c r="B90" s="173" t="s">
        <v>506</v>
      </c>
      <c r="C90" s="173">
        <v>50</v>
      </c>
      <c r="D90" s="149" t="s">
        <v>50</v>
      </c>
    </row>
    <row r="91" spans="1:11" x14ac:dyDescent="0.3">
      <c r="A91" s="173">
        <v>50297</v>
      </c>
      <c r="B91" s="173" t="s">
        <v>507</v>
      </c>
      <c r="C91" s="173">
        <v>50</v>
      </c>
      <c r="D91" s="149" t="s">
        <v>50</v>
      </c>
    </row>
    <row r="92" spans="1:11" x14ac:dyDescent="0.3">
      <c r="A92" s="173">
        <v>50305</v>
      </c>
      <c r="B92" s="492" t="s">
        <v>766</v>
      </c>
      <c r="C92" s="173">
        <v>50</v>
      </c>
      <c r="D92" s="149" t="s">
        <v>50</v>
      </c>
      <c r="K92" s="492"/>
    </row>
    <row r="93" spans="1:11" x14ac:dyDescent="0.3">
      <c r="A93" s="173">
        <v>50479</v>
      </c>
      <c r="B93" s="173" t="s">
        <v>508</v>
      </c>
      <c r="C93" s="173">
        <v>50</v>
      </c>
      <c r="D93" s="149" t="s">
        <v>50</v>
      </c>
    </row>
    <row r="94" spans="1:11" x14ac:dyDescent="0.3">
      <c r="A94" s="173">
        <v>50307</v>
      </c>
      <c r="B94" s="173" t="s">
        <v>509</v>
      </c>
      <c r="C94" s="173">
        <v>50</v>
      </c>
      <c r="D94" s="149" t="s">
        <v>50</v>
      </c>
    </row>
    <row r="95" spans="1:11" x14ac:dyDescent="0.3">
      <c r="A95" s="173">
        <v>50310</v>
      </c>
      <c r="B95" s="173" t="s">
        <v>510</v>
      </c>
      <c r="C95" s="173">
        <v>50</v>
      </c>
      <c r="D95" s="149" t="s">
        <v>50</v>
      </c>
    </row>
    <row r="96" spans="1:11" x14ac:dyDescent="0.3">
      <c r="A96" s="173">
        <v>50311</v>
      </c>
      <c r="B96" s="173" t="s">
        <v>511</v>
      </c>
      <c r="C96" s="173">
        <v>50</v>
      </c>
      <c r="D96" s="149" t="s">
        <v>50</v>
      </c>
    </row>
    <row r="97" spans="1:11" x14ac:dyDescent="0.3">
      <c r="A97" s="173">
        <v>50314</v>
      </c>
      <c r="B97" s="173" t="s">
        <v>512</v>
      </c>
      <c r="C97" s="173">
        <v>50</v>
      </c>
      <c r="D97" s="149" t="s">
        <v>50</v>
      </c>
    </row>
    <row r="98" spans="1:11" x14ac:dyDescent="0.3">
      <c r="A98" s="173">
        <v>50316</v>
      </c>
      <c r="B98" s="173" t="s">
        <v>513</v>
      </c>
      <c r="C98" s="173">
        <v>50</v>
      </c>
      <c r="D98" s="149" t="s">
        <v>50</v>
      </c>
    </row>
    <row r="99" spans="1:11" x14ac:dyDescent="0.3">
      <c r="A99" s="173">
        <v>50318</v>
      </c>
      <c r="B99" s="173" t="s">
        <v>514</v>
      </c>
      <c r="C99" s="173">
        <v>50</v>
      </c>
      <c r="D99" s="149" t="s">
        <v>50</v>
      </c>
    </row>
    <row r="100" spans="1:11" x14ac:dyDescent="0.3">
      <c r="A100" s="173">
        <v>50323</v>
      </c>
      <c r="B100" s="173" t="s">
        <v>515</v>
      </c>
      <c r="C100" s="173">
        <v>50</v>
      </c>
      <c r="D100" s="149" t="s">
        <v>50</v>
      </c>
    </row>
    <row r="101" spans="1:11" x14ac:dyDescent="0.3">
      <c r="A101" s="173">
        <v>50321</v>
      </c>
      <c r="B101" s="173" t="s">
        <v>767</v>
      </c>
      <c r="C101" s="173">
        <v>50</v>
      </c>
      <c r="D101" s="149" t="s">
        <v>50</v>
      </c>
    </row>
    <row r="102" spans="1:11" x14ac:dyDescent="0.3">
      <c r="A102" s="173">
        <v>50325</v>
      </c>
      <c r="B102" s="173" t="s">
        <v>516</v>
      </c>
      <c r="C102" s="173">
        <v>50</v>
      </c>
      <c r="D102" s="149" t="s">
        <v>50</v>
      </c>
    </row>
    <row r="103" spans="1:11" x14ac:dyDescent="0.3">
      <c r="A103" s="173">
        <v>50327</v>
      </c>
      <c r="B103" s="173" t="s">
        <v>517</v>
      </c>
      <c r="C103" s="173">
        <v>50</v>
      </c>
      <c r="D103" s="149" t="s">
        <v>50</v>
      </c>
    </row>
    <row r="104" spans="1:11" x14ac:dyDescent="0.3">
      <c r="A104" s="173">
        <v>50328</v>
      </c>
      <c r="B104" s="173" t="s">
        <v>368</v>
      </c>
      <c r="C104" s="173">
        <v>50</v>
      </c>
      <c r="D104" s="149" t="s">
        <v>50</v>
      </c>
    </row>
    <row r="105" spans="1:11" x14ac:dyDescent="0.3">
      <c r="A105" s="173">
        <v>50332</v>
      </c>
      <c r="B105" s="173" t="s">
        <v>518</v>
      </c>
      <c r="C105" s="173">
        <v>50</v>
      </c>
      <c r="D105" s="149" t="s">
        <v>50</v>
      </c>
    </row>
    <row r="106" spans="1:11" x14ac:dyDescent="0.3">
      <c r="A106" s="173">
        <v>50334</v>
      </c>
      <c r="B106" s="492" t="s">
        <v>768</v>
      </c>
      <c r="C106" s="173">
        <v>50</v>
      </c>
      <c r="D106" s="149" t="s">
        <v>50</v>
      </c>
      <c r="K106" s="492"/>
    </row>
    <row r="107" spans="1:11" x14ac:dyDescent="0.3">
      <c r="A107" s="173">
        <v>50336</v>
      </c>
      <c r="B107" s="173" t="s">
        <v>769</v>
      </c>
      <c r="C107" s="173">
        <v>50</v>
      </c>
      <c r="D107" s="149" t="s">
        <v>50</v>
      </c>
    </row>
    <row r="108" spans="1:11" x14ac:dyDescent="0.3">
      <c r="A108" s="173">
        <v>50337</v>
      </c>
      <c r="B108" s="492" t="s">
        <v>770</v>
      </c>
      <c r="C108" s="173">
        <v>50</v>
      </c>
      <c r="D108" s="149" t="s">
        <v>50</v>
      </c>
      <c r="K108" s="492"/>
    </row>
    <row r="109" spans="1:11" x14ac:dyDescent="0.3">
      <c r="A109" s="173">
        <v>50338</v>
      </c>
      <c r="B109" s="492" t="s">
        <v>771</v>
      </c>
      <c r="C109" s="173">
        <v>50</v>
      </c>
      <c r="D109" s="149" t="s">
        <v>50</v>
      </c>
      <c r="K109" s="492"/>
    </row>
    <row r="110" spans="1:11" x14ac:dyDescent="0.3">
      <c r="A110" s="173">
        <v>50340</v>
      </c>
      <c r="B110" s="173" t="s">
        <v>772</v>
      </c>
      <c r="C110" s="173">
        <v>50</v>
      </c>
      <c r="D110" s="149" t="s">
        <v>50</v>
      </c>
    </row>
    <row r="111" spans="1:11" x14ac:dyDescent="0.3">
      <c r="A111" s="173">
        <v>50343</v>
      </c>
      <c r="B111" s="173" t="s">
        <v>519</v>
      </c>
      <c r="C111" s="173">
        <v>50</v>
      </c>
      <c r="D111" s="149" t="s">
        <v>50</v>
      </c>
    </row>
    <row r="112" spans="1:11" x14ac:dyDescent="0.3">
      <c r="A112" s="173">
        <v>50348</v>
      </c>
      <c r="B112" s="173" t="s">
        <v>521</v>
      </c>
      <c r="C112" s="173">
        <v>50</v>
      </c>
      <c r="D112" s="149" t="s">
        <v>50</v>
      </c>
    </row>
    <row r="113" spans="1:11" x14ac:dyDescent="0.3">
      <c r="A113" s="173">
        <v>50541</v>
      </c>
      <c r="B113" s="173" t="s">
        <v>522</v>
      </c>
      <c r="C113" s="173">
        <v>50</v>
      </c>
      <c r="D113" s="149" t="s">
        <v>50</v>
      </c>
    </row>
    <row r="114" spans="1:11" x14ac:dyDescent="0.3">
      <c r="A114" s="173">
        <v>50355</v>
      </c>
      <c r="B114" s="173" t="s">
        <v>523</v>
      </c>
      <c r="C114" s="173">
        <v>50</v>
      </c>
      <c r="D114" s="149" t="s">
        <v>50</v>
      </c>
    </row>
    <row r="115" spans="1:11" x14ac:dyDescent="0.3">
      <c r="A115" s="173">
        <v>50357</v>
      </c>
      <c r="B115" s="492" t="s">
        <v>773</v>
      </c>
      <c r="C115" s="173">
        <v>50</v>
      </c>
      <c r="D115" s="149" t="s">
        <v>50</v>
      </c>
      <c r="K115" s="492"/>
    </row>
    <row r="116" spans="1:11" x14ac:dyDescent="0.3">
      <c r="A116" s="173">
        <v>50360</v>
      </c>
      <c r="B116" s="173" t="s">
        <v>524</v>
      </c>
      <c r="C116" s="173">
        <v>50</v>
      </c>
      <c r="D116" s="149" t="s">
        <v>50</v>
      </c>
    </row>
    <row r="117" spans="1:11" x14ac:dyDescent="0.3">
      <c r="A117" s="173">
        <v>50370</v>
      </c>
      <c r="B117" s="173" t="s">
        <v>525</v>
      </c>
      <c r="C117" s="173">
        <v>50</v>
      </c>
      <c r="D117" s="149" t="s">
        <v>50</v>
      </c>
    </row>
    <row r="118" spans="1:11" x14ac:dyDescent="0.3">
      <c r="A118" s="173">
        <v>50374</v>
      </c>
      <c r="B118" s="173" t="s">
        <v>774</v>
      </c>
      <c r="C118" s="173">
        <v>50</v>
      </c>
      <c r="D118" s="149" t="s">
        <v>50</v>
      </c>
    </row>
    <row r="119" spans="1:11" x14ac:dyDescent="0.3">
      <c r="A119" s="173">
        <v>50483</v>
      </c>
      <c r="B119" s="173" t="s">
        <v>775</v>
      </c>
      <c r="C119" s="173">
        <v>50</v>
      </c>
      <c r="D119" s="149" t="s">
        <v>50</v>
      </c>
    </row>
    <row r="120" spans="1:11" x14ac:dyDescent="0.3">
      <c r="A120" s="173">
        <v>50386</v>
      </c>
      <c r="B120" s="173" t="s">
        <v>776</v>
      </c>
      <c r="C120" s="173">
        <v>50</v>
      </c>
      <c r="D120" s="149" t="s">
        <v>50</v>
      </c>
    </row>
    <row r="121" spans="1:11" x14ac:dyDescent="0.3">
      <c r="A121" s="173">
        <v>50389</v>
      </c>
      <c r="B121" s="173" t="s">
        <v>527</v>
      </c>
      <c r="C121" s="173">
        <v>50</v>
      </c>
      <c r="D121" s="149" t="s">
        <v>50</v>
      </c>
    </row>
    <row r="122" spans="1:11" x14ac:dyDescent="0.3">
      <c r="A122" s="173">
        <v>50500</v>
      </c>
      <c r="B122" s="173" t="s">
        <v>528</v>
      </c>
      <c r="C122" s="173">
        <v>50</v>
      </c>
      <c r="D122" s="149" t="s">
        <v>50</v>
      </c>
    </row>
    <row r="123" spans="1:11" x14ac:dyDescent="0.3">
      <c r="A123" s="173">
        <v>50390</v>
      </c>
      <c r="B123" s="492" t="s">
        <v>777</v>
      </c>
      <c r="C123" s="173">
        <v>50</v>
      </c>
      <c r="D123" s="149" t="s">
        <v>50</v>
      </c>
      <c r="K123" s="492"/>
    </row>
    <row r="124" spans="1:11" x14ac:dyDescent="0.3">
      <c r="A124" s="173">
        <v>50396</v>
      </c>
      <c r="B124" s="173" t="s">
        <v>529</v>
      </c>
      <c r="C124" s="173">
        <v>50</v>
      </c>
      <c r="D124" s="149" t="s">
        <v>50</v>
      </c>
    </row>
    <row r="125" spans="1:11" x14ac:dyDescent="0.3">
      <c r="A125" s="173">
        <v>50399</v>
      </c>
      <c r="B125" s="173" t="s">
        <v>531</v>
      </c>
      <c r="C125" s="173">
        <v>50</v>
      </c>
      <c r="D125" s="149" t="s">
        <v>50</v>
      </c>
    </row>
    <row r="126" spans="1:11" x14ac:dyDescent="0.3">
      <c r="A126" s="173">
        <v>50401</v>
      </c>
      <c r="B126" s="173" t="s">
        <v>532</v>
      </c>
      <c r="C126" s="173">
        <v>50</v>
      </c>
      <c r="D126" s="149" t="s">
        <v>50</v>
      </c>
    </row>
    <row r="127" spans="1:11" x14ac:dyDescent="0.3">
      <c r="A127" s="173">
        <v>50402</v>
      </c>
      <c r="B127" s="492" t="s">
        <v>778</v>
      </c>
      <c r="C127" s="173">
        <v>50</v>
      </c>
      <c r="D127" s="149" t="s">
        <v>50</v>
      </c>
      <c r="K127" s="492"/>
    </row>
    <row r="128" spans="1:11" x14ac:dyDescent="0.3">
      <c r="A128" s="173">
        <v>50486</v>
      </c>
      <c r="B128" s="173" t="s">
        <v>779</v>
      </c>
      <c r="C128" s="173">
        <v>50</v>
      </c>
      <c r="D128" s="149" t="s">
        <v>50</v>
      </c>
    </row>
    <row r="129" spans="1:11" x14ac:dyDescent="0.3">
      <c r="A129" s="173">
        <v>50409</v>
      </c>
      <c r="B129" s="173" t="s">
        <v>780</v>
      </c>
      <c r="C129" s="173">
        <v>50</v>
      </c>
      <c r="D129" s="149" t="s">
        <v>50</v>
      </c>
    </row>
    <row r="130" spans="1:11" x14ac:dyDescent="0.3">
      <c r="A130" s="173">
        <v>50420</v>
      </c>
      <c r="B130" s="173" t="s">
        <v>533</v>
      </c>
      <c r="C130" s="173">
        <v>50</v>
      </c>
      <c r="D130" s="149" t="s">
        <v>50</v>
      </c>
    </row>
    <row r="131" spans="1:11" x14ac:dyDescent="0.3">
      <c r="A131" s="173">
        <v>50421</v>
      </c>
      <c r="B131" s="492" t="s">
        <v>781</v>
      </c>
      <c r="C131" s="173">
        <v>50</v>
      </c>
      <c r="D131" s="149" t="s">
        <v>50</v>
      </c>
      <c r="K131" s="492"/>
    </row>
    <row r="132" spans="1:11" x14ac:dyDescent="0.3">
      <c r="A132" s="173">
        <v>50423</v>
      </c>
      <c r="B132" s="173" t="s">
        <v>534</v>
      </c>
      <c r="C132" s="173">
        <v>50</v>
      </c>
      <c r="D132" s="149" t="s">
        <v>50</v>
      </c>
    </row>
    <row r="133" spans="1:11" x14ac:dyDescent="0.3">
      <c r="A133" s="173">
        <v>50432</v>
      </c>
      <c r="B133" s="492" t="s">
        <v>782</v>
      </c>
      <c r="C133" s="173">
        <v>50</v>
      </c>
      <c r="D133" s="149" t="s">
        <v>50</v>
      </c>
      <c r="K133" s="492"/>
    </row>
    <row r="134" spans="1:11" x14ac:dyDescent="0.3">
      <c r="A134" s="173">
        <v>50499</v>
      </c>
      <c r="B134" s="492" t="s">
        <v>783</v>
      </c>
      <c r="C134" s="173">
        <v>50</v>
      </c>
      <c r="D134" s="149" t="s">
        <v>50</v>
      </c>
      <c r="K134" s="492"/>
    </row>
    <row r="135" spans="1:11" x14ac:dyDescent="0.3">
      <c r="A135" s="173">
        <v>5103</v>
      </c>
      <c r="B135" s="173" t="s">
        <v>445</v>
      </c>
      <c r="C135" s="173">
        <v>51</v>
      </c>
      <c r="D135" s="149" t="s">
        <v>50</v>
      </c>
    </row>
    <row r="136" spans="1:11" x14ac:dyDescent="0.3">
      <c r="A136" s="173">
        <v>5107</v>
      </c>
      <c r="B136" s="173" t="s">
        <v>451</v>
      </c>
      <c r="C136" s="173">
        <v>51</v>
      </c>
      <c r="D136" s="149" t="s">
        <v>50</v>
      </c>
    </row>
    <row r="137" spans="1:11" x14ac:dyDescent="0.3">
      <c r="A137" s="173">
        <v>5116</v>
      </c>
      <c r="B137" s="492" t="s">
        <v>784</v>
      </c>
      <c r="C137" s="173">
        <v>51</v>
      </c>
      <c r="D137" s="149" t="s">
        <v>50</v>
      </c>
      <c r="K137" s="492"/>
    </row>
    <row r="138" spans="1:11" x14ac:dyDescent="0.3">
      <c r="A138" s="173">
        <v>5119</v>
      </c>
      <c r="B138" s="492" t="s">
        <v>785</v>
      </c>
      <c r="C138" s="173">
        <v>51</v>
      </c>
      <c r="D138" s="149" t="s">
        <v>50</v>
      </c>
      <c r="K138" s="492"/>
    </row>
    <row r="139" spans="1:11" x14ac:dyDescent="0.3">
      <c r="A139" s="173">
        <v>5123</v>
      </c>
      <c r="B139" s="173" t="s">
        <v>786</v>
      </c>
      <c r="C139" s="173">
        <v>51</v>
      </c>
      <c r="D139" s="149" t="s">
        <v>50</v>
      </c>
    </row>
    <row r="140" spans="1:11" x14ac:dyDescent="0.3">
      <c r="A140" s="173">
        <v>5129</v>
      </c>
      <c r="B140" s="492" t="s">
        <v>787</v>
      </c>
      <c r="C140" s="173">
        <v>51</v>
      </c>
      <c r="D140" s="149" t="s">
        <v>50</v>
      </c>
      <c r="K140" s="492"/>
    </row>
    <row r="141" spans="1:11" x14ac:dyDescent="0.3">
      <c r="A141" s="173">
        <v>5132</v>
      </c>
      <c r="B141" s="173" t="s">
        <v>468</v>
      </c>
      <c r="C141" s="173">
        <v>51</v>
      </c>
      <c r="D141" s="149" t="s">
        <v>50</v>
      </c>
    </row>
    <row r="142" spans="1:11" x14ac:dyDescent="0.3">
      <c r="A142" s="173">
        <v>5137</v>
      </c>
      <c r="B142" s="173" t="s">
        <v>788</v>
      </c>
      <c r="C142" s="173">
        <v>51</v>
      </c>
      <c r="D142" s="149" t="s">
        <v>50</v>
      </c>
    </row>
    <row r="143" spans="1:11" x14ac:dyDescent="0.3">
      <c r="A143" s="173">
        <v>5147</v>
      </c>
      <c r="B143" s="173" t="s">
        <v>491</v>
      </c>
      <c r="C143" s="173">
        <v>51</v>
      </c>
      <c r="D143" s="149" t="s">
        <v>50</v>
      </c>
    </row>
    <row r="144" spans="1:11" x14ac:dyDescent="0.3">
      <c r="A144" s="173">
        <v>5156</v>
      </c>
      <c r="B144" s="173" t="s">
        <v>492</v>
      </c>
      <c r="C144" s="173">
        <v>51</v>
      </c>
      <c r="D144" s="149" t="s">
        <v>50</v>
      </c>
    </row>
    <row r="145" spans="1:11" x14ac:dyDescent="0.3">
      <c r="A145" s="173">
        <v>5157</v>
      </c>
      <c r="B145" s="173" t="s">
        <v>789</v>
      </c>
      <c r="C145" s="173">
        <v>51</v>
      </c>
      <c r="D145" s="149" t="s">
        <v>50</v>
      </c>
    </row>
    <row r="146" spans="1:11" x14ac:dyDescent="0.3">
      <c r="A146" s="173">
        <v>5165</v>
      </c>
      <c r="B146" s="173" t="s">
        <v>501</v>
      </c>
      <c r="C146" s="173">
        <v>51</v>
      </c>
      <c r="D146" s="149" t="s">
        <v>50</v>
      </c>
    </row>
    <row r="147" spans="1:11" x14ac:dyDescent="0.3">
      <c r="A147" s="173">
        <v>5167</v>
      </c>
      <c r="B147" s="173" t="s">
        <v>504</v>
      </c>
      <c r="C147" s="173">
        <v>51</v>
      </c>
      <c r="D147" s="149" t="s">
        <v>50</v>
      </c>
    </row>
    <row r="148" spans="1:11" x14ac:dyDescent="0.3">
      <c r="A148" s="173">
        <v>5170</v>
      </c>
      <c r="B148" s="173" t="s">
        <v>505</v>
      </c>
      <c r="C148" s="173">
        <v>51</v>
      </c>
      <c r="D148" s="149" t="s">
        <v>50</v>
      </c>
    </row>
    <row r="149" spans="1:11" x14ac:dyDescent="0.3">
      <c r="A149" s="173">
        <v>5172</v>
      </c>
      <c r="B149" s="173" t="s">
        <v>790</v>
      </c>
      <c r="C149" s="173">
        <v>51</v>
      </c>
      <c r="D149" s="149" t="s">
        <v>50</v>
      </c>
    </row>
    <row r="150" spans="1:11" x14ac:dyDescent="0.3">
      <c r="A150" s="173">
        <v>5182</v>
      </c>
      <c r="B150" s="173" t="s">
        <v>520</v>
      </c>
      <c r="C150" s="173">
        <v>51</v>
      </c>
      <c r="D150" s="149" t="s">
        <v>50</v>
      </c>
    </row>
    <row r="151" spans="1:11" x14ac:dyDescent="0.3">
      <c r="A151" s="173">
        <v>5188</v>
      </c>
      <c r="B151" s="173" t="s">
        <v>530</v>
      </c>
      <c r="C151" s="173">
        <v>51</v>
      </c>
      <c r="D151" s="149" t="s">
        <v>50</v>
      </c>
    </row>
    <row r="152" spans="1:11" x14ac:dyDescent="0.3">
      <c r="A152" s="173">
        <v>591706</v>
      </c>
      <c r="B152" s="493" t="s">
        <v>791</v>
      </c>
      <c r="C152" s="173">
        <v>59</v>
      </c>
      <c r="D152" s="149" t="s">
        <v>50</v>
      </c>
      <c r="K152" s="493"/>
    </row>
    <row r="153" spans="1:11" x14ac:dyDescent="0.3">
      <c r="A153" s="173">
        <v>591612</v>
      </c>
      <c r="B153" s="493" t="s">
        <v>792</v>
      </c>
      <c r="C153" s="173">
        <v>59</v>
      </c>
      <c r="D153" s="149" t="s">
        <v>50</v>
      </c>
      <c r="K153" s="493"/>
    </row>
    <row r="154" spans="1:11" x14ac:dyDescent="0.3">
      <c r="A154" s="173">
        <v>591604</v>
      </c>
      <c r="B154" s="173" t="s">
        <v>460</v>
      </c>
      <c r="C154" s="173">
        <v>59</v>
      </c>
      <c r="D154" s="149" t="s">
        <v>50</v>
      </c>
    </row>
    <row r="155" spans="1:11" x14ac:dyDescent="0.3">
      <c r="A155" s="173">
        <v>591632</v>
      </c>
      <c r="B155" s="492" t="s">
        <v>472</v>
      </c>
      <c r="C155" s="173">
        <v>59</v>
      </c>
      <c r="D155" s="149" t="s">
        <v>50</v>
      </c>
      <c r="K155" s="492"/>
    </row>
    <row r="156" spans="1:11" x14ac:dyDescent="0.3">
      <c r="A156" s="173">
        <v>591607</v>
      </c>
      <c r="B156" s="173" t="s">
        <v>477</v>
      </c>
      <c r="C156" s="173">
        <v>59</v>
      </c>
      <c r="D156" s="149" t="s">
        <v>50</v>
      </c>
    </row>
    <row r="157" spans="1:11" x14ac:dyDescent="0.3">
      <c r="A157" s="173">
        <v>591613</v>
      </c>
      <c r="B157" s="173" t="s">
        <v>793</v>
      </c>
      <c r="C157" s="173">
        <v>59</v>
      </c>
      <c r="D157" s="149" t="s">
        <v>50</v>
      </c>
    </row>
    <row r="158" spans="1:11" x14ac:dyDescent="0.3">
      <c r="A158" s="173">
        <v>591616</v>
      </c>
      <c r="B158" s="492" t="s">
        <v>794</v>
      </c>
      <c r="C158" s="173">
        <v>59</v>
      </c>
      <c r="D158" s="149" t="s">
        <v>50</v>
      </c>
      <c r="K158" s="492"/>
    </row>
    <row r="159" spans="1:11" x14ac:dyDescent="0.3">
      <c r="A159" s="173">
        <v>592368</v>
      </c>
      <c r="B159" s="173" t="s">
        <v>526</v>
      </c>
      <c r="C159" s="173">
        <v>59</v>
      </c>
      <c r="D159" s="149" t="s">
        <v>50</v>
      </c>
    </row>
    <row r="160" spans="1:11" x14ac:dyDescent="0.3">
      <c r="A160" s="173">
        <v>591633</v>
      </c>
      <c r="B160" s="492" t="s">
        <v>795</v>
      </c>
      <c r="C160" s="173">
        <v>59</v>
      </c>
      <c r="D160" s="149" t="s">
        <v>50</v>
      </c>
      <c r="K160" s="492"/>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E703"/>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E221" sqref="E221"/>
    </sheetView>
  </sheetViews>
  <sheetFormatPr defaultColWidth="9.109375" defaultRowHeight="14.4" x14ac:dyDescent="0.3"/>
  <cols>
    <col min="1" max="1" width="8.88671875" style="3" customWidth="1"/>
    <col min="2" max="2" width="17.5546875" style="45" bestFit="1" customWidth="1"/>
    <col min="3" max="3" width="40.44140625" style="334" customWidth="1"/>
    <col min="4" max="4" width="20.88671875" style="3" bestFit="1" customWidth="1"/>
    <col min="5" max="5" width="17.5546875" style="3" customWidth="1"/>
    <col min="6" max="6" width="22.6640625" style="3" customWidth="1"/>
    <col min="7" max="7" width="17.44140625" style="248" customWidth="1"/>
    <col min="8" max="8" width="9.6640625" style="3" customWidth="1"/>
    <col min="9" max="9" width="1" style="279" customWidth="1"/>
    <col min="10" max="10" width="18.109375" style="5" customWidth="1"/>
    <col min="11" max="11" width="36.88671875" style="9" customWidth="1"/>
    <col min="12" max="12" width="23.44140625" style="341" customWidth="1"/>
    <col min="13" max="13" width="8.44140625" customWidth="1"/>
    <col min="14" max="14" width="18.109375" style="3" customWidth="1"/>
    <col min="15" max="15" width="17.88671875" style="3" customWidth="1"/>
    <col min="16" max="16" width="9.109375" style="184" customWidth="1"/>
    <col min="17" max="17" width="10.33203125" style="250"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customWidth="1"/>
    <col min="24" max="24" width="10.5546875" customWidth="1"/>
    <col min="25" max="25" width="9.88671875" customWidth="1"/>
    <col min="26" max="26" width="9.109375" customWidth="1"/>
    <col min="32" max="16384" width="9.109375" style="3"/>
  </cols>
  <sheetData>
    <row r="1" spans="1:31" ht="36" x14ac:dyDescent="0.3">
      <c r="C1" s="42" t="s">
        <v>383</v>
      </c>
      <c r="D1" s="13">
        <f>L53-(L41+L42-L46-L47-L188)-L50</f>
        <v>0</v>
      </c>
      <c r="I1" s="249"/>
      <c r="J1" s="41"/>
      <c r="K1" s="14" t="s">
        <v>46</v>
      </c>
      <c r="L1" s="55"/>
      <c r="S1" s="3">
        <v>100</v>
      </c>
      <c r="T1" s="3">
        <v>1</v>
      </c>
    </row>
    <row r="2" spans="1:31" ht="36" x14ac:dyDescent="0.4">
      <c r="C2" s="66" t="str">
        <f>'Unit Data from Audit Worksheet'!D2</f>
        <v>Select Unit Name from Drop Down List</v>
      </c>
      <c r="D2" s="130">
        <v>2023</v>
      </c>
      <c r="E2" s="12">
        <v>2023</v>
      </c>
      <c r="F2" s="12"/>
      <c r="G2" s="62"/>
      <c r="H2" s="12"/>
      <c r="I2" s="249"/>
      <c r="J2" s="36" t="s">
        <v>42</v>
      </c>
      <c r="K2" s="8" t="s">
        <v>41</v>
      </c>
      <c r="L2" s="60" t="s">
        <v>30</v>
      </c>
      <c r="S2" s="3">
        <v>200</v>
      </c>
      <c r="T2" s="3">
        <v>2</v>
      </c>
    </row>
    <row r="3" spans="1:31" ht="31.2" x14ac:dyDescent="0.3">
      <c r="A3" s="251" t="s">
        <v>42</v>
      </c>
      <c r="B3" s="252"/>
      <c r="C3" s="39" t="s">
        <v>1</v>
      </c>
      <c r="D3" s="15" t="s">
        <v>43</v>
      </c>
      <c r="E3" s="15" t="s">
        <v>44</v>
      </c>
      <c r="F3" s="16" t="s">
        <v>48</v>
      </c>
      <c r="G3" s="67" t="s">
        <v>288</v>
      </c>
      <c r="H3" s="16" t="s">
        <v>322</v>
      </c>
      <c r="I3" s="249"/>
      <c r="J3" s="253"/>
      <c r="K3" s="131"/>
      <c r="L3" s="254"/>
      <c r="O3" s="3" t="s">
        <v>257</v>
      </c>
      <c r="Q3" s="77" t="s">
        <v>289</v>
      </c>
      <c r="S3" s="3">
        <v>300</v>
      </c>
      <c r="T3" s="3">
        <v>3</v>
      </c>
    </row>
    <row r="4" spans="1:31" ht="18" x14ac:dyDescent="0.35">
      <c r="A4" s="255"/>
      <c r="B4" s="256"/>
      <c r="C4" s="43"/>
      <c r="D4" s="7"/>
      <c r="E4" s="7"/>
      <c r="F4" s="7"/>
      <c r="G4" s="63"/>
      <c r="H4" s="7"/>
      <c r="I4" s="249"/>
      <c r="J4" s="38">
        <v>999</v>
      </c>
      <c r="K4" s="11" t="s">
        <v>254</v>
      </c>
      <c r="L4" s="679" t="e">
        <f>'Unit Data from Audit Worksheet'!D3</f>
        <v>#N/A</v>
      </c>
      <c r="S4" s="3">
        <v>400</v>
      </c>
      <c r="T4" s="3">
        <v>4</v>
      </c>
    </row>
    <row r="5" spans="1:31" ht="57" customHeight="1" x14ac:dyDescent="0.3">
      <c r="A5" s="257">
        <f>'Unit Data from Audit Worksheet'!A9</f>
        <v>333</v>
      </c>
      <c r="B5" s="47" t="str">
        <f>'Unit Data from Audit Worksheet'!C9</f>
        <v>Net Position-Governmental Activities</v>
      </c>
      <c r="C5" s="258" t="str">
        <f>'Unit Data from Audit Worksheet'!D9</f>
        <v xml:space="preserve"> All unrestricted Cash and investments.  
Exclude: restricted cash 
                   cash held by a third party. </v>
      </c>
      <c r="D5" s="129"/>
      <c r="E5" s="136">
        <f>'Unit Data from Audit Worksheet'!F9</f>
        <v>0</v>
      </c>
      <c r="F5" s="219">
        <f>IF(L5&lt;0,"Error: Number is normally positive.",)</f>
        <v>0</v>
      </c>
      <c r="G5" s="64"/>
      <c r="H5" s="218"/>
      <c r="I5" s="31"/>
      <c r="J5" s="35">
        <v>333</v>
      </c>
      <c r="K5" s="44" t="s">
        <v>152</v>
      </c>
      <c r="L5" s="259">
        <f>IF(D5="",E5,D5)</f>
        <v>0</v>
      </c>
      <c r="P5" s="191"/>
    </row>
    <row r="6" spans="1:31" ht="39.75" customHeight="1" x14ac:dyDescent="0.3">
      <c r="A6" s="207">
        <f>'Unit Data from Audit Worksheet'!A10</f>
        <v>500</v>
      </c>
      <c r="B6" s="220" t="str">
        <f>'Unit Data from Audit Worksheet'!C10</f>
        <v>Net Position-Governmental Activities</v>
      </c>
      <c r="C6" s="206" t="str">
        <f>'Unit Data from Audit Worksheet'!D10</f>
        <v xml:space="preserve"> All restricted Cash and investments</v>
      </c>
      <c r="D6" s="129"/>
      <c r="E6" s="226">
        <f>'Unit Data from Audit Worksheet'!F10</f>
        <v>0</v>
      </c>
      <c r="F6" s="219">
        <f>IF(L6&lt;0,"Error: Number is normally positive.",)</f>
        <v>0</v>
      </c>
      <c r="G6" s="221"/>
      <c r="H6" s="218"/>
      <c r="I6" s="31"/>
      <c r="J6" s="217">
        <v>500</v>
      </c>
      <c r="K6" s="216" t="s">
        <v>151</v>
      </c>
      <c r="L6" s="259">
        <f>IF(D6="",E6,D6)</f>
        <v>0</v>
      </c>
      <c r="P6" s="192"/>
    </row>
    <row r="7" spans="1:31" ht="43.5" customHeight="1" x14ac:dyDescent="0.3">
      <c r="A7" s="207">
        <f>'Unit Data from Audit Worksheet'!A11</f>
        <v>385</v>
      </c>
      <c r="B7" s="220" t="str">
        <f>'Unit Data from Audit Worksheet'!C11</f>
        <v>Net Position-Governmental Activities</v>
      </c>
      <c r="C7" s="206" t="str">
        <f>'Unit Data from Audit Worksheet'!D11</f>
        <v>Total Assets and deferred outflows</v>
      </c>
      <c r="D7" s="129"/>
      <c r="E7" s="226">
        <f>'Unit Data from Audit Worksheet'!F11</f>
        <v>0</v>
      </c>
      <c r="F7" s="122">
        <f>IF((L5+L6)&gt;L7,"Error: Please review accts (333 + 500) &gt; 385",)</f>
        <v>0</v>
      </c>
      <c r="G7" s="221" t="str">
        <f>IF(Q7=1," Included in error count"," ")</f>
        <v xml:space="preserve"> </v>
      </c>
      <c r="H7" s="218"/>
      <c r="I7" s="31"/>
      <c r="J7" s="68">
        <v>385</v>
      </c>
      <c r="K7" s="69" t="s">
        <v>85</v>
      </c>
      <c r="L7" s="260">
        <f>IF(D7="",E7,D7)+IF(D9="",E9,D9)</f>
        <v>0</v>
      </c>
      <c r="N7" s="70" t="s">
        <v>275</v>
      </c>
      <c r="P7" s="192"/>
    </row>
    <row r="8" spans="1:31" ht="90.75" customHeight="1" x14ac:dyDescent="0.3">
      <c r="A8" s="207">
        <f>'Unit Data from Audit Worksheet'!A12</f>
        <v>575</v>
      </c>
      <c r="B8" s="220" t="str">
        <f>'Unit Data from Audit Worksheet'!C12</f>
        <v>Net Position-Governmental Activities</v>
      </c>
      <c r="C8" s="206" t="str">
        <f>'Unit Data from Audit Worksheet'!D12</f>
        <v>Record any positive Internal balances on the net position statements that appear in the Asset Section of the Net Position Statement</v>
      </c>
      <c r="D8" s="129"/>
      <c r="E8" s="226">
        <f>'Unit Data from Audit Worksheet'!F12</f>
        <v>0</v>
      </c>
      <c r="F8" s="219">
        <f>IF(L8&lt;0,"Error: Number is normally positive.",)</f>
        <v>0</v>
      </c>
      <c r="G8" s="221"/>
      <c r="H8" s="218"/>
      <c r="I8" s="31"/>
      <c r="J8" s="217">
        <v>575</v>
      </c>
      <c r="K8" s="223" t="s">
        <v>278</v>
      </c>
      <c r="L8" s="259">
        <f>IF(D8="",E8,D8)</f>
        <v>0</v>
      </c>
      <c r="N8" s="56"/>
      <c r="P8" s="192"/>
    </row>
    <row r="9" spans="1:31" ht="103.5" customHeight="1" x14ac:dyDescent="0.3">
      <c r="A9" s="207">
        <f>'Unit Data from Audit Worksheet'!A13</f>
        <v>576</v>
      </c>
      <c r="B9" s="220" t="str">
        <f>'Unit Data from Audit Worksheet'!C13</f>
        <v>Net Position-Governmental Activities</v>
      </c>
      <c r="C9" s="261" t="str">
        <f>'Unit Data from Audit Worksheet'!D13</f>
        <v>Record any negative Internal balances on the net position statements that appear in the Asset Section of the Net Position Statement.
Enter as a positive</v>
      </c>
      <c r="D9" s="100"/>
      <c r="E9" s="139">
        <f>'Unit Data from Audit Worksheet'!F13</f>
        <v>0</v>
      </c>
      <c r="F9" s="215">
        <f>IF(L9&lt;0,"Error: Enter as positive.",)</f>
        <v>0</v>
      </c>
      <c r="G9" s="102"/>
      <c r="H9" s="103"/>
      <c r="I9" s="31"/>
      <c r="J9" s="95">
        <v>576</v>
      </c>
      <c r="K9" s="223" t="s">
        <v>279</v>
      </c>
      <c r="L9" s="259">
        <f>IF(D9="",E9,D9)</f>
        <v>0</v>
      </c>
      <c r="N9" s="56"/>
      <c r="P9" s="193"/>
    </row>
    <row r="10" spans="1:31" s="18" customFormat="1" ht="100.5" customHeight="1" x14ac:dyDescent="0.3">
      <c r="A10" s="207">
        <f>'Unit Data from Audit Worksheet'!A14</f>
        <v>626</v>
      </c>
      <c r="B10" s="212" t="str">
        <f>'Unit Data from Audit Worksheet'!C14</f>
        <v>Net Position-Governmental Activities</v>
      </c>
      <c r="C10" s="211" t="str">
        <f>'Unit Data from Audit Worksheet'!D14</f>
        <v xml:space="preserve">Total Current liabilities (as reported on Statement of Net Position)
Include:   Current liabilities including current portion of long-term debt.  Deferred inflows should not be included in Current Liabilities  </v>
      </c>
      <c r="D10" s="100"/>
      <c r="E10" s="228">
        <f>'Unit Data from Audit Worksheet'!F14</f>
        <v>0</v>
      </c>
      <c r="F10" s="214">
        <f>IF(L10&lt;0,"Error: Enter as a positive.",)</f>
        <v>0</v>
      </c>
      <c r="G10" s="203"/>
      <c r="H10" s="214"/>
      <c r="I10" s="31"/>
      <c r="J10" s="644">
        <v>626</v>
      </c>
      <c r="K10" s="645" t="s">
        <v>349</v>
      </c>
      <c r="L10" s="646">
        <f>IF(D10="",E10,D10)+IF(D9="",E9,D9)</f>
        <v>0</v>
      </c>
      <c r="M10"/>
      <c r="N10" s="161" t="s">
        <v>275</v>
      </c>
      <c r="O10" s="262"/>
      <c r="P10" s="194"/>
      <c r="Q10" s="263"/>
      <c r="R10" s="3"/>
      <c r="W10"/>
      <c r="X10"/>
      <c r="Y10"/>
      <c r="Z10"/>
      <c r="AA10"/>
      <c r="AB10"/>
      <c r="AC10"/>
      <c r="AD10"/>
      <c r="AE10"/>
    </row>
    <row r="11" spans="1:31" s="18" customFormat="1" ht="86.25" customHeight="1" x14ac:dyDescent="0.3">
      <c r="A11" s="207">
        <f>'Unit Data from Audit Worksheet'!A15</f>
        <v>627</v>
      </c>
      <c r="B11" s="212" t="str">
        <f>'Unit Data from Audit Worksheet'!C15</f>
        <v>Net Position-Governmental Activities</v>
      </c>
      <c r="C11" s="211" t="str">
        <f>'Unit Data from Audit Worksheet'!D15</f>
        <v>Please enter any bond anticipation notes that are classified as current liabilities and included in account 626 above (amounts entered should agree to the current amount included in the changes to long-term debt note)</v>
      </c>
      <c r="D11" s="100"/>
      <c r="E11" s="228">
        <f>'Unit Data from Audit Worksheet'!F15</f>
        <v>0</v>
      </c>
      <c r="F11" s="214"/>
      <c r="G11" s="203"/>
      <c r="H11" s="214"/>
      <c r="I11" s="31"/>
      <c r="J11" s="213">
        <v>627</v>
      </c>
      <c r="K11" s="189" t="s">
        <v>341</v>
      </c>
      <c r="L11" s="265">
        <f t="shared" ref="L11:L16" si="0">IF(D11="",E11,D11)</f>
        <v>0</v>
      </c>
      <c r="M11"/>
      <c r="N11" s="160"/>
      <c r="O11" s="262"/>
      <c r="P11" s="194"/>
      <c r="Q11" s="263"/>
      <c r="R11" s="3"/>
      <c r="W11"/>
      <c r="X11"/>
      <c r="Y11"/>
      <c r="Z11"/>
      <c r="AA11"/>
      <c r="AB11"/>
      <c r="AC11"/>
      <c r="AD11"/>
      <c r="AE11"/>
    </row>
    <row r="12" spans="1:31" s="18" customFormat="1" ht="86.25" customHeight="1" x14ac:dyDescent="0.3">
      <c r="A12" s="207">
        <f>'Unit Data from Audit Worksheet'!A16</f>
        <v>628</v>
      </c>
      <c r="B12" s="212" t="str">
        <f>'Unit Data from Audit Worksheet'!C16</f>
        <v>Net Position-Governmental Activities</v>
      </c>
      <c r="C12" s="211" t="str">
        <f>'Unit Data from Audit Worksheet'!D16</f>
        <v>Please enter any compensated absences that are classified as current liabilities and included in account 626 above (amounts entered should agree to the current amount included in the changes to long-term debt note)</v>
      </c>
      <c r="D12" s="100"/>
      <c r="E12" s="228">
        <f>'Unit Data from Audit Worksheet'!F16</f>
        <v>0</v>
      </c>
      <c r="F12" s="214"/>
      <c r="G12" s="203"/>
      <c r="H12" s="214"/>
      <c r="I12" s="31"/>
      <c r="J12" s="213">
        <v>628</v>
      </c>
      <c r="K12" s="189" t="s">
        <v>346</v>
      </c>
      <c r="L12" s="265">
        <f t="shared" si="0"/>
        <v>0</v>
      </c>
      <c r="M12"/>
      <c r="N12" s="160"/>
      <c r="O12" s="262"/>
      <c r="P12" s="194"/>
      <c r="Q12" s="263"/>
      <c r="R12" s="3"/>
      <c r="W12"/>
      <c r="X12"/>
      <c r="Y12"/>
      <c r="Z12"/>
      <c r="AA12"/>
      <c r="AB12"/>
      <c r="AC12"/>
      <c r="AD12"/>
      <c r="AE12"/>
    </row>
    <row r="13" spans="1:31" s="18" customFormat="1" ht="93" customHeight="1" x14ac:dyDescent="0.3">
      <c r="A13" s="207">
        <f>'Unit Data from Audit Worksheet'!A17</f>
        <v>629</v>
      </c>
      <c r="B13" s="212" t="str">
        <f>'Unit Data from Audit Worksheet'!C17</f>
        <v>Net Position-Governmental Activities</v>
      </c>
      <c r="C13" s="211" t="str">
        <f>'Unit Data from Audit Worksheet'!D17</f>
        <v>Please enter any pension liabilities that are classified as current liabilities and included in account 626 above (amounts entered should agree to the current amount included in the changes to long-term debt note)</v>
      </c>
      <c r="D13" s="100"/>
      <c r="E13" s="228">
        <f>'Unit Data from Audit Worksheet'!F17</f>
        <v>0</v>
      </c>
      <c r="F13" s="214"/>
      <c r="G13" s="203"/>
      <c r="H13" s="214"/>
      <c r="I13" s="31"/>
      <c r="J13" s="213">
        <v>629</v>
      </c>
      <c r="K13" s="189" t="s">
        <v>345</v>
      </c>
      <c r="L13" s="265">
        <f t="shared" si="0"/>
        <v>0</v>
      </c>
      <c r="M13"/>
      <c r="N13" s="160"/>
      <c r="O13" s="262"/>
      <c r="P13" s="194"/>
      <c r="Q13" s="263"/>
      <c r="R13" s="3"/>
      <c r="W13"/>
      <c r="X13"/>
      <c r="Y13"/>
      <c r="Z13"/>
      <c r="AA13"/>
      <c r="AB13"/>
      <c r="AC13"/>
      <c r="AD13"/>
      <c r="AE13"/>
    </row>
    <row r="14" spans="1:31" s="18" customFormat="1" ht="67.5" customHeight="1" x14ac:dyDescent="0.3">
      <c r="A14" s="207">
        <f>'Unit Data from Audit Worksheet'!A18</f>
        <v>630</v>
      </c>
      <c r="B14" s="212" t="str">
        <f>'Unit Data from Audit Worksheet'!C18</f>
        <v>Net Position-Governmental Activities</v>
      </c>
      <c r="C14" s="211" t="str">
        <f>'Unit Data from Audit Worksheet'!D18</f>
        <v>Please enter any current liabilities that are payable from restricted assets and included in account 626 above</v>
      </c>
      <c r="D14" s="100"/>
      <c r="E14" s="228">
        <f>'Unit Data from Audit Worksheet'!F18</f>
        <v>0</v>
      </c>
      <c r="F14" s="214"/>
      <c r="G14" s="203"/>
      <c r="H14" s="214"/>
      <c r="I14" s="31"/>
      <c r="J14" s="213">
        <v>630</v>
      </c>
      <c r="K14" s="189" t="s">
        <v>344</v>
      </c>
      <c r="L14" s="265">
        <f t="shared" si="0"/>
        <v>0</v>
      </c>
      <c r="M14"/>
      <c r="N14" s="160"/>
      <c r="O14" s="262"/>
      <c r="P14" s="194"/>
      <c r="Q14" s="263"/>
      <c r="R14" s="3"/>
      <c r="W14"/>
      <c r="X14"/>
      <c r="Y14"/>
      <c r="Z14"/>
      <c r="AA14"/>
      <c r="AB14"/>
      <c r="AC14"/>
      <c r="AD14"/>
      <c r="AE14"/>
    </row>
    <row r="15" spans="1:31" s="18" customFormat="1" ht="102.75" customHeight="1" x14ac:dyDescent="0.3">
      <c r="A15" s="207">
        <f>'Unit Data from Audit Worksheet'!A19</f>
        <v>631</v>
      </c>
      <c r="B15" s="220" t="str">
        <f>'Unit Data from Audit Worksheet'!C19</f>
        <v>Net Position-Governmental Activities</v>
      </c>
      <c r="C15" s="204" t="str">
        <f>'Unit Data from Audit Worksheet'!D19</f>
        <v>Please enter any OPEB liabilities that are classified as current liabilities and included in account 626 above (amounts entered should agree to the current amount included in the changes to long-term debt note)</v>
      </c>
      <c r="D15" s="100"/>
      <c r="E15" s="228">
        <f>'Unit Data from Audit Worksheet'!F19</f>
        <v>0</v>
      </c>
      <c r="F15" s="214"/>
      <c r="G15" s="203"/>
      <c r="H15" s="214"/>
      <c r="I15" s="31"/>
      <c r="J15" s="213">
        <v>631</v>
      </c>
      <c r="K15" s="189" t="s">
        <v>343</v>
      </c>
      <c r="L15" s="265">
        <f t="shared" si="0"/>
        <v>0</v>
      </c>
      <c r="M15"/>
      <c r="N15" s="160"/>
      <c r="O15" s="262"/>
      <c r="P15" s="194"/>
      <c r="Q15" s="263"/>
      <c r="R15" s="3"/>
      <c r="W15"/>
      <c r="X15"/>
      <c r="Y15"/>
      <c r="Z15"/>
      <c r="AA15"/>
      <c r="AB15"/>
      <c r="AC15"/>
      <c r="AD15"/>
      <c r="AE15"/>
    </row>
    <row r="16" spans="1:31" s="18" customFormat="1" ht="119.25" customHeight="1" x14ac:dyDescent="0.3">
      <c r="A16" s="207">
        <f>'Unit Data from Audit Worksheet'!A20</f>
        <v>632</v>
      </c>
      <c r="B16" s="220" t="str">
        <f>'Unit Data from Audit Worksheet'!C20</f>
        <v>Net Position-Governmental Activities</v>
      </c>
      <c r="C16" s="204" t="str">
        <f>'Unit Data from Audit Worksheet'!D20</f>
        <v>Please enter any landfill closure/postclosure liabilities that are classified as current liabilities and included in account 626 above (amounts entered should agree to the current amount included in the changes to long-term debt note)</v>
      </c>
      <c r="D16" s="100"/>
      <c r="E16" s="228">
        <f>'Unit Data from Audit Worksheet'!F20</f>
        <v>0</v>
      </c>
      <c r="F16" s="214"/>
      <c r="G16" s="203"/>
      <c r="H16" s="214"/>
      <c r="I16" s="31"/>
      <c r="J16" s="213">
        <v>632</v>
      </c>
      <c r="K16" s="189" t="s">
        <v>342</v>
      </c>
      <c r="L16" s="265">
        <f t="shared" si="0"/>
        <v>0</v>
      </c>
      <c r="M16"/>
      <c r="N16" s="160"/>
      <c r="O16" s="262"/>
      <c r="P16" s="194"/>
      <c r="Q16" s="263"/>
      <c r="R16" s="3"/>
      <c r="W16"/>
      <c r="X16"/>
      <c r="Y16"/>
      <c r="Z16"/>
      <c r="AA16"/>
      <c r="AB16"/>
      <c r="AC16"/>
      <c r="AD16"/>
      <c r="AE16"/>
    </row>
    <row r="17" spans="1:16" ht="30.6" x14ac:dyDescent="0.3">
      <c r="A17" s="552">
        <f>'Unit Data from Audit Worksheet'!A21</f>
        <v>338</v>
      </c>
      <c r="B17" s="220" t="str">
        <f>'Unit Data from Audit Worksheet'!C21</f>
        <v>Net Position-Governmental Activities</v>
      </c>
      <c r="C17" s="206" t="str">
        <f>'Unit Data from Audit Worksheet'!D21</f>
        <v>Total Liabilities and total deferred inflows</v>
      </c>
      <c r="D17" s="100"/>
      <c r="E17" s="136">
        <f>'Unit Data from Audit Worksheet'!F21</f>
        <v>0</v>
      </c>
      <c r="F17" s="122" t="str">
        <f>IF(L10&gt;L17,"Please review accounts 626 greater than 338","")</f>
        <v/>
      </c>
      <c r="G17" s="64"/>
      <c r="H17" s="218"/>
      <c r="I17" s="31"/>
      <c r="J17" s="104">
        <v>338</v>
      </c>
      <c r="K17" s="105" t="s">
        <v>86</v>
      </c>
      <c r="L17" s="260">
        <f>IF(D17="",E17,D17)+IF(D9="",E9,D9)</f>
        <v>0</v>
      </c>
      <c r="N17" s="70" t="s">
        <v>275</v>
      </c>
      <c r="P17" s="191"/>
    </row>
    <row r="18" spans="1:16" ht="100.5" customHeight="1" x14ac:dyDescent="0.3">
      <c r="A18" s="207">
        <f>'Unit Data from Audit Worksheet'!A22</f>
        <v>335</v>
      </c>
      <c r="B18" s="220" t="str">
        <f>'Unit Data from Audit Worksheet'!C22</f>
        <v>Net Position-Governmental Activities</v>
      </c>
      <c r="C18" s="206" t="str">
        <f>'Unit Data from Audit Worksheet'!D22</f>
        <v>Unearned revenues that were included in current liabilities in your audit report or entered in acct # 626 above. 
Exclude - unearned revenues that are listed in deferred inflows.</v>
      </c>
      <c r="D18" s="100"/>
      <c r="E18" s="226">
        <f>'Unit Data from Audit Worksheet'!F22</f>
        <v>0</v>
      </c>
      <c r="F18" s="219">
        <f>IF(L18&lt;0,"Error: Enter as a positive.",)</f>
        <v>0</v>
      </c>
      <c r="G18" s="221"/>
      <c r="H18" s="218"/>
      <c r="I18" s="31"/>
      <c r="J18" s="217">
        <v>335</v>
      </c>
      <c r="K18" s="216" t="s">
        <v>87</v>
      </c>
      <c r="L18" s="259">
        <f>IF(D18="",E18,D18)</f>
        <v>0</v>
      </c>
      <c r="P18" s="192"/>
    </row>
    <row r="19" spans="1:16" ht="20.399999999999999" x14ac:dyDescent="0.3">
      <c r="A19" s="207">
        <f>'Unit Data from Audit Worksheet'!A23</f>
        <v>252</v>
      </c>
      <c r="B19" s="220" t="str">
        <f>'Unit Data from Audit Worksheet'!C23</f>
        <v>Net Position-Governmental Activities</v>
      </c>
      <c r="C19" s="206" t="str">
        <f>'Unit Data from Audit Worksheet'!D23</f>
        <v xml:space="preserve"> Total Net investment in capital assets</v>
      </c>
      <c r="D19" s="100"/>
      <c r="E19" s="226">
        <f>'Unit Data from Audit Worksheet'!F23</f>
        <v>0</v>
      </c>
      <c r="F19" s="219"/>
      <c r="G19" s="221"/>
      <c r="H19" s="218"/>
      <c r="I19" s="31"/>
      <c r="J19" s="217">
        <v>252</v>
      </c>
      <c r="K19" s="216" t="s">
        <v>74</v>
      </c>
      <c r="L19" s="259">
        <f t="shared" ref="L19:L40" si="1">IF(D19="",E19,D19)</f>
        <v>0</v>
      </c>
      <c r="O19" s="266" t="e">
        <f>'Unit Data from Audit Worksheet'!E23</f>
        <v>#N/A</v>
      </c>
      <c r="P19" s="192"/>
    </row>
    <row r="20" spans="1:16" ht="20.399999999999999" x14ac:dyDescent="0.3">
      <c r="A20" s="207">
        <f>'Unit Data from Audit Worksheet'!A24</f>
        <v>253</v>
      </c>
      <c r="B20" s="220" t="str">
        <f>'Unit Data from Audit Worksheet'!C24</f>
        <v>Net Position-Governmental Activities</v>
      </c>
      <c r="C20" s="206" t="str">
        <f>'Unit Data from Audit Worksheet'!D24</f>
        <v xml:space="preserve"> Total Net Position, Restricted</v>
      </c>
      <c r="D20" s="100"/>
      <c r="E20" s="226">
        <f>'Unit Data from Audit Worksheet'!F24</f>
        <v>0</v>
      </c>
      <c r="F20" s="219"/>
      <c r="G20" s="221"/>
      <c r="H20" s="218"/>
      <c r="I20" s="31"/>
      <c r="J20" s="217">
        <v>253</v>
      </c>
      <c r="K20" s="216" t="s">
        <v>75</v>
      </c>
      <c r="L20" s="259">
        <f t="shared" si="1"/>
        <v>0</v>
      </c>
      <c r="O20" s="266" t="e">
        <f>'Unit Data from Audit Worksheet'!E24</f>
        <v>#N/A</v>
      </c>
      <c r="P20" s="192"/>
    </row>
    <row r="21" spans="1:16" ht="73.5" customHeight="1" x14ac:dyDescent="0.3">
      <c r="A21" s="207">
        <f>'Unit Data from Audit Worksheet'!A25</f>
        <v>254</v>
      </c>
      <c r="B21" s="220" t="str">
        <f>'Unit Data from Audit Worksheet'!C25</f>
        <v>Net Position-Governmental Activities</v>
      </c>
      <c r="C21" s="206" t="str">
        <f>'Unit Data from Audit Worksheet'!D25</f>
        <v>Total Net Position, Unrestricted - enter negative unrestricted net position as a negative)</v>
      </c>
      <c r="D21" s="100"/>
      <c r="E21" s="226">
        <f>'Unit Data from Audit Worksheet'!F25</f>
        <v>0</v>
      </c>
      <c r="F21" s="219">
        <f>IF((L7-L17-L19-L20-L21)=0,,"Error: Total assets and deferred outflows less total liabilities and deferred inflows do not equal total net position accts 385-338-252-253-254")</f>
        <v>0</v>
      </c>
      <c r="G21" s="81">
        <f>+L7-L17-L19-L20-L21</f>
        <v>0</v>
      </c>
      <c r="H21" s="218"/>
      <c r="I21" s="31"/>
      <c r="J21" s="217">
        <v>254</v>
      </c>
      <c r="K21" s="216" t="s">
        <v>76</v>
      </c>
      <c r="L21" s="259">
        <f t="shared" si="1"/>
        <v>0</v>
      </c>
      <c r="O21" s="266" t="e">
        <f>'Unit Data from Audit Worksheet'!E25</f>
        <v>#N/A</v>
      </c>
      <c r="P21" s="192"/>
    </row>
    <row r="22" spans="1:16" ht="51.75" customHeight="1" x14ac:dyDescent="0.3">
      <c r="A22" s="207">
        <f>'Unit Data from Audit Worksheet'!A27</f>
        <v>502</v>
      </c>
      <c r="B22" s="220" t="str">
        <f>'Unit Data from Audit Worksheet'!C27</f>
        <v>Net Position-Business Activities</v>
      </c>
      <c r="C22" s="206" t="str">
        <f>'Unit Data from Audit Worksheet'!D27</f>
        <v xml:space="preserve">All unrestricted Cash and investments. 
Exclude restricted cash and cash held by a third party. </v>
      </c>
      <c r="D22" s="100"/>
      <c r="E22" s="226">
        <f>'Unit Data from Audit Worksheet'!F27</f>
        <v>0</v>
      </c>
      <c r="F22" s="219">
        <f>IF(L22&lt;0,"Error: Number is normally positive.",)</f>
        <v>0</v>
      </c>
      <c r="G22" s="221"/>
      <c r="H22" s="218"/>
      <c r="I22" s="31"/>
      <c r="J22" s="217">
        <v>502</v>
      </c>
      <c r="K22" s="216" t="s">
        <v>153</v>
      </c>
      <c r="L22" s="259">
        <f t="shared" si="1"/>
        <v>0</v>
      </c>
      <c r="P22" s="192"/>
    </row>
    <row r="23" spans="1:16" ht="40.5" customHeight="1" x14ac:dyDescent="0.3">
      <c r="A23" s="207">
        <f>'Unit Data from Audit Worksheet'!A28</f>
        <v>503</v>
      </c>
      <c r="B23" s="220" t="str">
        <f>'Unit Data from Audit Worksheet'!C28</f>
        <v>Net Position-Business Activities</v>
      </c>
      <c r="C23" s="206" t="str">
        <f>'Unit Data from Audit Worksheet'!D28</f>
        <v>All restricted Cash and investments</v>
      </c>
      <c r="D23" s="100"/>
      <c r="E23" s="226">
        <f>'Unit Data from Audit Worksheet'!F28</f>
        <v>0</v>
      </c>
      <c r="F23" s="219">
        <f>IF(L23&lt;0,"Error: Number is normally positive.",)</f>
        <v>0</v>
      </c>
      <c r="G23" s="221"/>
      <c r="H23" s="218"/>
      <c r="I23" s="31"/>
      <c r="J23" s="217">
        <v>503</v>
      </c>
      <c r="K23" s="216" t="s">
        <v>154</v>
      </c>
      <c r="L23" s="259">
        <f t="shared" si="1"/>
        <v>0</v>
      </c>
      <c r="P23" s="192"/>
    </row>
    <row r="24" spans="1:16" ht="39" customHeight="1" x14ac:dyDescent="0.3">
      <c r="A24" s="207">
        <f>'Unit Data from Audit Worksheet'!A30</f>
        <v>344</v>
      </c>
      <c r="B24" s="220" t="str">
        <f>'Unit Data from Audit Worksheet'!C30</f>
        <v>Statement of Activities - Governmental</v>
      </c>
      <c r="C24" s="206" t="str">
        <f>'Unit Data from Audit Worksheet'!D30</f>
        <v xml:space="preserve">Total Interest expense on Long-Term Debt </v>
      </c>
      <c r="D24" s="100"/>
      <c r="E24" s="226">
        <f>'Unit Data from Audit Worksheet'!F30</f>
        <v>0</v>
      </c>
      <c r="F24" s="219">
        <f>IF(L24&lt;0,"Error: Enter as a positive.",)</f>
        <v>0</v>
      </c>
      <c r="G24" s="221"/>
      <c r="H24" s="218"/>
      <c r="I24" s="31"/>
      <c r="J24" s="217">
        <v>344</v>
      </c>
      <c r="K24" s="216" t="s">
        <v>155</v>
      </c>
      <c r="L24" s="259">
        <f t="shared" si="1"/>
        <v>0</v>
      </c>
      <c r="P24" s="192"/>
    </row>
    <row r="25" spans="1:16" ht="39" customHeight="1" x14ac:dyDescent="0.3">
      <c r="A25" s="207">
        <f>'Unit Data from Audit Worksheet'!A31</f>
        <v>388</v>
      </c>
      <c r="B25" s="220" t="str">
        <f>'Unit Data from Audit Worksheet'!C31</f>
        <v>Statement of Activities - Governmental</v>
      </c>
      <c r="C25" s="206" t="str">
        <f>'Unit Data from Audit Worksheet'!D31</f>
        <v>Total Expenses</v>
      </c>
      <c r="D25" s="100"/>
      <c r="E25" s="226">
        <f>'Unit Data from Audit Worksheet'!F31</f>
        <v>0</v>
      </c>
      <c r="F25" s="219">
        <f>IF(L25&lt;0,"Error: Enter as a positive.",)</f>
        <v>0</v>
      </c>
      <c r="G25" s="221"/>
      <c r="H25" s="218"/>
      <c r="I25" s="31"/>
      <c r="J25" s="217">
        <v>388</v>
      </c>
      <c r="K25" s="216" t="s">
        <v>156</v>
      </c>
      <c r="L25" s="259">
        <f t="shared" si="1"/>
        <v>0</v>
      </c>
      <c r="P25" s="192"/>
    </row>
    <row r="26" spans="1:16" ht="39" customHeight="1" x14ac:dyDescent="0.3">
      <c r="A26" s="207">
        <f>'Unit Data from Audit Worksheet'!A32</f>
        <v>339</v>
      </c>
      <c r="B26" s="220" t="str">
        <f>'Unit Data from Audit Worksheet'!C32</f>
        <v>Statement of Activities - Governmental</v>
      </c>
      <c r="C26" s="206" t="str">
        <f>'Unit Data from Audit Worksheet'!D32</f>
        <v xml:space="preserve">Charges for services </v>
      </c>
      <c r="D26" s="100"/>
      <c r="E26" s="226">
        <f>'Unit Data from Audit Worksheet'!F32</f>
        <v>0</v>
      </c>
      <c r="F26" s="219"/>
      <c r="G26" s="221"/>
      <c r="H26" s="218"/>
      <c r="I26" s="31"/>
      <c r="J26" s="217">
        <v>339</v>
      </c>
      <c r="K26" s="216" t="s">
        <v>157</v>
      </c>
      <c r="L26" s="259">
        <f t="shared" si="1"/>
        <v>0</v>
      </c>
      <c r="P26" s="192"/>
    </row>
    <row r="27" spans="1:16" ht="39" customHeight="1" x14ac:dyDescent="0.3">
      <c r="A27" s="207">
        <f>'Unit Data from Audit Worksheet'!A33</f>
        <v>504</v>
      </c>
      <c r="B27" s="220" t="str">
        <f>'Unit Data from Audit Worksheet'!C33</f>
        <v>Statement of Activities - Governmental</v>
      </c>
      <c r="C27" s="206" t="str">
        <f>'Unit Data from Audit Worksheet'!D33</f>
        <v>Operating grants and contributions</v>
      </c>
      <c r="D27" s="100"/>
      <c r="E27" s="226">
        <f>'Unit Data from Audit Worksheet'!F33</f>
        <v>0</v>
      </c>
      <c r="F27" s="219"/>
      <c r="G27" s="221"/>
      <c r="H27" s="218"/>
      <c r="I27" s="31"/>
      <c r="J27" s="217">
        <v>504</v>
      </c>
      <c r="K27" s="216" t="s">
        <v>158</v>
      </c>
      <c r="L27" s="259">
        <f t="shared" si="1"/>
        <v>0</v>
      </c>
      <c r="P27" s="192"/>
    </row>
    <row r="28" spans="1:16" ht="39" customHeight="1" x14ac:dyDescent="0.3">
      <c r="A28" s="207">
        <f>'Unit Data from Audit Worksheet'!A34</f>
        <v>505</v>
      </c>
      <c r="B28" s="220" t="str">
        <f>'Unit Data from Audit Worksheet'!C34</f>
        <v>Statement of Activities - Governmental</v>
      </c>
      <c r="C28" s="206" t="str">
        <f>'Unit Data from Audit Worksheet'!D34</f>
        <v>Capital grants and contributions</v>
      </c>
      <c r="D28" s="100"/>
      <c r="E28" s="226">
        <f>'Unit Data from Audit Worksheet'!F34</f>
        <v>0</v>
      </c>
      <c r="F28" s="219"/>
      <c r="G28" s="221"/>
      <c r="H28" s="218"/>
      <c r="I28" s="31"/>
      <c r="J28" s="217">
        <v>505</v>
      </c>
      <c r="K28" s="216" t="s">
        <v>159</v>
      </c>
      <c r="L28" s="259">
        <f t="shared" si="1"/>
        <v>0</v>
      </c>
      <c r="P28" s="192"/>
    </row>
    <row r="29" spans="1:16" ht="82.5" customHeight="1" x14ac:dyDescent="0.3">
      <c r="A29" s="207">
        <f>'Unit Data from Audit Worksheet'!A35</f>
        <v>341</v>
      </c>
      <c r="B29" s="220" t="str">
        <f>'Unit Data from Audit Worksheet'!C35</f>
        <v>Statement of Activities - Governmental</v>
      </c>
      <c r="C29" s="206" t="str">
        <f>'Unit Data from Audit Worksheet'!D35</f>
        <v>Total General revenues
Exclude: transfers-in or out,
                 special items,
                 extraordinary amounts</v>
      </c>
      <c r="D29" s="100"/>
      <c r="E29" s="226">
        <f>'Unit Data from Audit Worksheet'!F35</f>
        <v>0</v>
      </c>
      <c r="F29" s="219"/>
      <c r="G29" s="221"/>
      <c r="H29" s="218"/>
      <c r="I29" s="31"/>
      <c r="J29" s="217">
        <v>341</v>
      </c>
      <c r="K29" s="216" t="s">
        <v>160</v>
      </c>
      <c r="L29" s="259">
        <f t="shared" si="1"/>
        <v>0</v>
      </c>
      <c r="P29" s="192"/>
    </row>
    <row r="30" spans="1:16" ht="82.5" customHeight="1" x14ac:dyDescent="0.3">
      <c r="A30" s="207">
        <f>'Unit Data from Audit Worksheet'!A36</f>
        <v>386</v>
      </c>
      <c r="B30" s="220" t="str">
        <f>'Unit Data from Audit Worksheet'!C36</f>
        <v>Statement of Activities - Governmental</v>
      </c>
      <c r="C30" s="206" t="str">
        <f>'Unit Data from Audit Worksheet'!D36</f>
        <v>Total Transfers in    (Preference is that transfers-in  are not netted against transfers-out)</v>
      </c>
      <c r="D30" s="100"/>
      <c r="E30" s="226">
        <f>'Unit Data from Audit Worksheet'!F36</f>
        <v>0</v>
      </c>
      <c r="F30" s="219"/>
      <c r="G30" s="221"/>
      <c r="H30" s="218"/>
      <c r="I30" s="31"/>
      <c r="J30" s="217">
        <v>386</v>
      </c>
      <c r="K30" s="216" t="s">
        <v>161</v>
      </c>
      <c r="L30" s="259">
        <f t="shared" si="1"/>
        <v>0</v>
      </c>
      <c r="P30" s="192"/>
    </row>
    <row r="31" spans="1:16" ht="82.5" customHeight="1" x14ac:dyDescent="0.3">
      <c r="A31" s="207">
        <f>'Unit Data from Audit Worksheet'!A37</f>
        <v>387</v>
      </c>
      <c r="B31" s="220" t="str">
        <f>'Unit Data from Audit Worksheet'!C37</f>
        <v>Statement of Activities - Governmental</v>
      </c>
      <c r="C31" s="206" t="str">
        <f>'Unit Data from Audit Worksheet'!D37</f>
        <v>Total Transfers out    (Preference is that transfers-in  are not netted against transfers-out)</v>
      </c>
      <c r="D31" s="100"/>
      <c r="E31" s="226">
        <f>'Unit Data from Audit Worksheet'!F37</f>
        <v>0</v>
      </c>
      <c r="F31" s="219">
        <f>IF(L31&lt;0,"Error: Enter as a positive.",)</f>
        <v>0</v>
      </c>
      <c r="G31" s="221"/>
      <c r="H31" s="218"/>
      <c r="I31" s="31"/>
      <c r="J31" s="217">
        <v>387</v>
      </c>
      <c r="K31" s="216" t="s">
        <v>162</v>
      </c>
      <c r="L31" s="259">
        <f t="shared" si="1"/>
        <v>0</v>
      </c>
      <c r="P31" s="192"/>
    </row>
    <row r="32" spans="1:16" ht="82.5" customHeight="1" x14ac:dyDescent="0.3">
      <c r="A32" s="207">
        <f>'Unit Data from Audit Worksheet'!A38</f>
        <v>389</v>
      </c>
      <c r="B32" s="220" t="str">
        <f>'Unit Data from Audit Worksheet'!C38</f>
        <v>Statement of Activities - Governmental</v>
      </c>
      <c r="C32" s="206" t="str">
        <f>'Unit Data from Audit Worksheet'!D38</f>
        <v>Total Special and Extraordinary items.    (Amounts that increase net position are recorded as positive and amounts that decrease net position are recorded as negative)</v>
      </c>
      <c r="D32" s="100"/>
      <c r="E32" s="226">
        <f>'Unit Data from Audit Worksheet'!F38</f>
        <v>0</v>
      </c>
      <c r="F32" s="219"/>
      <c r="G32" s="221"/>
      <c r="H32" s="218"/>
      <c r="I32" s="31"/>
      <c r="J32" s="217">
        <v>389</v>
      </c>
      <c r="K32" s="216" t="s">
        <v>163</v>
      </c>
      <c r="L32" s="259">
        <f t="shared" si="1"/>
        <v>0</v>
      </c>
      <c r="N32" s="267"/>
      <c r="P32" s="192"/>
    </row>
    <row r="33" spans="1:31" ht="79.5" customHeight="1" x14ac:dyDescent="0.3">
      <c r="A33" s="207">
        <f>'Unit Data from Audit Worksheet'!A39</f>
        <v>255</v>
      </c>
      <c r="B33" s="220" t="str">
        <f>'Unit Data from Audit Worksheet'!C39</f>
        <v>Statement of Activities - Governmental</v>
      </c>
      <c r="C33" s="206" t="str">
        <f>'Unit Data from Audit Worksheet'!D39</f>
        <v>Total Change in net position - (Increase in net position is recorded as a positive and a decrease in net position is recorded as a negative)</v>
      </c>
      <c r="D33" s="100"/>
      <c r="E33" s="226">
        <f>'Unit Data from Audit Worksheet'!F39</f>
        <v>0</v>
      </c>
      <c r="F33" s="219">
        <f>IF((L26+L27+L28+L29+L30-L31+L32-L25-L33)=0,,"Total revenues less total expenses do not equal total change in net position. Acct 339+504+505+341+386-387+389-388-255=0")</f>
        <v>0</v>
      </c>
      <c r="G33" s="82">
        <f>L26+L27+L28+L29+L30-L31+L32-L25-L33</f>
        <v>0</v>
      </c>
      <c r="H33" s="218"/>
      <c r="I33" s="31"/>
      <c r="J33" s="217">
        <v>255</v>
      </c>
      <c r="K33" s="216" t="s">
        <v>164</v>
      </c>
      <c r="L33" s="259">
        <f t="shared" si="1"/>
        <v>0</v>
      </c>
      <c r="O33" s="266" t="e">
        <f>'Unit Data from Audit Worksheet'!E39</f>
        <v>#N/A</v>
      </c>
      <c r="P33" s="192"/>
    </row>
    <row r="34" spans="1:31" ht="89.25" customHeight="1" x14ac:dyDescent="0.3">
      <c r="A34" s="207">
        <f>'Unit Data from Audit Worksheet'!A40</f>
        <v>376</v>
      </c>
      <c r="B34" s="220" t="str">
        <f>'Unit Data from Audit Worksheet'!C40</f>
        <v>Statement of Activities - Governmental</v>
      </c>
      <c r="C34" s="206" t="str">
        <f>'Unit Data from Audit Worksheet'!D40</f>
        <v>Any adjustment to beginning net position including rounding, prior period adjustments and restatements.   (Increases to net position are positive; decreases to net position are negative)</v>
      </c>
      <c r="D34" s="100"/>
      <c r="E34" s="226">
        <f>'Unit Data from Audit Worksheet'!F40</f>
        <v>0</v>
      </c>
      <c r="F34" s="78" t="e">
        <f>IF(L19+L20+L21-L33-L34=O19+O20+O21,,"Beginning Balance does not agree with our records acct (252+253+254-255-376=PY252+PY253+PY254)")</f>
        <v>#N/A</v>
      </c>
      <c r="G34" s="83" t="e">
        <f>L19+L20+L21-L33-L34-(O19+O20+O21)</f>
        <v>#N/A</v>
      </c>
      <c r="H34" s="218" t="e">
        <f>'Unit Data from Audit Worksheet'!I40</f>
        <v>#N/A</v>
      </c>
      <c r="I34" s="31"/>
      <c r="J34" s="217">
        <v>376</v>
      </c>
      <c r="K34" s="216" t="s">
        <v>79</v>
      </c>
      <c r="L34" s="259">
        <f t="shared" si="1"/>
        <v>0</v>
      </c>
      <c r="O34" s="266" t="e">
        <f>'Unit Data from Audit Worksheet'!E40</f>
        <v>#N/A</v>
      </c>
      <c r="P34" s="192"/>
      <c r="R34" s="354"/>
      <c r="S34" s="354"/>
      <c r="T34" s="354"/>
      <c r="U34" s="354"/>
      <c r="V34" s="354"/>
    </row>
    <row r="35" spans="1:31" ht="157.5" customHeight="1" x14ac:dyDescent="0.3">
      <c r="A35" s="207">
        <f>'Unit Data from Audit Worksheet'!A41</f>
        <v>597</v>
      </c>
      <c r="B35" s="220" t="str">
        <f>'Unit Data from Audit Worksheet'!C41</f>
        <v>Statement of Activities                               (all governmental and business funds)</v>
      </c>
      <c r="C35" s="206" t="str">
        <f>'Unit Data from Audit Worksheet'!D41</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0"/>
      <c r="E35" s="226">
        <f>'Unit Data from Audit Worksheet'!F41</f>
        <v>0</v>
      </c>
      <c r="F35" s="219"/>
      <c r="G35" s="221"/>
      <c r="H35" s="218"/>
      <c r="I35" s="31"/>
      <c r="J35" s="217">
        <v>597</v>
      </c>
      <c r="K35" s="216" t="s">
        <v>313</v>
      </c>
      <c r="L35" s="259">
        <f t="shared" si="1"/>
        <v>0</v>
      </c>
      <c r="O35" s="266"/>
      <c r="P35" s="192"/>
      <c r="R35" s="354"/>
      <c r="S35" s="354"/>
      <c r="T35" s="354"/>
      <c r="U35" s="354"/>
      <c r="V35" s="354"/>
    </row>
    <row r="36" spans="1:31" ht="90" customHeight="1" x14ac:dyDescent="0.3">
      <c r="A36" s="207">
        <f>'Unit Data from Audit Worksheet'!A43</f>
        <v>592</v>
      </c>
      <c r="B36" s="220" t="str">
        <f>'Unit Data from Audit Worksheet'!C43</f>
        <v>Statement of Activities - Business Activities</v>
      </c>
      <c r="C36" s="206" t="str">
        <f>'Unit Data from Audit Worksheet'!D43</f>
        <v>Total Change in net position Business Type 
(Increase in net position is recorded as a positive and a decrease in net position is recorded as a negative)</v>
      </c>
      <c r="D36" s="100"/>
      <c r="E36" s="226">
        <f>'Unit Data from Audit Worksheet'!F43</f>
        <v>0</v>
      </c>
      <c r="F36" s="219"/>
      <c r="G36" s="221"/>
      <c r="H36" s="218"/>
      <c r="I36" s="31"/>
      <c r="J36" s="217">
        <v>592</v>
      </c>
      <c r="K36" s="216" t="s">
        <v>308</v>
      </c>
      <c r="L36" s="259">
        <f t="shared" si="1"/>
        <v>0</v>
      </c>
      <c r="O36" s="266"/>
      <c r="P36" s="192"/>
      <c r="R36" s="354"/>
      <c r="S36" s="354"/>
      <c r="T36" s="354"/>
      <c r="U36" s="354"/>
      <c r="V36" s="354"/>
    </row>
    <row r="37" spans="1:31" ht="66" customHeight="1" x14ac:dyDescent="0.3">
      <c r="A37" s="207">
        <f>'Unit Data from Audit Worksheet'!A44</f>
        <v>591</v>
      </c>
      <c r="B37" s="220" t="str">
        <f>'Unit Data from Audit Worksheet'!C44</f>
        <v>Statement of Activities - Business Activities</v>
      </c>
      <c r="C37" s="206" t="str">
        <f>'Unit Data from Audit Worksheet'!D44</f>
        <v>Total Expenses - Exclude Transfers</v>
      </c>
      <c r="D37" s="100"/>
      <c r="E37" s="226">
        <f>'Unit Data from Audit Worksheet'!F44</f>
        <v>0</v>
      </c>
      <c r="F37" s="219">
        <f>IF(L37&lt;0,"Error: Enter as a positive.",)</f>
        <v>0</v>
      </c>
      <c r="G37" s="221"/>
      <c r="H37" s="218"/>
      <c r="I37" s="31"/>
      <c r="J37" s="217">
        <v>591</v>
      </c>
      <c r="K37" s="216" t="s">
        <v>307</v>
      </c>
      <c r="L37" s="259">
        <f t="shared" si="1"/>
        <v>0</v>
      </c>
      <c r="O37" s="266"/>
      <c r="P37" s="192"/>
      <c r="R37" s="354"/>
      <c r="S37" s="354"/>
      <c r="T37" s="354"/>
      <c r="U37" s="354"/>
      <c r="V37" s="354"/>
    </row>
    <row r="38" spans="1:31" s="356" customFormat="1" ht="66" customHeight="1" x14ac:dyDescent="0.3">
      <c r="A38" s="274">
        <f>'Unit Data from Audit Worksheet'!A50</f>
        <v>1072</v>
      </c>
      <c r="B38" s="224" t="str">
        <f>'Unit Data from Audit Worksheet'!C50</f>
        <v>Revenue, Expenses &amp; Changes in Fund Net Position</v>
      </c>
      <c r="C38" s="275" t="str">
        <f>'Unit Data from Audit Worksheet'!D50</f>
        <v>All Proprietary Funds -total of all expenses excluding transfers out</v>
      </c>
      <c r="D38" s="100"/>
      <c r="E38" s="226">
        <f>'Unit Data from Audit Worksheet'!F50</f>
        <v>0</v>
      </c>
      <c r="F38" s="219"/>
      <c r="G38" s="221"/>
      <c r="H38" s="218"/>
      <c r="I38" s="31"/>
      <c r="J38" s="230">
        <v>1072</v>
      </c>
      <c r="K38" s="275" t="s">
        <v>1675</v>
      </c>
      <c r="L38" s="276">
        <f t="shared" si="1"/>
        <v>0</v>
      </c>
      <c r="M38" s="173"/>
      <c r="O38" s="266"/>
      <c r="P38" s="193"/>
      <c r="Q38" s="250"/>
      <c r="W38" s="173"/>
      <c r="X38" s="173"/>
      <c r="Y38" s="173"/>
      <c r="Z38" s="173"/>
      <c r="AA38" s="173"/>
      <c r="AB38" s="173"/>
      <c r="AC38" s="173"/>
      <c r="AD38" s="173"/>
      <c r="AE38" s="173"/>
    </row>
    <row r="39" spans="1:31" s="356" customFormat="1" ht="66" customHeight="1" x14ac:dyDescent="0.3">
      <c r="A39" s="274">
        <f>'Unit Data from Audit Worksheet'!A51</f>
        <v>1073</v>
      </c>
      <c r="B39" s="224" t="str">
        <f>'Unit Data from Audit Worksheet'!C51</f>
        <v>Revenue, Expenses &amp; Changes in Fund Net Position</v>
      </c>
      <c r="C39" s="275" t="str">
        <f>'Unit Data from Audit Worksheet'!D51</f>
        <v>All Proprietary Funds -Depreciation and amortization expense</v>
      </c>
      <c r="D39" s="100"/>
      <c r="E39" s="226">
        <f>'Unit Data from Audit Worksheet'!F51</f>
        <v>0</v>
      </c>
      <c r="F39" s="219"/>
      <c r="G39" s="221"/>
      <c r="H39" s="218"/>
      <c r="I39" s="31"/>
      <c r="J39" s="230">
        <v>1073</v>
      </c>
      <c r="K39" s="275" t="s">
        <v>1676</v>
      </c>
      <c r="L39" s="276">
        <f t="shared" si="1"/>
        <v>0</v>
      </c>
      <c r="M39" s="173"/>
      <c r="O39" s="266"/>
      <c r="P39" s="193"/>
      <c r="Q39" s="250"/>
      <c r="W39" s="173"/>
      <c r="X39" s="173"/>
      <c r="Y39" s="173"/>
      <c r="Z39" s="173"/>
      <c r="AA39" s="173"/>
      <c r="AB39" s="173"/>
      <c r="AC39" s="173"/>
      <c r="AD39" s="173"/>
      <c r="AE39" s="173"/>
    </row>
    <row r="40" spans="1:31" s="356" customFormat="1" ht="66" customHeight="1" x14ac:dyDescent="0.3">
      <c r="A40" s="274">
        <f>'Unit Data from Audit Worksheet'!A52</f>
        <v>1074</v>
      </c>
      <c r="B40" s="224" t="str">
        <f>'Unit Data from Audit Worksheet'!C52</f>
        <v>Cash Flow Statement</v>
      </c>
      <c r="C40" s="275" t="str">
        <f>'Unit Data from Audit Worksheet'!D52</f>
        <v>All Proprietary Funds -Principal paid on long-term debt.  Amount should be reduced by principal payments for debt refunding.</v>
      </c>
      <c r="D40" s="100"/>
      <c r="E40" s="226">
        <f>'Unit Data from Audit Worksheet'!F52</f>
        <v>0</v>
      </c>
      <c r="F40" s="219"/>
      <c r="G40" s="221"/>
      <c r="H40" s="218"/>
      <c r="I40" s="31"/>
      <c r="J40" s="230">
        <v>1074</v>
      </c>
      <c r="K40" s="275" t="s">
        <v>1677</v>
      </c>
      <c r="L40" s="276">
        <f t="shared" si="1"/>
        <v>0</v>
      </c>
      <c r="M40" s="173"/>
      <c r="O40" s="266"/>
      <c r="P40" s="193"/>
      <c r="Q40" s="250"/>
      <c r="W40" s="173"/>
      <c r="X40" s="173"/>
      <c r="Y40" s="173"/>
      <c r="Z40" s="173"/>
      <c r="AA40" s="173"/>
      <c r="AB40" s="173"/>
      <c r="AC40" s="173"/>
      <c r="AD40" s="173"/>
      <c r="AE40" s="173"/>
    </row>
    <row r="41" spans="1:31" ht="54" customHeight="1" x14ac:dyDescent="0.3">
      <c r="A41" s="207">
        <f>'Unit Data from Audit Worksheet'!A54</f>
        <v>506</v>
      </c>
      <c r="B41" s="46" t="str">
        <f>'Unit Data from Audit Worksheet'!C54</f>
        <v>General Fund-Balance Sheet</v>
      </c>
      <c r="C41" s="268" t="str">
        <f>'Unit Data from Audit Worksheet'!D54</f>
        <v xml:space="preserve">All unrestricted cash and investments.  
Exclude restricted cash and cash held by a third party. </v>
      </c>
      <c r="D41" s="100"/>
      <c r="E41" s="138">
        <f>'Unit Data from Audit Worksheet'!F54</f>
        <v>0</v>
      </c>
      <c r="F41" s="30">
        <f>IF(L41&lt;0,"Error: Number is normally positive.",)</f>
        <v>0</v>
      </c>
      <c r="G41" s="65"/>
      <c r="H41" s="218"/>
      <c r="I41" s="31"/>
      <c r="J41" s="34">
        <v>506</v>
      </c>
      <c r="K41" s="216" t="s">
        <v>165</v>
      </c>
      <c r="L41" s="269">
        <f t="shared" ref="L41:L53" si="2">IF(D41="",E41,D41)</f>
        <v>0</v>
      </c>
      <c r="P41" s="193"/>
    </row>
    <row r="42" spans="1:31" ht="45.75" customHeight="1" x14ac:dyDescent="0.3">
      <c r="A42" s="207">
        <f>'Unit Data from Audit Worksheet'!A55</f>
        <v>536</v>
      </c>
      <c r="B42" s="46" t="str">
        <f>'Unit Data from Audit Worksheet'!C55</f>
        <v>General Fund-Balance Sheet</v>
      </c>
      <c r="C42" s="268" t="str">
        <f>'Unit Data from Audit Worksheet'!D55</f>
        <v>All restricted cash and investments</v>
      </c>
      <c r="D42" s="100"/>
      <c r="E42" s="138">
        <f>'Unit Data from Audit Worksheet'!F55</f>
        <v>0</v>
      </c>
      <c r="F42" s="30">
        <f>IF(L42&lt;0,"Error: Number is normally positive.",)</f>
        <v>0</v>
      </c>
      <c r="G42" s="65"/>
      <c r="H42" s="218"/>
      <c r="I42" s="31"/>
      <c r="J42" s="34">
        <v>536</v>
      </c>
      <c r="K42" s="216" t="s">
        <v>166</v>
      </c>
      <c r="L42" s="269">
        <f t="shared" si="2"/>
        <v>0</v>
      </c>
      <c r="P42" s="194"/>
      <c r="Q42" s="263"/>
      <c r="S42" s="262"/>
      <c r="T42" s="262"/>
      <c r="U42" s="262"/>
      <c r="V42" s="262"/>
    </row>
    <row r="43" spans="1:31" ht="56.25" customHeight="1" x14ac:dyDescent="0.3">
      <c r="A43" s="207">
        <f>'Unit Data from Audit Worksheet'!A56</f>
        <v>586</v>
      </c>
      <c r="B43" s="220" t="str">
        <f>'Unit Data from Audit Worksheet'!C56</f>
        <v>General Fund-Balance Sheet</v>
      </c>
      <c r="C43" s="206" t="str">
        <f>'Unit Data from Audit Worksheet'!D56</f>
        <v>Advance To: Interfund loan receivable-portion of repayment plan longer than 12 months</v>
      </c>
      <c r="D43" s="129"/>
      <c r="E43" s="226">
        <f>'Unit Data from Audit Worksheet'!F56</f>
        <v>0</v>
      </c>
      <c r="F43" s="219"/>
      <c r="G43" s="221"/>
      <c r="H43" s="218"/>
      <c r="I43" s="31"/>
      <c r="J43" s="217">
        <v>586</v>
      </c>
      <c r="K43" s="206" t="s">
        <v>292</v>
      </c>
      <c r="L43" s="259">
        <f t="shared" si="2"/>
        <v>0</v>
      </c>
      <c r="P43" s="194"/>
      <c r="Q43" s="263"/>
      <c r="S43" s="262"/>
      <c r="T43" s="262"/>
      <c r="U43" s="262"/>
      <c r="V43" s="262"/>
    </row>
    <row r="44" spans="1:31" ht="28.8" x14ac:dyDescent="0.3">
      <c r="A44" s="207">
        <f>'Unit Data from Audit Worksheet'!A57</f>
        <v>379</v>
      </c>
      <c r="B44" s="220" t="str">
        <f>'Unit Data from Audit Worksheet'!C57</f>
        <v>General Fund-Balance Sheet</v>
      </c>
      <c r="C44" s="206" t="str">
        <f>'Unit Data from Audit Worksheet'!D57</f>
        <v>Total Assets and deferred outflows</v>
      </c>
      <c r="D44" s="129"/>
      <c r="E44" s="226">
        <f>'Unit Data from Audit Worksheet'!F57</f>
        <v>0</v>
      </c>
      <c r="F44" s="75">
        <f>IF((L41+L42)&gt;L44,"Error: Please review accts (506+536)&gt;379",)</f>
        <v>0</v>
      </c>
      <c r="G44" s="221"/>
      <c r="H44" s="218"/>
      <c r="I44" s="31"/>
      <c r="J44" s="217">
        <v>379</v>
      </c>
      <c r="K44" s="216" t="s">
        <v>88</v>
      </c>
      <c r="L44" s="259">
        <f t="shared" si="2"/>
        <v>0</v>
      </c>
      <c r="P44" s="191"/>
    </row>
    <row r="45" spans="1:31" ht="106.5" customHeight="1" x14ac:dyDescent="0.3">
      <c r="A45" s="207">
        <f>'Unit Data from Audit Worksheet'!A58</f>
        <v>368</v>
      </c>
      <c r="B45" s="220" t="str">
        <f>'Unit Data from Audit Worksheet'!C58</f>
        <v>General Fund-Balance Sheet</v>
      </c>
      <c r="C45" s="206" t="str">
        <f>'Unit Data from Audit Worksheet'!D58</f>
        <v>Total Liabilities payable from restricted assets (only complete if this is listed in your financial statements for the general fund and the auditor has listed the cash to be used to pay the liabilities as restricted)</v>
      </c>
      <c r="D45" s="129"/>
      <c r="E45" s="226">
        <f>'Unit Data from Audit Worksheet'!F58</f>
        <v>0</v>
      </c>
      <c r="F45" s="219">
        <f>IF(L45&lt;0,"Error: Enter as a positive.",)</f>
        <v>0</v>
      </c>
      <c r="G45" s="221"/>
      <c r="H45" s="218"/>
      <c r="I45" s="31"/>
      <c r="J45" s="217">
        <v>368</v>
      </c>
      <c r="K45" s="216" t="s">
        <v>167</v>
      </c>
      <c r="L45" s="259">
        <f t="shared" si="2"/>
        <v>0</v>
      </c>
      <c r="P45" s="192"/>
      <c r="S45" s="18"/>
      <c r="T45" s="18"/>
      <c r="U45" s="18"/>
      <c r="V45" s="18"/>
    </row>
    <row r="46" spans="1:31" ht="90.75" customHeight="1" x14ac:dyDescent="0.3">
      <c r="A46" s="207">
        <f>'Unit Data from Audit Worksheet'!A59</f>
        <v>4</v>
      </c>
      <c r="B46" s="46" t="str">
        <f>'Unit Data from Audit Worksheet'!C59</f>
        <v>General Fund-Balance Sheet</v>
      </c>
      <c r="C46" s="268" t="str">
        <f>'Unit Data from Audit Worksheet'!D59</f>
        <v>Current Liabilities (as reported on the Balance Sheet)
Exclude all deferred inflows. 
Include advance from(long-term portion of interfund loans)</v>
      </c>
      <c r="D46" s="129"/>
      <c r="E46" s="138">
        <f>'Unit Data from Audit Worksheet'!F59</f>
        <v>0</v>
      </c>
      <c r="F46" s="30">
        <f t="shared" ref="F46:F54" si="3">IF(L46&lt;0,"Error: Enter as a positive.",)</f>
        <v>0</v>
      </c>
      <c r="G46" s="65"/>
      <c r="H46" s="218"/>
      <c r="I46" s="31"/>
      <c r="J46" s="34">
        <v>4</v>
      </c>
      <c r="K46" s="216" t="s">
        <v>89</v>
      </c>
      <c r="L46" s="269">
        <f t="shared" si="2"/>
        <v>0</v>
      </c>
      <c r="P46" s="192"/>
      <c r="S46" s="18"/>
      <c r="T46" s="18"/>
      <c r="U46" s="18"/>
      <c r="V46" s="18"/>
    </row>
    <row r="47" spans="1:31" ht="131.25" customHeight="1" x14ac:dyDescent="0.3">
      <c r="A47" s="207">
        <f>'Unit Data from Audit Worksheet'!A60</f>
        <v>5</v>
      </c>
      <c r="B47" s="46" t="str">
        <f>'Unit Data from Audit Worksheet'!C60</f>
        <v>General Fund-Balance Sheet</v>
      </c>
      <c r="C47" s="268" t="str">
        <f>'Unit Data from Audit Worksheet'!D60</f>
        <v>General fund deferred inflows derived from cash receipts. 
 Prepaid taxes is a common item listed.  Deferred inflows on the face of the statements can include cash and non-cash.  You may have to refer to the note disclosure where the cash and non-cash is broken out.</v>
      </c>
      <c r="D47" s="129"/>
      <c r="E47" s="138">
        <f>'Unit Data from Audit Worksheet'!F60</f>
        <v>0</v>
      </c>
      <c r="F47" s="30">
        <f t="shared" si="3"/>
        <v>0</v>
      </c>
      <c r="G47" s="65"/>
      <c r="H47" s="218"/>
      <c r="I47" s="31"/>
      <c r="J47" s="34">
        <v>5</v>
      </c>
      <c r="K47" s="216" t="s">
        <v>90</v>
      </c>
      <c r="L47" s="269">
        <f t="shared" si="2"/>
        <v>0</v>
      </c>
      <c r="P47" s="192"/>
      <c r="S47" s="18"/>
      <c r="T47" s="18"/>
      <c r="U47" s="18"/>
      <c r="V47" s="18"/>
    </row>
    <row r="48" spans="1:31" ht="104.25" customHeight="1" x14ac:dyDescent="0.3">
      <c r="A48" s="207">
        <f>'Unit Data from Audit Worksheet'!A61</f>
        <v>380</v>
      </c>
      <c r="B48" s="220" t="str">
        <f>'Unit Data from Audit Worksheet'!C61</f>
        <v>General Fund-Balance Sheet</v>
      </c>
      <c r="C48" s="206" t="str">
        <f>'Unit Data from Audit Worksheet'!D61</f>
        <v>Total Deferred inflows not derived from cash receipts.  Deferred inflows on the face of the statements can include cash and non-cash.  You may have to refer to the note disclosure where the cash and non-cash is broken out.</v>
      </c>
      <c r="D48" s="129"/>
      <c r="E48" s="226">
        <f>'Unit Data from Audit Worksheet'!F61</f>
        <v>0</v>
      </c>
      <c r="F48" s="219">
        <f t="shared" si="3"/>
        <v>0</v>
      </c>
      <c r="G48" s="221"/>
      <c r="H48" s="218"/>
      <c r="I48" s="31"/>
      <c r="J48" s="217">
        <v>380</v>
      </c>
      <c r="K48" s="216" t="s">
        <v>91</v>
      </c>
      <c r="L48" s="259">
        <f t="shared" si="2"/>
        <v>0</v>
      </c>
      <c r="P48" s="192"/>
    </row>
    <row r="49" spans="1:31" ht="41.25" customHeight="1" x14ac:dyDescent="0.3">
      <c r="A49" s="207">
        <f>'Unit Data from Audit Worksheet'!A62</f>
        <v>391</v>
      </c>
      <c r="B49" s="220" t="str">
        <f>'Unit Data from Audit Worksheet'!C62</f>
        <v>General Fund-Balance Sheet</v>
      </c>
      <c r="C49" s="206" t="str">
        <f>'Unit Data from Audit Worksheet'!D62</f>
        <v xml:space="preserve">Fund balance, Restricted for Stabilization by State Statute </v>
      </c>
      <c r="D49" s="129"/>
      <c r="E49" s="226">
        <f>'Unit Data from Audit Worksheet'!F62</f>
        <v>0</v>
      </c>
      <c r="F49" s="219">
        <f t="shared" si="3"/>
        <v>0</v>
      </c>
      <c r="G49" s="221"/>
      <c r="H49" s="218"/>
      <c r="I49" s="31"/>
      <c r="J49" s="217">
        <v>391</v>
      </c>
      <c r="K49" s="216" t="s">
        <v>168</v>
      </c>
      <c r="L49" s="259">
        <f t="shared" si="2"/>
        <v>0</v>
      </c>
      <c r="P49" s="192"/>
    </row>
    <row r="50" spans="1:31" ht="48.6" customHeight="1" x14ac:dyDescent="0.3">
      <c r="A50" s="207">
        <f>'Unit Data from Audit Worksheet'!A63</f>
        <v>7</v>
      </c>
      <c r="B50" s="46" t="str">
        <f>'Unit Data from Audit Worksheet'!C63</f>
        <v>General Fund-Balance Sheet</v>
      </c>
      <c r="C50" s="268" t="str">
        <f>'Unit Data from Audit Worksheet'!D63</f>
        <v>Fund balance, No spendable-  inventory/prepaids/etc.</v>
      </c>
      <c r="D50" s="129"/>
      <c r="E50" s="138">
        <f>'Unit Data from Audit Worksheet'!F63</f>
        <v>0</v>
      </c>
      <c r="F50" s="30">
        <f t="shared" si="3"/>
        <v>0</v>
      </c>
      <c r="G50" s="65"/>
      <c r="H50" s="218"/>
      <c r="I50" s="31"/>
      <c r="J50" s="34">
        <v>7</v>
      </c>
      <c r="K50" s="216" t="s">
        <v>169</v>
      </c>
      <c r="L50" s="269">
        <f t="shared" si="2"/>
        <v>0</v>
      </c>
      <c r="P50" s="192"/>
    </row>
    <row r="51" spans="1:31" s="18" customFormat="1" ht="48.75" customHeight="1" x14ac:dyDescent="0.3">
      <c r="A51" s="186">
        <f>'Unit Data from Audit Worksheet'!A64</f>
        <v>645</v>
      </c>
      <c r="B51" s="229" t="str">
        <f>'Unit Data from Audit Worksheet'!C64</f>
        <v>General Fund-Balance Sheet</v>
      </c>
      <c r="C51" s="186" t="str">
        <f>'Unit Data from Audit Worksheet'!D64</f>
        <v>Fund balance, Assigned (total of all assigned components)</v>
      </c>
      <c r="D51" s="106"/>
      <c r="E51" s="228">
        <f>'Unit Data from Audit Worksheet'!F64</f>
        <v>0</v>
      </c>
      <c r="F51" s="214">
        <f>IF(L51&lt;0,"Error: Enter as a positive.",)</f>
        <v>0</v>
      </c>
      <c r="G51" s="203"/>
      <c r="H51" s="214"/>
      <c r="I51" s="271"/>
      <c r="J51" s="213">
        <v>645</v>
      </c>
      <c r="K51" s="186" t="s">
        <v>360</v>
      </c>
      <c r="L51" s="272">
        <f t="shared" si="2"/>
        <v>0</v>
      </c>
      <c r="M51"/>
      <c r="N51" s="262"/>
      <c r="O51" s="262"/>
      <c r="P51" s="192"/>
      <c r="Q51" s="250"/>
      <c r="R51" s="3"/>
      <c r="S51" s="3"/>
      <c r="T51" s="3"/>
      <c r="U51" s="3"/>
      <c r="V51" s="3"/>
      <c r="W51"/>
      <c r="X51"/>
      <c r="Y51"/>
      <c r="Z51"/>
      <c r="AA51"/>
      <c r="AB51"/>
      <c r="AC51"/>
      <c r="AD51"/>
      <c r="AE51"/>
    </row>
    <row r="52" spans="1:31" s="18" customFormat="1" ht="45.75" customHeight="1" x14ac:dyDescent="0.3">
      <c r="A52" s="186">
        <f>'Unit Data from Audit Worksheet'!A65</f>
        <v>646</v>
      </c>
      <c r="B52" s="229" t="str">
        <f>'Unit Data from Audit Worksheet'!C65</f>
        <v>General Fund-Balance Sheet</v>
      </c>
      <c r="C52" s="186" t="str">
        <f>'Unit Data from Audit Worksheet'!D65</f>
        <v>Fund Balance, Unassigned</v>
      </c>
      <c r="D52" s="106"/>
      <c r="E52" s="228">
        <f>'Unit Data from Audit Worksheet'!F65</f>
        <v>0</v>
      </c>
      <c r="F52" s="214">
        <f>IF(L52&lt;0,"Error: Enter as a positive.",)</f>
        <v>0</v>
      </c>
      <c r="G52" s="203"/>
      <c r="H52" s="214"/>
      <c r="I52" s="271"/>
      <c r="J52" s="213">
        <v>646</v>
      </c>
      <c r="K52" s="186" t="s">
        <v>361</v>
      </c>
      <c r="L52" s="272">
        <f t="shared" si="2"/>
        <v>0</v>
      </c>
      <c r="M52"/>
      <c r="N52" s="262"/>
      <c r="O52" s="262"/>
      <c r="P52" s="192"/>
      <c r="Q52" s="250"/>
      <c r="R52" s="3"/>
      <c r="S52" s="3"/>
      <c r="T52" s="3"/>
      <c r="U52" s="3"/>
      <c r="V52" s="3"/>
      <c r="W52"/>
      <c r="X52"/>
      <c r="Y52"/>
      <c r="Z52"/>
      <c r="AA52"/>
      <c r="AB52"/>
      <c r="AC52"/>
      <c r="AD52"/>
      <c r="AE52"/>
    </row>
    <row r="53" spans="1:31" ht="55.5" customHeight="1" x14ac:dyDescent="0.3">
      <c r="A53" s="257">
        <f>'Unit Data from Audit Worksheet'!A66</f>
        <v>9</v>
      </c>
      <c r="B53" s="108" t="str">
        <f>'Unit Data from Audit Worksheet'!C66</f>
        <v>General Fund-Balance Sheet</v>
      </c>
      <c r="C53" s="273" t="str">
        <f>'Unit Data from Audit Worksheet'!D66</f>
        <v>Total Fund balance (enter fund deficits as negative)</v>
      </c>
      <c r="D53" s="129"/>
      <c r="E53" s="137">
        <f>'Unit Data from Audit Worksheet'!F66</f>
        <v>0</v>
      </c>
      <c r="F53" s="109">
        <f>IF(L44-L46-L47-L48-L53=0,,"Error: Total assets less total liabilities do not equal Acct +379-4-5-380-9=0")</f>
        <v>0</v>
      </c>
      <c r="G53" s="110">
        <f>L44-L46-L47-L48-L53</f>
        <v>0</v>
      </c>
      <c r="H53" s="218"/>
      <c r="I53" s="31"/>
      <c r="J53" s="111">
        <v>9</v>
      </c>
      <c r="K53" s="44" t="s">
        <v>171</v>
      </c>
      <c r="L53" s="269">
        <f t="shared" si="2"/>
        <v>0</v>
      </c>
      <c r="O53" s="266" t="e">
        <f>'Unit Data from Audit Worksheet'!E66</f>
        <v>#N/A</v>
      </c>
      <c r="P53" s="192"/>
    </row>
    <row r="54" spans="1:31" s="18" customFormat="1" ht="73.5" customHeight="1" x14ac:dyDescent="0.3">
      <c r="A54" s="207">
        <f>'Unit Data from Audit Worksheet'!A67</f>
        <v>540</v>
      </c>
      <c r="B54" s="220" t="str">
        <f>'Unit Data from Audit Worksheet'!C67</f>
        <v>General Fund - Budget Actual Statement</v>
      </c>
      <c r="C54" s="206" t="str">
        <f>'Unit Data from Audit Worksheet'!D67</f>
        <v>Amount of the General Fund Balance appropriated in next year's budget. As reported on the General Fund Balance Sheet.</v>
      </c>
      <c r="D54" s="129"/>
      <c r="E54" s="226">
        <f>'Unit Data from Audit Worksheet'!F67</f>
        <v>0</v>
      </c>
      <c r="F54" s="219">
        <f t="shared" si="3"/>
        <v>0</v>
      </c>
      <c r="G54" s="221"/>
      <c r="H54" s="218"/>
      <c r="I54" s="31"/>
      <c r="J54" s="217">
        <v>540</v>
      </c>
      <c r="K54" s="216" t="s">
        <v>229</v>
      </c>
      <c r="L54" s="259">
        <f t="shared" ref="L54:L78" si="4">IF(D54="",E54,D54)</f>
        <v>0</v>
      </c>
      <c r="M54"/>
      <c r="P54" s="192"/>
      <c r="Q54" s="250"/>
      <c r="R54" s="3"/>
      <c r="S54" s="3"/>
      <c r="T54" s="3"/>
      <c r="U54" s="3"/>
      <c r="V54" s="3"/>
      <c r="W54"/>
      <c r="X54"/>
      <c r="Y54"/>
      <c r="Z54"/>
      <c r="AA54"/>
      <c r="AB54"/>
      <c r="AC54"/>
      <c r="AD54"/>
      <c r="AE54"/>
    </row>
    <row r="55" spans="1:31" s="18" customFormat="1" ht="73.5" customHeight="1" x14ac:dyDescent="0.3">
      <c r="A55" s="207">
        <f>'Unit Data from Audit Worksheet'!A68</f>
        <v>1052</v>
      </c>
      <c r="B55" s="220" t="str">
        <f>'Unit Data from Audit Worksheet'!C68</f>
        <v>General Fund-Rev, Exp. Change in Fund Balance</v>
      </c>
      <c r="C55" s="206" t="str">
        <f>'Unit Data from Audit Worksheet'!D68</f>
        <v>Mark to Market unrealized losses in the General Fund.  (enter as a negative number)</v>
      </c>
      <c r="D55" s="129"/>
      <c r="E55" s="226">
        <f>'Unit Data from Audit Worksheet'!F68</f>
        <v>0</v>
      </c>
      <c r="F55" s="219"/>
      <c r="G55" s="221"/>
      <c r="H55" s="218"/>
      <c r="I55" s="31"/>
      <c r="J55" s="217">
        <v>1052</v>
      </c>
      <c r="K55" s="216" t="s">
        <v>1348</v>
      </c>
      <c r="L55" s="265">
        <f t="shared" si="4"/>
        <v>0</v>
      </c>
      <c r="M55"/>
      <c r="P55" s="192"/>
      <c r="Q55" s="250"/>
      <c r="R55" s="356"/>
      <c r="S55" s="356"/>
      <c r="T55" s="356"/>
      <c r="U55" s="356"/>
      <c r="V55" s="356"/>
      <c r="W55"/>
      <c r="X55"/>
      <c r="Y55"/>
      <c r="Z55"/>
      <c r="AA55"/>
      <c r="AB55"/>
      <c r="AC55"/>
      <c r="AD55"/>
      <c r="AE55"/>
    </row>
    <row r="56" spans="1:31" ht="73.5" customHeight="1" x14ac:dyDescent="0.3">
      <c r="A56" s="207">
        <f>'Unit Data from Audit Worksheet'!A70</f>
        <v>369</v>
      </c>
      <c r="B56" s="220" t="str">
        <f>'Unit Data from Audit Worksheet'!C70</f>
        <v>General Fund-Rev, Exp. Change in Fund Balance</v>
      </c>
      <c r="C56" s="206" t="str">
        <f>'Unit Data from Audit Worksheet'!D70</f>
        <v>Total Intergovernmental revenue 
Include restricted and unrestricted revenues</v>
      </c>
      <c r="D56" s="129"/>
      <c r="E56" s="226">
        <f>'Unit Data from Audit Worksheet'!F70</f>
        <v>0</v>
      </c>
      <c r="F56" s="219"/>
      <c r="G56" s="221"/>
      <c r="H56" s="218"/>
      <c r="I56" s="31"/>
      <c r="J56" s="217">
        <v>369</v>
      </c>
      <c r="K56" s="216" t="s">
        <v>172</v>
      </c>
      <c r="L56" s="259">
        <f t="shared" si="4"/>
        <v>0</v>
      </c>
      <c r="P56" s="201"/>
    </row>
    <row r="57" spans="1:31" ht="73.5" customHeight="1" x14ac:dyDescent="0.3">
      <c r="A57" s="207">
        <f>'Unit Data from Audit Worksheet'!A71</f>
        <v>16</v>
      </c>
      <c r="B57" s="220" t="str">
        <f>'Unit Data from Audit Worksheet'!C71</f>
        <v>General Fund-Rev, Exp. Change in Fund Balance</v>
      </c>
      <c r="C57" s="206" t="str">
        <f>'Unit Data from Audit Worksheet'!D71</f>
        <v>Total revenues</v>
      </c>
      <c r="D57" s="129"/>
      <c r="E57" s="226">
        <f>'Unit Data from Audit Worksheet'!F71</f>
        <v>0</v>
      </c>
      <c r="F57" s="219"/>
      <c r="G57" s="221"/>
      <c r="H57" s="218"/>
      <c r="I57" s="31"/>
      <c r="J57" s="217">
        <v>16</v>
      </c>
      <c r="K57" s="216" t="s">
        <v>173</v>
      </c>
      <c r="L57" s="259">
        <f t="shared" si="4"/>
        <v>0</v>
      </c>
      <c r="P57" s="201"/>
    </row>
    <row r="58" spans="1:31" ht="73.5" customHeight="1" x14ac:dyDescent="0.3">
      <c r="A58" s="207">
        <f>'Unit Data from Audit Worksheet'!A72</f>
        <v>370</v>
      </c>
      <c r="B58" s="220" t="str">
        <f>'Unit Data from Audit Worksheet'!C72</f>
        <v>General Fund-Rev, Exp. Change in Fund Balance</v>
      </c>
      <c r="C58" s="206" t="str">
        <f>'Unit Data from Audit Worksheet'!D72</f>
        <v>Debt service expenditures. 
Include principal, interest paid, and bond/debt issuance costs on long-term debt</v>
      </c>
      <c r="D58" s="129"/>
      <c r="E58" s="226">
        <f>'Unit Data from Audit Worksheet'!F72</f>
        <v>0</v>
      </c>
      <c r="F58" s="219">
        <f t="shared" ref="F58:F63" si="5">IF(L58&lt;0,"Error: Enter as a positive.",)</f>
        <v>0</v>
      </c>
      <c r="G58" s="221"/>
      <c r="H58" s="218"/>
      <c r="I58" s="31"/>
      <c r="J58" s="217">
        <v>370</v>
      </c>
      <c r="K58" s="216" t="s">
        <v>174</v>
      </c>
      <c r="L58" s="259">
        <f t="shared" si="4"/>
        <v>0</v>
      </c>
      <c r="P58" s="201"/>
    </row>
    <row r="59" spans="1:31" ht="73.5" customHeight="1" x14ac:dyDescent="0.3">
      <c r="A59" s="207">
        <f>'Unit Data from Audit Worksheet'!A73</f>
        <v>532</v>
      </c>
      <c r="B59" s="220" t="str">
        <f>'Unit Data from Audit Worksheet'!C73</f>
        <v>General Fund-Rev, Exp. Change in Fund Balance</v>
      </c>
      <c r="C59" s="206" t="str">
        <f>'Unit Data from Audit Worksheet'!D73</f>
        <v xml:space="preserve">Total expenditures  
Exclude expenditures in the "other financing sources (uses)" section.
</v>
      </c>
      <c r="D59" s="129"/>
      <c r="E59" s="226">
        <f>'Unit Data from Audit Worksheet'!F73</f>
        <v>0</v>
      </c>
      <c r="F59" s="219">
        <f t="shared" si="5"/>
        <v>0</v>
      </c>
      <c r="G59" s="221"/>
      <c r="H59" s="218"/>
      <c r="I59" s="31"/>
      <c r="J59" s="217">
        <v>532</v>
      </c>
      <c r="K59" s="277" t="s">
        <v>175</v>
      </c>
      <c r="L59" s="259">
        <f t="shared" si="4"/>
        <v>0</v>
      </c>
      <c r="P59" s="201"/>
    </row>
    <row r="60" spans="1:31" ht="73.5" customHeight="1" x14ac:dyDescent="0.3">
      <c r="A60" s="207">
        <f>'Unit Data from Audit Worksheet'!A74</f>
        <v>17</v>
      </c>
      <c r="B60" s="220" t="str">
        <f>'Unit Data from Audit Worksheet'!C74</f>
        <v>General Fund-Rev, Exp. Change in Fund Balance</v>
      </c>
      <c r="C60" s="206" t="str">
        <f>'Unit Data from Audit Worksheet'!D74</f>
        <v>Total Transfers in    (Preference is that transfers-in  are not netted against transfers-out)</v>
      </c>
      <c r="D60" s="129"/>
      <c r="E60" s="226">
        <f>'Unit Data from Audit Worksheet'!F74</f>
        <v>0</v>
      </c>
      <c r="F60" s="219">
        <f t="shared" si="5"/>
        <v>0</v>
      </c>
      <c r="G60" s="221"/>
      <c r="H60" s="218"/>
      <c r="I60" s="31"/>
      <c r="J60" s="217">
        <v>17</v>
      </c>
      <c r="K60" s="216" t="s">
        <v>176</v>
      </c>
      <c r="L60" s="259">
        <f t="shared" si="4"/>
        <v>0</v>
      </c>
      <c r="P60" s="201"/>
    </row>
    <row r="61" spans="1:31" ht="54.75" customHeight="1" x14ac:dyDescent="0.3">
      <c r="A61" s="207">
        <f>'Unit Data from Audit Worksheet'!A75</f>
        <v>20</v>
      </c>
      <c r="B61" s="220" t="str">
        <f>'Unit Data from Audit Worksheet'!C75</f>
        <v>General Fund-Rev, Exp. Change in Fund Balance</v>
      </c>
      <c r="C61" s="206" t="str">
        <f>'Unit Data from Audit Worksheet'!D75</f>
        <v>Total Transfers out    (Preference is that transfers-in  are not netted against transfers-out)</v>
      </c>
      <c r="D61" s="129"/>
      <c r="E61" s="226">
        <f>'Unit Data from Audit Worksheet'!F75</f>
        <v>0</v>
      </c>
      <c r="F61" s="219">
        <f t="shared" si="5"/>
        <v>0</v>
      </c>
      <c r="G61" s="221"/>
      <c r="H61" s="218"/>
      <c r="I61" s="31"/>
      <c r="J61" s="217">
        <v>20</v>
      </c>
      <c r="K61" s="216" t="s">
        <v>177</v>
      </c>
      <c r="L61" s="259">
        <f t="shared" si="4"/>
        <v>0</v>
      </c>
      <c r="P61" s="201"/>
    </row>
    <row r="62" spans="1:31" ht="54.75" customHeight="1" x14ac:dyDescent="0.3">
      <c r="A62" s="207">
        <f>'Unit Data from Audit Worksheet'!A76</f>
        <v>533</v>
      </c>
      <c r="B62" s="220" t="str">
        <f>'Unit Data from Audit Worksheet'!C76</f>
        <v>General Fund-Rev, Exp. Change in Fund Balance</v>
      </c>
      <c r="C62" s="206" t="str">
        <f>'Unit Data from Audit Worksheet'!D76</f>
        <v>Total Proceeds from all long-term debt issuances 
Exclude proceeds from refundings</v>
      </c>
      <c r="D62" s="129"/>
      <c r="E62" s="226">
        <f>'Unit Data from Audit Worksheet'!F76</f>
        <v>0</v>
      </c>
      <c r="F62" s="219">
        <f t="shared" si="5"/>
        <v>0</v>
      </c>
      <c r="G62" s="221"/>
      <c r="H62" s="218"/>
      <c r="I62" s="31"/>
      <c r="J62" s="217">
        <v>533</v>
      </c>
      <c r="K62" s="277" t="s">
        <v>178</v>
      </c>
      <c r="L62" s="259">
        <f t="shared" si="4"/>
        <v>0</v>
      </c>
      <c r="P62" s="201"/>
    </row>
    <row r="63" spans="1:31" ht="54.75" customHeight="1" x14ac:dyDescent="0.3">
      <c r="A63" s="207">
        <f>'Unit Data from Audit Worksheet'!A77</f>
        <v>508</v>
      </c>
      <c r="B63" s="220" t="str">
        <f>'Unit Data from Audit Worksheet'!C77</f>
        <v>General Fund-Rev, Exp. Change in Fund Balance</v>
      </c>
      <c r="C63" s="206" t="str">
        <f>'Unit Data from Audit Worksheet'!D77</f>
        <v>Debt Refunding - Net refunding proceeds against debt payoff and if positive place results on this line.</v>
      </c>
      <c r="D63" s="129"/>
      <c r="E63" s="226">
        <f>'Unit Data from Audit Worksheet'!F77</f>
        <v>0</v>
      </c>
      <c r="F63" s="219">
        <f t="shared" si="5"/>
        <v>0</v>
      </c>
      <c r="G63" s="221"/>
      <c r="H63" s="218"/>
      <c r="I63" s="31"/>
      <c r="J63" s="217">
        <v>508</v>
      </c>
      <c r="K63" s="216" t="s">
        <v>180</v>
      </c>
      <c r="L63" s="259">
        <f t="shared" si="4"/>
        <v>0</v>
      </c>
      <c r="N63" s="569"/>
      <c r="P63" s="194"/>
    </row>
    <row r="64" spans="1:31" ht="54.75" customHeight="1" x14ac:dyDescent="0.3">
      <c r="A64" s="207">
        <f>'Unit Data from Audit Worksheet'!A78</f>
        <v>509</v>
      </c>
      <c r="B64" s="220" t="str">
        <f>'Unit Data from Audit Worksheet'!C78</f>
        <v>General Fund-Rev, Exp. Change in Fund Balance</v>
      </c>
      <c r="C64" s="206" t="str">
        <f>'Unit Data from Audit Worksheet'!D78</f>
        <v>Debt Refunding - Net refunding proceeds against debt payoff and if negative place results on this line.</v>
      </c>
      <c r="D64" s="129"/>
      <c r="E64" s="226">
        <f>'Unit Data from Audit Worksheet'!F78</f>
        <v>0</v>
      </c>
      <c r="F64" s="219"/>
      <c r="G64" s="221"/>
      <c r="H64" s="218"/>
      <c r="I64" s="31"/>
      <c r="J64" s="217">
        <v>509</v>
      </c>
      <c r="K64" s="216" t="s">
        <v>181</v>
      </c>
      <c r="L64" s="259">
        <f t="shared" si="4"/>
        <v>0</v>
      </c>
      <c r="N64" s="570"/>
      <c r="P64" s="201"/>
      <c r="Q64" s="263"/>
      <c r="S64" s="262"/>
      <c r="T64" s="262"/>
      <c r="U64" s="262"/>
      <c r="V64" s="262"/>
    </row>
    <row r="65" spans="1:31" ht="84.75" customHeight="1" x14ac:dyDescent="0.3">
      <c r="A65" s="207">
        <f>'Unit Data from Audit Worksheet'!A79</f>
        <v>22</v>
      </c>
      <c r="B65" s="220" t="str">
        <f>'Unit Data from Audit Worksheet'!C79</f>
        <v>General Fund-Rev, Exp. Change in Fund Balance</v>
      </c>
      <c r="C65" s="206" t="str">
        <f>'Unit Data from Audit Worksheet'!D79</f>
        <v xml:space="preserve">All other items on this statement that were not included in total revenues, total expenditures, transfers in or out, or proceeds from long-term debt above.  </v>
      </c>
      <c r="D65" s="129"/>
      <c r="E65" s="226">
        <f>'Unit Data from Audit Worksheet'!F79</f>
        <v>0</v>
      </c>
      <c r="F65" s="219"/>
      <c r="G65" s="221"/>
      <c r="H65" s="218"/>
      <c r="I65" s="31"/>
      <c r="J65" s="217">
        <v>22</v>
      </c>
      <c r="K65" s="216" t="s">
        <v>179</v>
      </c>
      <c r="L65" s="259">
        <f t="shared" si="4"/>
        <v>0</v>
      </c>
      <c r="N65" s="570"/>
      <c r="P65" s="191"/>
      <c r="Q65" s="280"/>
      <c r="S65" s="279"/>
      <c r="T65" s="279"/>
      <c r="U65" s="279"/>
      <c r="V65" s="279"/>
    </row>
    <row r="66" spans="1:31" ht="74.25" customHeight="1" x14ac:dyDescent="0.3">
      <c r="A66" s="207">
        <f>'Unit Data from Audit Worksheet'!A80</f>
        <v>23</v>
      </c>
      <c r="B66" s="220" t="str">
        <f>'Unit Data from Audit Worksheet'!C80</f>
        <v>General Fund-Rev, Exp. Change in Fund Balance</v>
      </c>
      <c r="C66" s="206" t="str">
        <f>'Unit Data from Audit Worksheet'!D80</f>
        <v>Change in fund balance - (Increase in Fund balance is recorded as a positive and a decrease in fund balance is recorded as a negative)</v>
      </c>
      <c r="D66" s="129"/>
      <c r="E66" s="226">
        <f>'Unit Data from Audit Worksheet'!F80</f>
        <v>0</v>
      </c>
      <c r="F66" s="219">
        <f>IF(+L57-L59+L60-L61+L62+L63-L64+L65-L66=0,,"Error:Total revenues less toal Expenditures do not equal change in fund balance")</f>
        <v>0</v>
      </c>
      <c r="G66" s="82">
        <f>+L57-L59+L60-L61+L62+L65+L63-L64-L66</f>
        <v>0</v>
      </c>
      <c r="H66" s="218"/>
      <c r="I66" s="31"/>
      <c r="J66" s="217">
        <v>23</v>
      </c>
      <c r="K66" s="216" t="s">
        <v>182</v>
      </c>
      <c r="L66" s="259">
        <f t="shared" si="4"/>
        <v>0</v>
      </c>
      <c r="P66" s="191"/>
    </row>
    <row r="67" spans="1:31" ht="131.4" customHeight="1" x14ac:dyDescent="0.3">
      <c r="A67" s="270">
        <f>'Unit Data from Audit Worksheet'!A82</f>
        <v>507</v>
      </c>
      <c r="B67" s="107" t="str">
        <f>'Unit Data from Audit Worksheet'!C82</f>
        <v>General Fund-Rev, Exp. Change in Fund Balance</v>
      </c>
      <c r="C67" s="202" t="str">
        <f>'Unit Data from Audit Worksheet'!D82</f>
        <v>Any adjustment to beginning fund balance including rounding, prior period adjustments and restatements.   (Amounts that increase fund balance are recorded as positive and amounts that decrease fund balance are recorded as negative)</v>
      </c>
      <c r="D67" s="100"/>
      <c r="E67" s="139">
        <f>'Unit Data from Audit Worksheet'!F82</f>
        <v>0</v>
      </c>
      <c r="F67" s="101" t="e">
        <f>IF(+L53-L66-L67=O53,,"Error: Beginning Fund Bal does not equal our records Accts 9-23-507= PY9")</f>
        <v>#N/A</v>
      </c>
      <c r="G67" s="112" t="e">
        <f>L53-L66-L67-O53</f>
        <v>#N/A</v>
      </c>
      <c r="H67" s="103" t="e">
        <f>'Unit Data from Audit Worksheet'!I82</f>
        <v>#N/A</v>
      </c>
      <c r="I67" s="31"/>
      <c r="J67" s="95">
        <v>507</v>
      </c>
      <c r="K67" s="37" t="s">
        <v>183</v>
      </c>
      <c r="L67" s="259">
        <f t="shared" si="4"/>
        <v>0</v>
      </c>
      <c r="N67" s="267"/>
      <c r="O67" s="266"/>
      <c r="P67" s="191"/>
      <c r="R67" s="356"/>
      <c r="S67" s="356"/>
      <c r="T67" s="356"/>
      <c r="U67" s="356"/>
      <c r="V67" s="356"/>
    </row>
    <row r="68" spans="1:31" s="18" customFormat="1" ht="40.5" customHeight="1" x14ac:dyDescent="0.3">
      <c r="A68" s="186">
        <f>'Unit Data from Audit Worksheet'!A83</f>
        <v>647</v>
      </c>
      <c r="B68" s="229" t="str">
        <f>'Unit Data from Audit Worksheet'!C83</f>
        <v>Debt Service Fund</v>
      </c>
      <c r="C68" s="186" t="str">
        <f>'Unit Data from Audit Worksheet'!D83</f>
        <v>Please enter the Total Fund Balance for any Debt Service Funds</v>
      </c>
      <c r="D68" s="106"/>
      <c r="E68" s="228">
        <f>'Unit Data from Audit Worksheet'!F83</f>
        <v>0</v>
      </c>
      <c r="F68" s="214"/>
      <c r="G68" s="210"/>
      <c r="H68" s="214"/>
      <c r="I68" s="271"/>
      <c r="J68" s="213">
        <v>647</v>
      </c>
      <c r="K68" s="189" t="s">
        <v>734</v>
      </c>
      <c r="L68" s="272">
        <f>IF(D68="",E68,D68)</f>
        <v>0</v>
      </c>
      <c r="M68"/>
      <c r="N68" s="262"/>
      <c r="O68" s="278"/>
      <c r="P68" s="191"/>
      <c r="Q68" s="250"/>
      <c r="R68" s="3"/>
      <c r="S68" s="3"/>
      <c r="T68" s="3"/>
      <c r="U68" s="3"/>
      <c r="V68" s="3"/>
      <c r="W68"/>
      <c r="X68"/>
      <c r="Y68"/>
      <c r="Z68"/>
      <c r="AA68"/>
      <c r="AB68"/>
      <c r="AC68"/>
      <c r="AD68"/>
      <c r="AE68"/>
    </row>
    <row r="69" spans="1:31" ht="75" customHeight="1" x14ac:dyDescent="0.3">
      <c r="A69" s="257">
        <f>'Unit Data from Audit Worksheet'!A85</f>
        <v>171</v>
      </c>
      <c r="B69" s="47" t="str">
        <f>'Unit Data from Audit Worksheet'!C85</f>
        <v>Fund Statements - all Governmental Funds</v>
      </c>
      <c r="C69" s="258" t="str">
        <f>'Unit Data from Audit Worksheet'!D85</f>
        <v>Debt service expenditures from all governmental funds.  Include principal, interest paid, and debt issuance costs on long-term debt.</v>
      </c>
      <c r="D69" s="225"/>
      <c r="E69" s="136">
        <f>'Unit Data from Audit Worksheet'!F85</f>
        <v>0</v>
      </c>
      <c r="F69" s="40">
        <f>IF(L69&lt;0,"Error: Enter as a positive.",)</f>
        <v>0</v>
      </c>
      <c r="G69" s="64"/>
      <c r="H69" s="218"/>
      <c r="I69" s="31"/>
      <c r="J69" s="35">
        <v>171</v>
      </c>
      <c r="K69" s="44" t="s">
        <v>184</v>
      </c>
      <c r="L69" s="259">
        <f t="shared" si="4"/>
        <v>0</v>
      </c>
      <c r="P69" s="191"/>
    </row>
    <row r="70" spans="1:31" ht="93.6" customHeight="1" x14ac:dyDescent="0.3">
      <c r="A70" s="207">
        <f>'Unit Data from Audit Worksheet'!A89</f>
        <v>596</v>
      </c>
      <c r="B70" s="220"/>
      <c r="C70" s="206" t="str">
        <f>'Unit Data from Audit Worksheet'!D89</f>
        <v>Indicate if your water/sewer system:
50 - Became Operational
51 - Ceased Operations
52 - No Change
Select from the drop down list.</v>
      </c>
      <c r="D70" s="129"/>
      <c r="E70" s="226">
        <f>'Unit Data from Audit Worksheet'!F89</f>
        <v>0</v>
      </c>
      <c r="F70" s="219"/>
      <c r="G70" s="219"/>
      <c r="H70" s="218"/>
      <c r="I70" s="31"/>
      <c r="J70" s="217">
        <v>596</v>
      </c>
      <c r="K70" s="216" t="s">
        <v>310</v>
      </c>
      <c r="L70" s="259">
        <f t="shared" si="4"/>
        <v>0</v>
      </c>
      <c r="P70" s="192"/>
    </row>
    <row r="71" spans="1:31" ht="75.599999999999994" customHeight="1" x14ac:dyDescent="0.3">
      <c r="A71" s="207">
        <f>'Unit Data from Audit Worksheet'!A90</f>
        <v>80</v>
      </c>
      <c r="B71" s="220" t="str">
        <f>'Unit Data from Audit Worksheet'!C90</f>
        <v>Water Sewer Net Position Statement</v>
      </c>
      <c r="C71" s="206" t="str">
        <f>'Unit Data from Audit Worksheet'!D90</f>
        <v>Unrestricted Cash and investments 
Exclude restricted cash and/or restricted investments.</v>
      </c>
      <c r="D71" s="129"/>
      <c r="E71" s="226">
        <f>'Unit Data from Audit Worksheet'!F90</f>
        <v>0</v>
      </c>
      <c r="F71" s="219">
        <f>IF(L71&lt;0,"Error: Number is normally positive.",)</f>
        <v>0</v>
      </c>
      <c r="G71" s="219" t="e">
        <f>'Unit Data from Audit Worksheet'!G90</f>
        <v>#N/A</v>
      </c>
      <c r="H71" s="218"/>
      <c r="I71" s="31"/>
      <c r="J71" s="217">
        <v>80</v>
      </c>
      <c r="K71" s="216" t="s">
        <v>185</v>
      </c>
      <c r="L71" s="259">
        <f t="shared" si="4"/>
        <v>0</v>
      </c>
      <c r="P71" s="192"/>
    </row>
    <row r="72" spans="1:31" ht="63.6" customHeight="1" x14ac:dyDescent="0.3">
      <c r="A72" s="207">
        <f>'Unit Data from Audit Worksheet'!A91</f>
        <v>81</v>
      </c>
      <c r="B72" s="220" t="str">
        <f>'Unit Data from Audit Worksheet'!C91</f>
        <v>Water Sewer Net Position Statement</v>
      </c>
      <c r="C72" s="206" t="str">
        <f>'Unit Data from Audit Worksheet'!D91</f>
        <v>Customer accounts receivable (net of allowance accounts). 
Include both billed and unbilled amounts.</v>
      </c>
      <c r="D72" s="129"/>
      <c r="E72" s="226">
        <f>'Unit Data from Audit Worksheet'!F91</f>
        <v>0</v>
      </c>
      <c r="F72" s="219">
        <f>IF(L72&lt;0,"Error: Number is normally positive.",)</f>
        <v>0</v>
      </c>
      <c r="G72" s="221"/>
      <c r="H72" s="218"/>
      <c r="I72" s="31"/>
      <c r="J72" s="217">
        <v>81</v>
      </c>
      <c r="K72" s="216" t="s">
        <v>186</v>
      </c>
      <c r="L72" s="259">
        <f t="shared" si="4"/>
        <v>0</v>
      </c>
      <c r="P72" s="192"/>
    </row>
    <row r="73" spans="1:31" ht="68.25" customHeight="1" x14ac:dyDescent="0.3">
      <c r="A73" s="207">
        <f>'Unit Data from Audit Worksheet'!A92</f>
        <v>579</v>
      </c>
      <c r="B73" s="220" t="str">
        <f>'Unit Data from Audit Worksheet'!C92</f>
        <v>Water Sewer Net Position Statement</v>
      </c>
      <c r="C73" s="206" t="str">
        <f>'Unit Data from Audit Worksheet'!D92</f>
        <v>Water Sewer - Advance To:
Interfund loan receivable-portion of repayment plan longer than 12 months</v>
      </c>
      <c r="D73" s="129"/>
      <c r="E73" s="226">
        <f>'Unit Data from Audit Worksheet'!F92</f>
        <v>0</v>
      </c>
      <c r="F73" s="219"/>
      <c r="G73" s="221"/>
      <c r="H73" s="218"/>
      <c r="I73" s="31"/>
      <c r="J73" s="217">
        <v>579</v>
      </c>
      <c r="K73" s="216" t="s">
        <v>293</v>
      </c>
      <c r="L73" s="259">
        <f t="shared" si="4"/>
        <v>0</v>
      </c>
      <c r="N73" s="281"/>
      <c r="P73" s="192"/>
    </row>
    <row r="74" spans="1:31" ht="47.25" customHeight="1" x14ac:dyDescent="0.3">
      <c r="A74" s="207">
        <f>'Unit Data from Audit Worksheet'!A93</f>
        <v>510</v>
      </c>
      <c r="B74" s="220" t="str">
        <f>'Unit Data from Audit Worksheet'!C93</f>
        <v>Water Sewer Net Position Statement</v>
      </c>
      <c r="C74" s="206" t="str">
        <f>'Unit Data from Audit Worksheet'!D93</f>
        <v>Amount of Inventories and Prepaid expenses in current assets</v>
      </c>
      <c r="D74" s="129"/>
      <c r="E74" s="226">
        <f>'Unit Data from Audit Worksheet'!F93</f>
        <v>0</v>
      </c>
      <c r="F74" s="219"/>
      <c r="G74" s="221"/>
      <c r="H74" s="218"/>
      <c r="I74" s="31"/>
      <c r="J74" s="217">
        <v>510</v>
      </c>
      <c r="K74" s="216" t="s">
        <v>187</v>
      </c>
      <c r="L74" s="259">
        <f t="shared" si="4"/>
        <v>0</v>
      </c>
      <c r="P74" s="192"/>
    </row>
    <row r="75" spans="1:31" ht="43.2" x14ac:dyDescent="0.3">
      <c r="A75" s="207">
        <f>'Unit Data from Audit Worksheet'!A94</f>
        <v>654</v>
      </c>
      <c r="B75" s="220" t="str">
        <f>'Unit Data from Audit Worksheet'!C94</f>
        <v>Water Sewer Net Position Statement</v>
      </c>
      <c r="C75" s="206" t="str">
        <f>'Unit Data from Audit Worksheet'!D94</f>
        <v xml:space="preserve">Total Current assets as listed on the WS Net Position Statement.  
</v>
      </c>
      <c r="D75" s="129"/>
      <c r="E75" s="226">
        <f>'Unit Data from Audit Worksheet'!F94</f>
        <v>0</v>
      </c>
      <c r="F75" s="219">
        <f>IF((+L71+L72+L74)&gt;L75,"Please review components of current assets above Acct. (80+81+510&gt;654",)</f>
        <v>0</v>
      </c>
      <c r="G75" s="221"/>
      <c r="H75" s="218"/>
      <c r="I75" s="31"/>
      <c r="J75" s="217">
        <v>654</v>
      </c>
      <c r="K75" s="223" t="s">
        <v>384</v>
      </c>
      <c r="L75" s="259">
        <f t="shared" si="4"/>
        <v>0</v>
      </c>
      <c r="P75" s="192"/>
    </row>
    <row r="76" spans="1:31" ht="43.2" x14ac:dyDescent="0.3">
      <c r="A76" s="207">
        <f>'Unit Data from Audit Worksheet'!A95</f>
        <v>655</v>
      </c>
      <c r="B76" s="220" t="str">
        <f>'Unit Data from Audit Worksheet'!C95</f>
        <v>Water Sewer Net Position Statement</v>
      </c>
      <c r="C76" s="206" t="str">
        <f>'Unit Data from Audit Worksheet'!D95</f>
        <v>WS-Any current assets that are restricted (Cash, Accounts Rec., etc..) and included in account 654 above</v>
      </c>
      <c r="D76" s="129"/>
      <c r="E76" s="226">
        <f>'Unit Data from Audit Worksheet'!F95</f>
        <v>0</v>
      </c>
      <c r="F76" s="219"/>
      <c r="G76" s="221"/>
      <c r="H76" s="218"/>
      <c r="I76" s="31"/>
      <c r="J76" s="217">
        <v>655</v>
      </c>
      <c r="K76" s="223" t="s">
        <v>415</v>
      </c>
      <c r="L76" s="259">
        <f t="shared" si="4"/>
        <v>0</v>
      </c>
      <c r="P76" s="192"/>
    </row>
    <row r="77" spans="1:31" ht="42.75" customHeight="1" x14ac:dyDescent="0.3">
      <c r="A77" s="207">
        <f>'Unit Data from Audit Worksheet'!A96</f>
        <v>381</v>
      </c>
      <c r="B77" s="220" t="str">
        <f>'Unit Data from Audit Worksheet'!C96</f>
        <v>Water Sewer Net Position Statement</v>
      </c>
      <c r="C77" s="206" t="str">
        <f>'Unit Data from Audit Worksheet'!D96</f>
        <v>Total Assets and deferred outflows</v>
      </c>
      <c r="D77" s="129"/>
      <c r="E77" s="226">
        <f>'Unit Data from Audit Worksheet'!F96</f>
        <v>0</v>
      </c>
      <c r="F77" s="219" t="str">
        <f>IF(L77&lt;L75,"Please review components of current assets above acct. 381&lt;654"," ")</f>
        <v xml:space="preserve"> </v>
      </c>
      <c r="G77" s="221"/>
      <c r="H77" s="218"/>
      <c r="I77" s="31"/>
      <c r="J77" s="217">
        <v>381</v>
      </c>
      <c r="K77" s="216" t="s">
        <v>83</v>
      </c>
      <c r="L77" s="259">
        <f t="shared" si="4"/>
        <v>0</v>
      </c>
      <c r="P77" s="192"/>
    </row>
    <row r="78" spans="1:31" ht="60.75" customHeight="1" x14ac:dyDescent="0.3">
      <c r="A78" s="270">
        <f>'Unit Data from Audit Worksheet'!A97</f>
        <v>578</v>
      </c>
      <c r="B78" s="107" t="str">
        <f>'Unit Data from Audit Worksheet'!C97</f>
        <v>Water Sewer Net Position Statement</v>
      </c>
      <c r="C78" s="261" t="str">
        <f>'Unit Data from Audit Worksheet'!D97</f>
        <v>Water Sewer - Advance From: 
Interfund loan Payable-portion of repayment plan longer than 12 months</v>
      </c>
      <c r="D78" s="100"/>
      <c r="E78" s="139">
        <f>'Unit Data from Audit Worksheet'!F97</f>
        <v>0</v>
      </c>
      <c r="F78" s="101"/>
      <c r="G78" s="102"/>
      <c r="H78" s="103"/>
      <c r="I78" s="31"/>
      <c r="J78" s="95">
        <v>578</v>
      </c>
      <c r="K78" s="37" t="s">
        <v>294</v>
      </c>
      <c r="L78" s="259">
        <f t="shared" si="4"/>
        <v>0</v>
      </c>
      <c r="P78" s="192"/>
    </row>
    <row r="79" spans="1:31" s="18" customFormat="1" ht="104.25" customHeight="1" x14ac:dyDescent="0.3">
      <c r="A79" s="186">
        <v>633</v>
      </c>
      <c r="B79" s="229" t="str">
        <f>'Unit Data from Audit Worksheet'!C98</f>
        <v>Water Sewer Net Position Statement</v>
      </c>
      <c r="C79" s="186" t="str">
        <f>'Unit Data from Audit Worksheet'!D98</f>
        <v>Current liabilities (as reported on the Statement of Fund Net Position)
Include:   Current liabilities including current portion of long-term debt.  Deferred inflows should not be included in Current Liabilities  
Enter as positive</v>
      </c>
      <c r="D79" s="100"/>
      <c r="E79" s="228">
        <f>'Unit Data from Audit Worksheet'!F98</f>
        <v>0</v>
      </c>
      <c r="F79" s="214" t="str">
        <f>IF(L79&gt;=(L80+L81+L82+L83+L84+L85),"","Account 633 is less than the total sum of accounts 634 through 638 + 383")</f>
        <v/>
      </c>
      <c r="G79" s="203">
        <f>L79-(L80+L81+L82+L83+L84+L85)</f>
        <v>0</v>
      </c>
      <c r="H79" s="214"/>
      <c r="I79" s="271"/>
      <c r="J79" s="213">
        <v>633</v>
      </c>
      <c r="K79" s="189" t="s">
        <v>350</v>
      </c>
      <c r="L79" s="272">
        <f>IF(D79="",E79,D79)</f>
        <v>0</v>
      </c>
      <c r="M79"/>
      <c r="N79" s="262"/>
      <c r="O79" s="262"/>
      <c r="P79" s="192"/>
      <c r="Q79" s="250"/>
      <c r="R79" s="3"/>
      <c r="W79"/>
      <c r="X79"/>
      <c r="Y79"/>
      <c r="Z79"/>
      <c r="AA79"/>
      <c r="AB79"/>
      <c r="AC79"/>
      <c r="AD79"/>
      <c r="AE79"/>
    </row>
    <row r="80" spans="1:31" s="18" customFormat="1" ht="130.5" customHeight="1" x14ac:dyDescent="0.3">
      <c r="A80" s="186">
        <v>634</v>
      </c>
      <c r="B80" s="229" t="str">
        <f>'Unit Data from Audit Worksheet'!C99</f>
        <v>Water Sewer Net Position Statement</v>
      </c>
      <c r="C80" s="186" t="str">
        <f>'Unit Data from Audit Worksheet'!D99</f>
        <v>Please enter any bond anticipation notes that are classified as current liabilities and included in account 633 above (amounts entered should agree to the current amount included in the changes to long-term debt note)
Enter as positive</v>
      </c>
      <c r="D80" s="100"/>
      <c r="E80" s="228">
        <f>'Unit Data from Audit Worksheet'!F99</f>
        <v>0</v>
      </c>
      <c r="F80" s="214"/>
      <c r="G80" s="203"/>
      <c r="H80" s="214"/>
      <c r="I80" s="271"/>
      <c r="J80" s="213">
        <v>634</v>
      </c>
      <c r="K80" s="189" t="s">
        <v>351</v>
      </c>
      <c r="L80" s="272">
        <f>IF(D80="",E80,D80)</f>
        <v>0</v>
      </c>
      <c r="M80"/>
      <c r="N80" s="262"/>
      <c r="O80" s="262"/>
      <c r="P80" s="192"/>
      <c r="Q80" s="250"/>
      <c r="R80" s="3"/>
      <c r="W80"/>
      <c r="X80"/>
      <c r="Y80"/>
      <c r="Z80"/>
      <c r="AA80"/>
      <c r="AB80"/>
      <c r="AC80"/>
      <c r="AD80"/>
      <c r="AE80"/>
    </row>
    <row r="81" spans="1:31" s="18" customFormat="1" ht="105.75" customHeight="1" x14ac:dyDescent="0.3">
      <c r="A81" s="186">
        <v>635</v>
      </c>
      <c r="B81" s="229" t="str">
        <f>'Unit Data from Audit Worksheet'!C100</f>
        <v>Water Sewer Net Position Statement</v>
      </c>
      <c r="C81" s="186" t="str">
        <f>'Unit Data from Audit Worksheet'!D100</f>
        <v>Please enter any compensated absences that are classified as current liabilities and included in account 633 above (amounts entered should agree to the current amount included in the changes to long-term debt note)
Enter as positive</v>
      </c>
      <c r="D81" s="100"/>
      <c r="E81" s="228">
        <f>'Unit Data from Audit Worksheet'!F100</f>
        <v>0</v>
      </c>
      <c r="F81" s="214"/>
      <c r="G81" s="203"/>
      <c r="H81" s="214"/>
      <c r="I81" s="271"/>
      <c r="J81" s="213">
        <v>635</v>
      </c>
      <c r="K81" s="189" t="s">
        <v>352</v>
      </c>
      <c r="L81" s="272">
        <f>IF(D81="",E81,D81)</f>
        <v>0</v>
      </c>
      <c r="M81"/>
      <c r="N81" s="262"/>
      <c r="O81" s="262"/>
      <c r="P81" s="192"/>
      <c r="Q81" s="250"/>
      <c r="R81" s="3"/>
      <c r="W81"/>
      <c r="X81"/>
      <c r="Y81"/>
      <c r="Z81"/>
      <c r="AA81"/>
      <c r="AB81"/>
      <c r="AC81"/>
      <c r="AD81"/>
      <c r="AE81"/>
    </row>
    <row r="82" spans="1:31" s="18" customFormat="1" ht="136.19999999999999" customHeight="1" x14ac:dyDescent="0.3">
      <c r="A82" s="186">
        <v>636</v>
      </c>
      <c r="B82" s="229" t="str">
        <f>'Unit Data from Audit Worksheet'!C101</f>
        <v>Water Sewer Net Position Statement</v>
      </c>
      <c r="C82" s="186" t="str">
        <f>'Unit Data from Audit Worksheet'!D101</f>
        <v>Please enter any pension liabilities that are classified as current liabilities and included in account 633 above (amounts entered should agree to the current amount included in the changes to long-term debt note)
Enter as positive</v>
      </c>
      <c r="D82" s="100"/>
      <c r="E82" s="228">
        <f>'Unit Data from Audit Worksheet'!F101</f>
        <v>0</v>
      </c>
      <c r="F82" s="214"/>
      <c r="G82" s="203"/>
      <c r="H82" s="214"/>
      <c r="I82" s="271"/>
      <c r="J82" s="213">
        <v>636</v>
      </c>
      <c r="K82" s="189" t="s">
        <v>347</v>
      </c>
      <c r="L82" s="272">
        <f t="shared" ref="L82:L92" si="6">IF(D82="",E82,D82)</f>
        <v>0</v>
      </c>
      <c r="M82"/>
      <c r="N82" s="262"/>
      <c r="O82" s="262"/>
      <c r="P82" s="192"/>
      <c r="Q82" s="250"/>
      <c r="R82" s="3"/>
      <c r="W82"/>
      <c r="X82"/>
      <c r="Y82"/>
      <c r="Z82"/>
      <c r="AA82"/>
      <c r="AB82"/>
      <c r="AC82"/>
      <c r="AD82"/>
      <c r="AE82"/>
    </row>
    <row r="83" spans="1:31" s="18" customFormat="1" ht="89.4" customHeight="1" x14ac:dyDescent="0.3">
      <c r="A83" s="186">
        <v>637</v>
      </c>
      <c r="B83" s="229" t="str">
        <f>'Unit Data from Audit Worksheet'!C102</f>
        <v>Water Sewer Net Position Statement</v>
      </c>
      <c r="C83" s="186" t="str">
        <f>'Unit Data from Audit Worksheet'!D102</f>
        <v>Please enter any current liabilities that are payable from restricted assets and included in account 633 above.
Enter as positive</v>
      </c>
      <c r="D83" s="100"/>
      <c r="E83" s="228">
        <f>'Unit Data from Audit Worksheet'!F102</f>
        <v>0</v>
      </c>
      <c r="F83" s="214"/>
      <c r="G83" s="203"/>
      <c r="H83" s="214"/>
      <c r="I83" s="271"/>
      <c r="J83" s="213">
        <v>637</v>
      </c>
      <c r="K83" s="189" t="s">
        <v>348</v>
      </c>
      <c r="L83" s="272">
        <f t="shared" si="6"/>
        <v>0</v>
      </c>
      <c r="M83"/>
      <c r="N83" s="262"/>
      <c r="O83" s="262"/>
      <c r="P83" s="195"/>
      <c r="Q83" s="250"/>
      <c r="R83" s="3"/>
      <c r="W83"/>
      <c r="X83"/>
      <c r="Y83"/>
      <c r="Z83"/>
      <c r="AA83"/>
      <c r="AB83"/>
      <c r="AC83"/>
      <c r="AD83"/>
      <c r="AE83"/>
    </row>
    <row r="84" spans="1:31" s="18" customFormat="1" ht="138" customHeight="1" x14ac:dyDescent="0.3">
      <c r="A84" s="186">
        <v>638</v>
      </c>
      <c r="B84" s="229" t="str">
        <f>'Unit Data from Audit Worksheet'!C103</f>
        <v>Water Sewer Net Position Statement</v>
      </c>
      <c r="C84" s="186" t="str">
        <f>'Unit Data from Audit Worksheet'!D103</f>
        <v>Please enter any OPEB liabilities that are classified as current liabilities and included in account 633 above (amounts entered should agree to the current amount included in the changes to long-term debt note)
Enter as positive</v>
      </c>
      <c r="D84" s="100"/>
      <c r="E84" s="228">
        <f>'Unit Data from Audit Worksheet'!F103</f>
        <v>0</v>
      </c>
      <c r="F84" s="214"/>
      <c r="G84" s="203"/>
      <c r="H84" s="214"/>
      <c r="I84" s="271"/>
      <c r="J84" s="213">
        <v>638</v>
      </c>
      <c r="K84" s="189" t="s">
        <v>353</v>
      </c>
      <c r="L84" s="272">
        <f t="shared" si="6"/>
        <v>0</v>
      </c>
      <c r="M84"/>
      <c r="N84" s="262"/>
      <c r="O84" s="262"/>
      <c r="P84" s="192"/>
      <c r="Q84" s="250"/>
      <c r="R84" s="3"/>
      <c r="W84"/>
      <c r="X84"/>
      <c r="Y84"/>
      <c r="Z84"/>
      <c r="AA84"/>
      <c r="AB84"/>
      <c r="AC84"/>
      <c r="AD84"/>
      <c r="AE84"/>
    </row>
    <row r="85" spans="1:31" ht="111.6" customHeight="1" x14ac:dyDescent="0.3">
      <c r="A85" s="257">
        <f>'Unit Data from Audit Worksheet'!A104</f>
        <v>383</v>
      </c>
      <c r="B85" s="47" t="str">
        <f>'Unit Data from Audit Worksheet'!C104</f>
        <v>Water Sewer Net Position Statement</v>
      </c>
      <c r="C85" s="258" t="str">
        <f>'Unit Data from Audit Worksheet'!D104</f>
        <v>Unearned revenue (arising from cash receipts) that were included in Current Liabilities in the question in account 633 above.
Enter as positive</v>
      </c>
      <c r="D85" s="129"/>
      <c r="E85" s="136">
        <f>'Unit Data from Audit Worksheet'!F104</f>
        <v>0</v>
      </c>
      <c r="F85" s="40">
        <f>IF(L85&lt;0,"Error: Enter as a positive.",)</f>
        <v>0</v>
      </c>
      <c r="G85" s="64"/>
      <c r="H85" s="218"/>
      <c r="I85" s="31"/>
      <c r="J85" s="35">
        <v>383</v>
      </c>
      <c r="K85" s="44" t="s">
        <v>188</v>
      </c>
      <c r="L85" s="259">
        <f t="shared" si="6"/>
        <v>0</v>
      </c>
      <c r="P85" s="192"/>
    </row>
    <row r="86" spans="1:31" ht="54" customHeight="1" x14ac:dyDescent="0.3">
      <c r="A86" s="207">
        <f>'Unit Data from Audit Worksheet'!A105</f>
        <v>349</v>
      </c>
      <c r="B86" s="220" t="str">
        <f>'Unit Data from Audit Worksheet'!C105</f>
        <v>Water Sewer Net Position Statement</v>
      </c>
      <c r="C86" s="206" t="str">
        <f>'Unit Data from Audit Worksheet'!D105</f>
        <v>Total Liabilities and deferred inflows</v>
      </c>
      <c r="D86" s="129"/>
      <c r="E86" s="226">
        <f>'Unit Data from Audit Worksheet'!F105</f>
        <v>0</v>
      </c>
      <c r="F86" s="219">
        <f>IF(L79&gt;L86,"Error: Please review accts 633&gt;349",)</f>
        <v>0</v>
      </c>
      <c r="G86" s="221"/>
      <c r="H86" s="218"/>
      <c r="I86" s="31"/>
      <c r="J86" s="217">
        <v>349</v>
      </c>
      <c r="K86" s="216" t="s">
        <v>92</v>
      </c>
      <c r="L86" s="259">
        <f t="shared" si="6"/>
        <v>0</v>
      </c>
      <c r="P86" s="192"/>
    </row>
    <row r="87" spans="1:31" ht="56.25" customHeight="1" x14ac:dyDescent="0.3">
      <c r="A87" s="207">
        <f>'Unit Data from Audit Worksheet'!A106</f>
        <v>375</v>
      </c>
      <c r="B87" s="220" t="str">
        <f>'Unit Data from Audit Worksheet'!C106</f>
        <v>Water Sewer Net Position Statement</v>
      </c>
      <c r="C87" s="206" t="str">
        <f>'Unit Data from Audit Worksheet'!D106</f>
        <v>Total Net position, Unrestricted - enter negative unrestricted net position as a negative</v>
      </c>
      <c r="D87" s="129"/>
      <c r="E87" s="226">
        <f>'Unit Data from Audit Worksheet'!F106</f>
        <v>0</v>
      </c>
      <c r="F87" s="219"/>
      <c r="G87" s="221"/>
      <c r="H87" s="218"/>
      <c r="I87" s="31"/>
      <c r="J87" s="217">
        <v>375</v>
      </c>
      <c r="K87" s="216" t="s">
        <v>189</v>
      </c>
      <c r="L87" s="259">
        <f t="shared" si="6"/>
        <v>0</v>
      </c>
      <c r="P87" s="192"/>
    </row>
    <row r="88" spans="1:31" ht="56.25" customHeight="1" x14ac:dyDescent="0.3">
      <c r="A88" s="207">
        <f>'Unit Data from Audit Worksheet'!A107</f>
        <v>83</v>
      </c>
      <c r="B88" s="220" t="str">
        <f>'Unit Data from Audit Worksheet'!C107</f>
        <v>Water Sewer Net Position Statement</v>
      </c>
      <c r="C88" s="206" t="str">
        <f>'Unit Data from Audit Worksheet'!D107</f>
        <v>Total Net position</v>
      </c>
      <c r="D88" s="129"/>
      <c r="E88" s="226">
        <f>'Unit Data from Audit Worksheet'!F107</f>
        <v>0</v>
      </c>
      <c r="F88" s="219">
        <f>IF(+L77-L86-L88=0,,"Error: Total assets less total liabilities do not equal net position acct 381-349-83=0")</f>
        <v>0</v>
      </c>
      <c r="G88" s="82">
        <f>L77-L86-L88</f>
        <v>0</v>
      </c>
      <c r="H88" s="218"/>
      <c r="I88" s="31"/>
      <c r="J88" s="217">
        <v>83</v>
      </c>
      <c r="K88" s="216" t="s">
        <v>73</v>
      </c>
      <c r="L88" s="259">
        <f t="shared" si="6"/>
        <v>0</v>
      </c>
      <c r="O88" s="266" t="e">
        <f>'Unit Data from Audit Worksheet'!E107</f>
        <v>#N/A</v>
      </c>
      <c r="P88" s="192"/>
      <c r="Q88" s="222"/>
    </row>
    <row r="89" spans="1:31" ht="56.25" customHeight="1" x14ac:dyDescent="0.3">
      <c r="A89" s="207">
        <f>'Unit Data from Audit Worksheet'!A109</f>
        <v>90</v>
      </c>
      <c r="B89" s="220" t="str">
        <f>'Unit Data from Audit Worksheet'!C109</f>
        <v>Electric Fund Net Position Statement</v>
      </c>
      <c r="C89" s="206" t="str">
        <f>'Unit Data from Audit Worksheet'!D109</f>
        <v>All Unrestricted Cash and Investments.  
Exclude any restricted cash and investments.</v>
      </c>
      <c r="D89" s="129"/>
      <c r="E89" s="226">
        <f>'Unit Data from Audit Worksheet'!F109</f>
        <v>0</v>
      </c>
      <c r="F89" s="219">
        <f>IF(L89&lt;0,"Error: Number is normally positive.",)</f>
        <v>0</v>
      </c>
      <c r="G89" s="221"/>
      <c r="H89" s="218"/>
      <c r="I89" s="31"/>
      <c r="J89" s="217">
        <v>90</v>
      </c>
      <c r="K89" s="216" t="s">
        <v>190</v>
      </c>
      <c r="L89" s="259">
        <f t="shared" si="6"/>
        <v>0</v>
      </c>
      <c r="P89" s="192"/>
    </row>
    <row r="90" spans="1:31" ht="56.25" customHeight="1" x14ac:dyDescent="0.3">
      <c r="A90" s="207">
        <f>'Unit Data from Audit Worksheet'!A110</f>
        <v>91</v>
      </c>
      <c r="B90" s="220" t="str">
        <f>'Unit Data from Audit Worksheet'!C110</f>
        <v>Electric Fund Net Position Statement</v>
      </c>
      <c r="C90" s="206" t="str">
        <f>'Unit Data from Audit Worksheet'!D110</f>
        <v xml:space="preserve">Customer accounts receivable (net of allowance accounts)
Include billed and unbilled amounts </v>
      </c>
      <c r="D90" s="129"/>
      <c r="E90" s="226">
        <f>'Unit Data from Audit Worksheet'!F110</f>
        <v>0</v>
      </c>
      <c r="F90" s="219">
        <f>IF(L90&lt;0,"Error: Number is normally positive.",)</f>
        <v>0</v>
      </c>
      <c r="G90" s="221"/>
      <c r="H90" s="218"/>
      <c r="I90" s="31"/>
      <c r="J90" s="217">
        <v>91</v>
      </c>
      <c r="K90" s="216" t="s">
        <v>191</v>
      </c>
      <c r="L90" s="259">
        <f t="shared" si="6"/>
        <v>0</v>
      </c>
      <c r="P90" s="192"/>
    </row>
    <row r="91" spans="1:31" ht="56.25" customHeight="1" x14ac:dyDescent="0.3">
      <c r="A91" s="207">
        <f>'Unit Data from Audit Worksheet'!A111</f>
        <v>581</v>
      </c>
      <c r="B91" s="220" t="str">
        <f>'Unit Data from Audit Worksheet'!C111</f>
        <v>Electric Fund Net Position Statement</v>
      </c>
      <c r="C91" s="206" t="str">
        <f>'Unit Data from Audit Worksheet'!D111</f>
        <v>Electric Fund - Advance To:
Interfund loan receivable-portion of repayment plan longer than 12 months</v>
      </c>
      <c r="D91" s="129"/>
      <c r="E91" s="226">
        <f>'Unit Data from Audit Worksheet'!F111</f>
        <v>0</v>
      </c>
      <c r="F91" s="219"/>
      <c r="G91" s="221"/>
      <c r="H91" s="218"/>
      <c r="I91" s="31"/>
      <c r="J91" s="217">
        <v>581</v>
      </c>
      <c r="K91" s="216" t="s">
        <v>295</v>
      </c>
      <c r="L91" s="259">
        <f t="shared" si="6"/>
        <v>0</v>
      </c>
      <c r="P91" s="192"/>
    </row>
    <row r="92" spans="1:31" ht="56.25" customHeight="1" x14ac:dyDescent="0.3">
      <c r="A92" s="207">
        <f>'Unit Data from Audit Worksheet'!A112</f>
        <v>511</v>
      </c>
      <c r="B92" s="220" t="str">
        <f>'Unit Data from Audit Worksheet'!C112</f>
        <v>Electric Fund Net Position Statement</v>
      </c>
      <c r="C92" s="206" t="str">
        <f>'Unit Data from Audit Worksheet'!D112</f>
        <v>Amount of inventories and prepaids</v>
      </c>
      <c r="D92" s="129"/>
      <c r="E92" s="226">
        <f>'Unit Data from Audit Worksheet'!F112</f>
        <v>0</v>
      </c>
      <c r="F92" s="219">
        <f t="shared" ref="F92:F97" si="7">IF(L92&lt;0,"Error: Number is normally positive.",)</f>
        <v>0</v>
      </c>
      <c r="G92" s="221"/>
      <c r="H92" s="218"/>
      <c r="I92" s="31"/>
      <c r="J92" s="217">
        <v>511</v>
      </c>
      <c r="K92" s="216" t="s">
        <v>192</v>
      </c>
      <c r="L92" s="259">
        <f t="shared" si="6"/>
        <v>0</v>
      </c>
      <c r="P92" s="192"/>
    </row>
    <row r="93" spans="1:31" ht="62.25" customHeight="1" x14ac:dyDescent="0.3">
      <c r="A93" s="207">
        <f>'Unit Data from Audit Worksheet'!A113</f>
        <v>657</v>
      </c>
      <c r="B93" s="220" t="str">
        <f>'Unit Data from Audit Worksheet'!C113</f>
        <v>Electric Fund Net Position Statement</v>
      </c>
      <c r="C93" s="206" t="str">
        <f>'Unit Data from Audit Worksheet'!D113</f>
        <v xml:space="preserve">Total Current assets as listed on the Electric Net Position Statement.  
</v>
      </c>
      <c r="D93" s="129"/>
      <c r="E93" s="226">
        <f>'Unit Data from Audit Worksheet'!F113</f>
        <v>0</v>
      </c>
      <c r="F93" s="219">
        <f t="shared" si="7"/>
        <v>0</v>
      </c>
      <c r="G93" s="221"/>
      <c r="H93" s="218"/>
      <c r="I93" s="31"/>
      <c r="J93" s="217">
        <v>657</v>
      </c>
      <c r="K93" s="216" t="s">
        <v>387</v>
      </c>
      <c r="L93" s="272">
        <f>IF(D93="",E93,D93)</f>
        <v>0</v>
      </c>
      <c r="P93" s="192"/>
    </row>
    <row r="94" spans="1:31" ht="62.25" customHeight="1" x14ac:dyDescent="0.3">
      <c r="A94" s="207">
        <f>'Unit Data from Audit Worksheet'!A114</f>
        <v>658</v>
      </c>
      <c r="B94" s="220" t="str">
        <f>'Unit Data from Audit Worksheet'!C114</f>
        <v>Electric Fund Net Position Statement</v>
      </c>
      <c r="C94" s="206" t="str">
        <f>'Unit Data from Audit Worksheet'!D114</f>
        <v>Electric-Any current assets that are restricted (Cash, Accounts Rec., etc..) and included in account 657 above</v>
      </c>
      <c r="D94" s="129"/>
      <c r="E94" s="226">
        <f>'Unit Data from Audit Worksheet'!F114</f>
        <v>0</v>
      </c>
      <c r="F94" s="219">
        <f t="shared" si="7"/>
        <v>0</v>
      </c>
      <c r="G94" s="221"/>
      <c r="H94" s="218"/>
      <c r="I94" s="31"/>
      <c r="J94" s="217">
        <v>658</v>
      </c>
      <c r="K94" s="216" t="s">
        <v>414</v>
      </c>
      <c r="L94" s="272">
        <f>IF(D94="",E94,D94)</f>
        <v>0</v>
      </c>
      <c r="P94" s="192"/>
    </row>
    <row r="95" spans="1:31" ht="39.75" customHeight="1" x14ac:dyDescent="0.3">
      <c r="A95" s="207">
        <f>'Unit Data from Audit Worksheet'!A115</f>
        <v>382</v>
      </c>
      <c r="B95" s="220" t="str">
        <f>'Unit Data from Audit Worksheet'!C115</f>
        <v>Electric Fund Net Position Statement</v>
      </c>
      <c r="C95" s="206" t="str">
        <f>'Unit Data from Audit Worksheet'!D115</f>
        <v>Total Assets and deferred outflows</v>
      </c>
      <c r="D95" s="129"/>
      <c r="E95" s="226">
        <f>'Unit Data from Audit Worksheet'!F115</f>
        <v>0</v>
      </c>
      <c r="F95" s="219">
        <f t="shared" si="7"/>
        <v>0</v>
      </c>
      <c r="G95" s="221"/>
      <c r="H95" s="218"/>
      <c r="I95" s="31"/>
      <c r="J95" s="217">
        <v>382</v>
      </c>
      <c r="K95" s="216" t="s">
        <v>84</v>
      </c>
      <c r="L95" s="259">
        <f>IF(D95="",E95,D95)</f>
        <v>0</v>
      </c>
      <c r="P95" s="192"/>
    </row>
    <row r="96" spans="1:31" ht="39.75" customHeight="1" x14ac:dyDescent="0.3">
      <c r="A96" s="207">
        <f>'Unit Data from Audit Worksheet'!A116</f>
        <v>360</v>
      </c>
      <c r="B96" s="220" t="str">
        <f>'Unit Data from Audit Worksheet'!C116</f>
        <v>Electric Fund Net Position Statement</v>
      </c>
      <c r="C96" s="206" t="str">
        <f>'Unit Data from Audit Worksheet'!D116</f>
        <v>Total liabilities and total deferred inflows</v>
      </c>
      <c r="D96" s="129"/>
      <c r="E96" s="226">
        <f>'Unit Data from Audit Worksheet'!F116</f>
        <v>0</v>
      </c>
      <c r="F96" s="219">
        <f t="shared" si="7"/>
        <v>0</v>
      </c>
      <c r="G96" s="221"/>
      <c r="H96" s="218"/>
      <c r="I96" s="31"/>
      <c r="J96" s="217">
        <v>360</v>
      </c>
      <c r="K96" s="99" t="s">
        <v>95</v>
      </c>
      <c r="L96" s="259">
        <f>IF(D96="",E96,D96)</f>
        <v>0</v>
      </c>
      <c r="P96" s="192"/>
    </row>
    <row r="97" spans="1:31" ht="58.5" customHeight="1" x14ac:dyDescent="0.3">
      <c r="A97" s="207">
        <f>'Unit Data from Audit Worksheet'!A117</f>
        <v>580</v>
      </c>
      <c r="B97" s="220" t="str">
        <f>'Unit Data from Audit Worksheet'!C117</f>
        <v>Electric Fund Net Position Statement</v>
      </c>
      <c r="C97" s="206" t="str">
        <f>'Unit Data from Audit Worksheet'!D117</f>
        <v>Electric Fund - Advance From:
Interfund loans payable-portion of repayment plan longer than 12 months</v>
      </c>
      <c r="D97" s="129"/>
      <c r="E97" s="226">
        <f>'Unit Data from Audit Worksheet'!F117</f>
        <v>0</v>
      </c>
      <c r="F97" s="219">
        <f t="shared" si="7"/>
        <v>0</v>
      </c>
      <c r="G97" s="221"/>
      <c r="H97" s="218"/>
      <c r="I97" s="31"/>
      <c r="J97" s="217">
        <v>580</v>
      </c>
      <c r="K97" s="99" t="s">
        <v>296</v>
      </c>
      <c r="L97" s="259">
        <f>IF(D97="",E97,D97)</f>
        <v>0</v>
      </c>
      <c r="N97" s="267"/>
      <c r="P97" s="196"/>
    </row>
    <row r="98" spans="1:31" s="18" customFormat="1" ht="126.6" customHeight="1" x14ac:dyDescent="0.3">
      <c r="A98" s="207">
        <f>'Unit Data from Audit Worksheet'!A118</f>
        <v>639</v>
      </c>
      <c r="B98" s="220" t="str">
        <f>'Unit Data from Audit Worksheet'!C118</f>
        <v>Electric Fund Net Position Statement</v>
      </c>
      <c r="C98" s="206" t="str">
        <f>'Unit Data from Audit Worksheet'!D118</f>
        <v>Current liabilities (as reported on the Statement of Fund Net Position)
Include:   Current liabilities including current portion of long-term debt.  Deferred inflows should not be included in Current Liabilities   
Enter as a positive</v>
      </c>
      <c r="D98" s="129"/>
      <c r="E98" s="226">
        <f>'Unit Data from Audit Worksheet'!F118</f>
        <v>0</v>
      </c>
      <c r="F98" s="219" t="str">
        <f>IF(L98&gt;=(L99+L100+L101+L102+L103+L104),"","Account 639 is less than the total sum of accounts 640 through 644 + 384")</f>
        <v/>
      </c>
      <c r="G98" s="221">
        <f>L98-(L99+L100+L101+L102+L103+L104)</f>
        <v>0</v>
      </c>
      <c r="H98" s="218"/>
      <c r="I98" s="31"/>
      <c r="J98" s="217">
        <v>639</v>
      </c>
      <c r="K98" s="216" t="s">
        <v>354</v>
      </c>
      <c r="L98" s="272">
        <f t="shared" ref="L98:L122" si="8">IF(D98="",E98,D98)</f>
        <v>0</v>
      </c>
      <c r="M98"/>
      <c r="P98" s="192"/>
      <c r="Q98" s="250"/>
      <c r="R98" s="3"/>
      <c r="S98" s="3"/>
      <c r="T98" s="3"/>
      <c r="U98" s="3"/>
      <c r="V98" s="3"/>
      <c r="W98"/>
      <c r="X98"/>
      <c r="Y98"/>
      <c r="Z98"/>
      <c r="AA98"/>
      <c r="AB98"/>
      <c r="AC98"/>
      <c r="AD98"/>
      <c r="AE98"/>
    </row>
    <row r="99" spans="1:31" s="18" customFormat="1" ht="127.8" customHeight="1" x14ac:dyDescent="0.3">
      <c r="A99" s="207">
        <f>'Unit Data from Audit Worksheet'!A119</f>
        <v>640</v>
      </c>
      <c r="B99" s="220" t="str">
        <f>'Unit Data from Audit Worksheet'!C119</f>
        <v>Electric Fund Net Position Statement</v>
      </c>
      <c r="C99" s="206" t="str">
        <f>'Unit Data from Audit Worksheet'!D119</f>
        <v>Please enter any bond anticipation notes that are classified as current liabilities and included in account 639 above (amounts entered should agree to the current amount included in the changes to long-term debt note)
Enter as a positive</v>
      </c>
      <c r="D99" s="129"/>
      <c r="E99" s="226">
        <f>'Unit Data from Audit Worksheet'!F119</f>
        <v>0</v>
      </c>
      <c r="F99" s="219"/>
      <c r="G99" s="221"/>
      <c r="H99" s="218"/>
      <c r="I99" s="31"/>
      <c r="J99" s="217">
        <v>640</v>
      </c>
      <c r="K99" s="216" t="s">
        <v>355</v>
      </c>
      <c r="L99" s="272">
        <f t="shared" si="8"/>
        <v>0</v>
      </c>
      <c r="M99"/>
      <c r="P99" s="192"/>
      <c r="Q99" s="250"/>
      <c r="R99" s="3"/>
      <c r="S99" s="3"/>
      <c r="T99" s="3"/>
      <c r="U99" s="3"/>
      <c r="V99" s="3"/>
      <c r="W99"/>
      <c r="X99"/>
      <c r="Y99"/>
      <c r="Z99"/>
      <c r="AA99"/>
      <c r="AB99"/>
      <c r="AC99"/>
      <c r="AD99"/>
      <c r="AE99"/>
    </row>
    <row r="100" spans="1:31" s="18" customFormat="1" ht="140.4" customHeight="1" x14ac:dyDescent="0.3">
      <c r="A100" s="207">
        <f>'Unit Data from Audit Worksheet'!A120</f>
        <v>641</v>
      </c>
      <c r="B100" s="220" t="str">
        <f>'Unit Data from Audit Worksheet'!C120</f>
        <v>Electric Fund Net Position Statement</v>
      </c>
      <c r="C100" s="206" t="str">
        <f>'Unit Data from Audit Worksheet'!D120</f>
        <v>Please enter any compensated absences that are classified as current liabilities and included in account 639 above (amounts entered should agree to the current amount included in the changes to long-term debt note)
Enter as a positive</v>
      </c>
      <c r="D100" s="129"/>
      <c r="E100" s="226">
        <f>'Unit Data from Audit Worksheet'!F120</f>
        <v>0</v>
      </c>
      <c r="F100" s="219"/>
      <c r="G100" s="221"/>
      <c r="H100" s="218"/>
      <c r="I100" s="31"/>
      <c r="J100" s="217">
        <v>641</v>
      </c>
      <c r="K100" s="216" t="s">
        <v>356</v>
      </c>
      <c r="L100" s="272">
        <f t="shared" si="8"/>
        <v>0</v>
      </c>
      <c r="M100"/>
      <c r="P100" s="197"/>
      <c r="Q100" s="250"/>
      <c r="R100" s="3"/>
      <c r="S100" s="3"/>
      <c r="T100" s="3"/>
      <c r="U100" s="3"/>
      <c r="V100" s="3"/>
      <c r="W100"/>
      <c r="X100"/>
      <c r="Y100"/>
      <c r="Z100"/>
      <c r="AA100"/>
      <c r="AB100"/>
      <c r="AC100"/>
      <c r="AD100"/>
      <c r="AE100"/>
    </row>
    <row r="101" spans="1:31" s="18" customFormat="1" ht="133.19999999999999" customHeight="1" x14ac:dyDescent="0.3">
      <c r="A101" s="207">
        <f>'Unit Data from Audit Worksheet'!A121</f>
        <v>642</v>
      </c>
      <c r="B101" s="220" t="str">
        <f>'Unit Data from Audit Worksheet'!C121</f>
        <v>Electric Fund Net Position Statement</v>
      </c>
      <c r="C101" s="206" t="str">
        <f>'Unit Data from Audit Worksheet'!D121</f>
        <v>Please enter any pension liabilities that are classified as current liabilities and included account in 639 above (amounts entered should agree to the current amount included in the changes to long-term debt note)
Enter as a positive</v>
      </c>
      <c r="D101" s="129"/>
      <c r="E101" s="226">
        <f>'Unit Data from Audit Worksheet'!F121</f>
        <v>0</v>
      </c>
      <c r="F101" s="219"/>
      <c r="G101" s="221"/>
      <c r="H101" s="218"/>
      <c r="I101" s="31"/>
      <c r="J101" s="217">
        <v>642</v>
      </c>
      <c r="K101" s="216" t="s">
        <v>357</v>
      </c>
      <c r="L101" s="272">
        <f t="shared" si="8"/>
        <v>0</v>
      </c>
      <c r="M101"/>
      <c r="P101" s="197"/>
      <c r="Q101" s="250"/>
      <c r="R101" s="3"/>
      <c r="S101" s="3"/>
      <c r="T101" s="3"/>
      <c r="U101" s="3"/>
      <c r="V101" s="3"/>
      <c r="W101"/>
      <c r="X101"/>
      <c r="Y101"/>
      <c r="Z101"/>
      <c r="AA101"/>
      <c r="AB101"/>
      <c r="AC101"/>
      <c r="AD101"/>
      <c r="AE101"/>
    </row>
    <row r="102" spans="1:31" s="18" customFormat="1" ht="101.4" customHeight="1" x14ac:dyDescent="0.3">
      <c r="A102" s="207">
        <f>'Unit Data from Audit Worksheet'!A122</f>
        <v>643</v>
      </c>
      <c r="B102" s="220" t="str">
        <f>'Unit Data from Audit Worksheet'!C122</f>
        <v>Electric Fund Net Position Statement</v>
      </c>
      <c r="C102" s="206" t="str">
        <f>'Unit Data from Audit Worksheet'!D122</f>
        <v>Please enter any current liabilities that are payable from restricted assets and included in account 639 above. 
Enter as a positive</v>
      </c>
      <c r="D102" s="129"/>
      <c r="E102" s="226">
        <f>'Unit Data from Audit Worksheet'!F122</f>
        <v>0</v>
      </c>
      <c r="F102" s="219"/>
      <c r="G102" s="221"/>
      <c r="H102" s="218"/>
      <c r="I102" s="31"/>
      <c r="J102" s="217">
        <v>643</v>
      </c>
      <c r="K102" s="216" t="s">
        <v>358</v>
      </c>
      <c r="L102" s="272">
        <f t="shared" si="8"/>
        <v>0</v>
      </c>
      <c r="M102"/>
      <c r="P102" s="192"/>
      <c r="Q102" s="250"/>
      <c r="R102" s="3"/>
      <c r="S102" s="3"/>
      <c r="T102" s="3"/>
      <c r="U102" s="3"/>
      <c r="V102" s="3"/>
      <c r="W102"/>
      <c r="X102"/>
      <c r="Y102"/>
      <c r="Z102"/>
      <c r="AA102"/>
      <c r="AB102"/>
      <c r="AC102"/>
      <c r="AD102"/>
      <c r="AE102"/>
    </row>
    <row r="103" spans="1:31" s="18" customFormat="1" ht="133.19999999999999" customHeight="1" x14ac:dyDescent="0.3">
      <c r="A103" s="207">
        <f>'Unit Data from Audit Worksheet'!A123</f>
        <v>644</v>
      </c>
      <c r="B103" s="220" t="str">
        <f>'Unit Data from Audit Worksheet'!C123</f>
        <v>Electric Fund Net Position Statement</v>
      </c>
      <c r="C103" s="206" t="str">
        <f>'Unit Data from Audit Worksheet'!D123</f>
        <v>Please enter any OPEB liabilities that are classified as current liabilities and included in account 639 above (amounts entered should agree to the current amount included in the changes to long-term debt note)
Enter as a positive</v>
      </c>
      <c r="D103" s="129"/>
      <c r="E103" s="226">
        <f>'Unit Data from Audit Worksheet'!F123</f>
        <v>0</v>
      </c>
      <c r="F103" s="219"/>
      <c r="G103" s="221"/>
      <c r="H103" s="218"/>
      <c r="I103" s="31"/>
      <c r="J103" s="176">
        <v>644</v>
      </c>
      <c r="K103" s="216" t="s">
        <v>359</v>
      </c>
      <c r="L103" s="272">
        <f t="shared" si="8"/>
        <v>0</v>
      </c>
      <c r="M103"/>
      <c r="P103" s="192"/>
      <c r="Q103" s="250"/>
      <c r="R103" s="3"/>
      <c r="S103" s="3"/>
      <c r="T103" s="3"/>
      <c r="U103" s="3"/>
      <c r="V103" s="3"/>
      <c r="W103"/>
      <c r="X103"/>
      <c r="Y103"/>
      <c r="Z103"/>
      <c r="AA103"/>
      <c r="AB103"/>
      <c r="AC103"/>
      <c r="AD103"/>
      <c r="AE103"/>
    </row>
    <row r="104" spans="1:31" ht="96.6" customHeight="1" x14ac:dyDescent="0.3">
      <c r="A104" s="207">
        <f>+'Unit Data from Audit Worksheet'!A124</f>
        <v>384</v>
      </c>
      <c r="B104" s="207" t="str">
        <f>+'Unit Data from Audit Worksheet'!C124</f>
        <v>Electric Fund Net Position Statement</v>
      </c>
      <c r="C104" s="207" t="str">
        <f>+'Unit Data from Audit Worksheet'!D124</f>
        <v>Unearned revenue (arising from cash receipts) that were included in Current Liabilities in account 639 above.
Enter as a positive</v>
      </c>
      <c r="D104" s="129"/>
      <c r="E104" s="226">
        <f>+'Unit Data from Audit Worksheet'!F124</f>
        <v>0</v>
      </c>
      <c r="F104" s="219"/>
      <c r="G104" s="221"/>
      <c r="H104" s="218"/>
      <c r="I104" s="31"/>
      <c r="J104" s="217">
        <v>384</v>
      </c>
      <c r="K104" s="51" t="s">
        <v>94</v>
      </c>
      <c r="L104" s="259">
        <f t="shared" si="8"/>
        <v>0</v>
      </c>
      <c r="P104" s="192"/>
    </row>
    <row r="105" spans="1:31" ht="94.8" customHeight="1" x14ac:dyDescent="0.3">
      <c r="A105" s="207">
        <f>+'Unit Data from Audit Worksheet'!A125</f>
        <v>361</v>
      </c>
      <c r="B105" s="207" t="str">
        <f>+'Unit Data from Audit Worksheet'!C125</f>
        <v>Electric Fund Net Position Statement</v>
      </c>
      <c r="C105" s="207" t="str">
        <f>+'Unit Data from Audit Worksheet'!D125</f>
        <v>Total net position, unrestricted - Amount of negative unrestricted net position should be entered as a negative amount and the amount of positive unrestricted net position should be entered as a positive amount.</v>
      </c>
      <c r="D105" s="129"/>
      <c r="E105" s="226">
        <f>+'Unit Data from Audit Worksheet'!F125</f>
        <v>0</v>
      </c>
      <c r="F105" s="219"/>
      <c r="G105" s="221"/>
      <c r="H105" s="218"/>
      <c r="I105" s="31"/>
      <c r="J105" s="217">
        <v>361</v>
      </c>
      <c r="K105" s="216" t="s">
        <v>77</v>
      </c>
      <c r="L105" s="259">
        <f t="shared" si="8"/>
        <v>0</v>
      </c>
      <c r="P105" s="192"/>
    </row>
    <row r="106" spans="1:31" ht="46.5" customHeight="1" x14ac:dyDescent="0.3">
      <c r="A106" s="207">
        <f>'Unit Data from Audit Worksheet'!A126</f>
        <v>362</v>
      </c>
      <c r="B106" s="220" t="str">
        <f>'Unit Data from Audit Worksheet'!C126</f>
        <v>Electric Fund Net Position Statement</v>
      </c>
      <c r="C106" s="206" t="str">
        <f>'Unit Data from Audit Worksheet'!D126</f>
        <v>Total net position</v>
      </c>
      <c r="D106" s="129"/>
      <c r="E106" s="226">
        <f>'Unit Data from Audit Worksheet'!F126</f>
        <v>0</v>
      </c>
      <c r="F106" s="219">
        <f>IF(L95-L96-L106=0,,"Error: Total assets less total liabilities do not equal net position acct 382-360-362=0")</f>
        <v>0</v>
      </c>
      <c r="G106" s="82">
        <f>+L95-L96-L106</f>
        <v>0</v>
      </c>
      <c r="H106" s="218"/>
      <c r="I106" s="31"/>
      <c r="J106" s="217">
        <v>362</v>
      </c>
      <c r="K106" s="216" t="s">
        <v>78</v>
      </c>
      <c r="L106" s="259">
        <f t="shared" si="8"/>
        <v>0</v>
      </c>
      <c r="O106" s="266" t="e">
        <f>'Unit Data from Audit Worksheet'!E126</f>
        <v>#N/A</v>
      </c>
      <c r="P106" s="192"/>
    </row>
    <row r="107" spans="1:31" ht="61.5" customHeight="1" x14ac:dyDescent="0.3">
      <c r="A107" s="207">
        <f>'Unit Data from Audit Worksheet'!A129</f>
        <v>88</v>
      </c>
      <c r="B107" s="220" t="str">
        <f>'Unit Data from Audit Worksheet'!C129</f>
        <v>Water Sewer Revenue, Expenses &amp; Changes in Fund Net Position</v>
      </c>
      <c r="C107" s="206" t="str">
        <f>'Unit Data from Audit Worksheet'!D129</f>
        <v>Charges for services. 
Exclude tap, capacity fees and other misc. income .</v>
      </c>
      <c r="D107" s="129"/>
      <c r="E107" s="226">
        <f>'Unit Data from Audit Worksheet'!F129</f>
        <v>0</v>
      </c>
      <c r="F107" s="219"/>
      <c r="G107" s="221"/>
      <c r="H107" s="218"/>
      <c r="I107" s="31"/>
      <c r="J107" s="217">
        <v>88</v>
      </c>
      <c r="K107" s="216" t="s">
        <v>193</v>
      </c>
      <c r="L107" s="259">
        <f t="shared" si="8"/>
        <v>0</v>
      </c>
      <c r="P107" s="192"/>
    </row>
    <row r="108" spans="1:31" ht="72" customHeight="1" x14ac:dyDescent="0.3">
      <c r="A108" s="207">
        <f>'Unit Data from Audit Worksheet'!A130</f>
        <v>84</v>
      </c>
      <c r="B108" s="220" t="str">
        <f>'Unit Data from Audit Worksheet'!C130</f>
        <v>Water Sewer Revenue, Expenses &amp; Changes in Fund Net Position</v>
      </c>
      <c r="C108" s="206" t="str">
        <f>'Unit Data from Audit Worksheet'!D130</f>
        <v>Total Operating revenues</v>
      </c>
      <c r="D108" s="129"/>
      <c r="E108" s="226">
        <f>'Unit Data from Audit Worksheet'!F130</f>
        <v>0</v>
      </c>
      <c r="F108" s="219" t="str">
        <f>IF(L107&gt;L108,"Error: Charges for services exceed total operating revenues. Acct # 88&gt;84"," ")</f>
        <v xml:space="preserve"> </v>
      </c>
      <c r="G108" s="221" t="str">
        <f>IF(Q89=1," Included in error count"," ")</f>
        <v xml:space="preserve"> </v>
      </c>
      <c r="H108" s="218"/>
      <c r="I108" s="31"/>
      <c r="J108" s="217">
        <v>84</v>
      </c>
      <c r="K108" s="216" t="s">
        <v>194</v>
      </c>
      <c r="L108" s="259">
        <f t="shared" si="8"/>
        <v>0</v>
      </c>
      <c r="P108" s="192"/>
    </row>
    <row r="109" spans="1:31" ht="72" customHeight="1" x14ac:dyDescent="0.3">
      <c r="A109" s="207">
        <f>'Unit Data from Audit Worksheet'!A131</f>
        <v>49</v>
      </c>
      <c r="B109" s="220" t="str">
        <f>'Unit Data from Audit Worksheet'!C131</f>
        <v>Water Sewer Revenue, Expenses &amp; Changes in Fund Net Position</v>
      </c>
      <c r="C109" s="206" t="str">
        <f>'Unit Data from Audit Worksheet'!D131</f>
        <v>Depreciation and amortization expense</v>
      </c>
      <c r="D109" s="129"/>
      <c r="E109" s="226">
        <f>'Unit Data from Audit Worksheet'!F131</f>
        <v>0</v>
      </c>
      <c r="F109" s="219"/>
      <c r="G109" s="221"/>
      <c r="H109" s="218"/>
      <c r="I109" s="31"/>
      <c r="J109" s="217">
        <v>49</v>
      </c>
      <c r="K109" s="216" t="s">
        <v>195</v>
      </c>
      <c r="L109" s="259">
        <f t="shared" si="8"/>
        <v>0</v>
      </c>
      <c r="O109" s="266"/>
      <c r="P109" s="192"/>
    </row>
    <row r="110" spans="1:31" ht="48" customHeight="1" x14ac:dyDescent="0.3">
      <c r="A110" s="207">
        <f>'Unit Data from Audit Worksheet'!A132</f>
        <v>85</v>
      </c>
      <c r="B110" s="220" t="str">
        <f>'Unit Data from Audit Worksheet'!C132</f>
        <v>Water Sewer Revenue, Expenses &amp; Changes in Fund Net Position</v>
      </c>
      <c r="C110" s="206" t="str">
        <f>'Unit Data from Audit Worksheet'!D132</f>
        <v>Total Operating expenses</v>
      </c>
      <c r="D110" s="129"/>
      <c r="E110" s="226">
        <f>'Unit Data from Audit Worksheet'!F132</f>
        <v>0</v>
      </c>
      <c r="F110" s="219"/>
      <c r="G110" s="221"/>
      <c r="H110" s="218"/>
      <c r="I110" s="31"/>
      <c r="J110" s="217">
        <v>85</v>
      </c>
      <c r="K110" s="216" t="s">
        <v>196</v>
      </c>
      <c r="L110" s="259">
        <f t="shared" si="8"/>
        <v>0</v>
      </c>
      <c r="P110" s="192"/>
    </row>
    <row r="111" spans="1:31" ht="48" customHeight="1" x14ac:dyDescent="0.3">
      <c r="A111" s="207">
        <f>'Unit Data from Audit Worksheet'!A133</f>
        <v>89</v>
      </c>
      <c r="B111" s="220" t="str">
        <f>'Unit Data from Audit Worksheet'!C133</f>
        <v>Water Sewer Revenue, Expenses &amp; Changes in Fund Net Position</v>
      </c>
      <c r="C111" s="206" t="str">
        <f>'Unit Data from Audit Worksheet'!D133</f>
        <v>Interest expense</v>
      </c>
      <c r="D111" s="129"/>
      <c r="E111" s="226">
        <f>'Unit Data from Audit Worksheet'!F133</f>
        <v>0</v>
      </c>
      <c r="F111" s="219"/>
      <c r="G111" s="221"/>
      <c r="H111" s="218"/>
      <c r="I111" s="31"/>
      <c r="J111" s="217">
        <v>89</v>
      </c>
      <c r="K111" s="216" t="s">
        <v>197</v>
      </c>
      <c r="L111" s="259">
        <f t="shared" si="8"/>
        <v>0</v>
      </c>
      <c r="P111" s="192"/>
    </row>
    <row r="112" spans="1:31" ht="48" customHeight="1" x14ac:dyDescent="0.3">
      <c r="A112" s="207">
        <f>'Unit Data from Audit Worksheet'!A134</f>
        <v>350</v>
      </c>
      <c r="B112" s="220" t="str">
        <f>'Unit Data from Audit Worksheet'!C134</f>
        <v>Water Sewer Revenue, Expenses &amp; Changes in Fund Net Position</v>
      </c>
      <c r="C112" s="206" t="str">
        <f>'Unit Data from Audit Worksheet'!D134</f>
        <v>Total all non-operating revenues  
Exclude Capital contributions.</v>
      </c>
      <c r="D112" s="129"/>
      <c r="E112" s="226">
        <f>'Unit Data from Audit Worksheet'!F134</f>
        <v>0</v>
      </c>
      <c r="F112" s="219"/>
      <c r="G112" s="221"/>
      <c r="H112" s="218"/>
      <c r="I112" s="31"/>
      <c r="J112" s="217">
        <v>350</v>
      </c>
      <c r="K112" s="216" t="s">
        <v>198</v>
      </c>
      <c r="L112" s="259">
        <f t="shared" si="8"/>
        <v>0</v>
      </c>
      <c r="P112" s="192"/>
    </row>
    <row r="113" spans="1:31" ht="58.8" customHeight="1" x14ac:dyDescent="0.3">
      <c r="A113" s="207">
        <f>'Unit Data from Audit Worksheet'!A135</f>
        <v>351</v>
      </c>
      <c r="B113" s="220" t="str">
        <f>'Unit Data from Audit Worksheet'!C135</f>
        <v>Water Sewer Revenue, Expenses &amp; Changes in Fund Net Position</v>
      </c>
      <c r="C113" s="206" t="str">
        <f>'Unit Data from Audit Worksheet'!D135</f>
        <v>Total all non-operating expenses.  
Include any negative special, extraordinary, or capital contribution.</v>
      </c>
      <c r="D113" s="129"/>
      <c r="E113" s="226">
        <f>'Unit Data from Audit Worksheet'!F135</f>
        <v>0</v>
      </c>
      <c r="F113" s="219"/>
      <c r="G113" s="221"/>
      <c r="H113" s="218"/>
      <c r="I113" s="31"/>
      <c r="J113" s="217">
        <v>351</v>
      </c>
      <c r="K113" s="216" t="s">
        <v>199</v>
      </c>
      <c r="L113" s="259">
        <f t="shared" si="8"/>
        <v>0</v>
      </c>
      <c r="P113" s="192"/>
    </row>
    <row r="114" spans="1:31" ht="78" customHeight="1" x14ac:dyDescent="0.3">
      <c r="A114" s="207">
        <f>'Unit Data from Audit Worksheet'!A136</f>
        <v>191</v>
      </c>
      <c r="B114" s="220" t="str">
        <f>'Unit Data from Audit Worksheet'!C136</f>
        <v>Water Sewer Revenue, Expenses &amp; Changes in Fund Net Position</v>
      </c>
      <c r="C114" s="206" t="str">
        <f>'Unit Data from Audit Worksheet'!D136</f>
        <v>Capital contributions. Only include positive capital contributions.  Negative capital contributions should be included with 'Total all non-operating expenses.'</v>
      </c>
      <c r="D114" s="129"/>
      <c r="E114" s="226">
        <f>'Unit Data from Audit Worksheet'!F136</f>
        <v>0</v>
      </c>
      <c r="F114" s="219">
        <f>IF(L114&lt;0,"Error: Enter as a positive.",)</f>
        <v>0</v>
      </c>
      <c r="G114" s="221"/>
      <c r="H114" s="218"/>
      <c r="I114" s="31"/>
      <c r="J114" s="217">
        <v>191</v>
      </c>
      <c r="K114" s="216" t="s">
        <v>200</v>
      </c>
      <c r="L114" s="259">
        <f t="shared" si="8"/>
        <v>0</v>
      </c>
      <c r="P114" s="192"/>
      <c r="S114" s="18"/>
      <c r="T114" s="18"/>
      <c r="U114" s="18"/>
      <c r="V114" s="18"/>
    </row>
    <row r="115" spans="1:31" s="356" customFormat="1" ht="70.8" customHeight="1" x14ac:dyDescent="0.3">
      <c r="A115" s="207">
        <f>'Unit Data from Audit Worksheet'!A137</f>
        <v>1053</v>
      </c>
      <c r="B115" s="220" t="str">
        <f>'Unit Data from Audit Worksheet'!C137</f>
        <v>Water &amp; Sewer Revenue, Expenses &amp; Changes in Fund Net Position</v>
      </c>
      <c r="C115" s="206" t="str">
        <f>'Unit Data from Audit Worksheet'!D137</f>
        <v>Mark to Market unrealized losses in the Water and Sewer Fund. (enter as a negative number)</v>
      </c>
      <c r="D115" s="129"/>
      <c r="E115" s="226">
        <f>'Unit Data from Audit Worksheet'!F137</f>
        <v>0</v>
      </c>
      <c r="F115" s="219"/>
      <c r="G115" s="221"/>
      <c r="H115" s="218"/>
      <c r="I115" s="31"/>
      <c r="J115" s="217">
        <v>1053</v>
      </c>
      <c r="K115" s="206" t="s">
        <v>1344</v>
      </c>
      <c r="L115" s="265">
        <f t="shared" si="8"/>
        <v>0</v>
      </c>
      <c r="M115"/>
      <c r="P115" s="192"/>
      <c r="Q115" s="250"/>
      <c r="S115" s="18"/>
      <c r="T115" s="18"/>
      <c r="U115" s="18"/>
      <c r="V115" s="18"/>
      <c r="W115"/>
      <c r="X115"/>
      <c r="Y115"/>
      <c r="Z115"/>
      <c r="AA115"/>
      <c r="AB115"/>
      <c r="AC115"/>
      <c r="AD115"/>
      <c r="AE115"/>
    </row>
    <row r="116" spans="1:31" ht="52.8" customHeight="1" x14ac:dyDescent="0.3">
      <c r="A116" s="207">
        <f>'Unit Data from Audit Worksheet'!A138</f>
        <v>352</v>
      </c>
      <c r="B116" s="220" t="str">
        <f>'Unit Data from Audit Worksheet'!C138</f>
        <v>Water Sewer Revenue, Expenses &amp; Changes in Fund Net Position</v>
      </c>
      <c r="C116" s="206" t="str">
        <f>'Unit Data from Audit Worksheet'!D138</f>
        <v>Total Transfers in - all funds (operating and capital)</v>
      </c>
      <c r="D116" s="129"/>
      <c r="E116" s="226">
        <f>'Unit Data from Audit Worksheet'!F138</f>
        <v>0</v>
      </c>
      <c r="F116" s="219"/>
      <c r="G116" s="221"/>
      <c r="H116" s="218"/>
      <c r="I116" s="31"/>
      <c r="J116" s="217">
        <v>352</v>
      </c>
      <c r="K116" s="216" t="s">
        <v>201</v>
      </c>
      <c r="L116" s="259">
        <f t="shared" si="8"/>
        <v>0</v>
      </c>
      <c r="P116" s="192"/>
    </row>
    <row r="117" spans="1:31" ht="75.599999999999994" customHeight="1" x14ac:dyDescent="0.3">
      <c r="A117" s="207">
        <f>'Unit Data from Audit Worksheet'!A139</f>
        <v>986</v>
      </c>
      <c r="B117" s="220" t="str">
        <f>'Unit Data from Audit Worksheet'!C139</f>
        <v>Water Sewer Revenue, Expenses &amp; Changes in Fund Net Position</v>
      </c>
      <c r="C117" s="206" t="str">
        <f>'Unit Data from Audit Worksheet'!D139</f>
        <v>Of the transfers-in above in acct # 352, list amount of transfers-in that were used to support Water Sewer operations  (exclude capital transfers)</v>
      </c>
      <c r="D117" s="129"/>
      <c r="E117" s="226">
        <f>'Unit Data from Audit Worksheet'!F139</f>
        <v>0</v>
      </c>
      <c r="F117" s="219"/>
      <c r="G117" s="221"/>
      <c r="H117" s="218"/>
      <c r="I117" s="31"/>
      <c r="J117" s="217">
        <v>986</v>
      </c>
      <c r="K117" s="206" t="s">
        <v>545</v>
      </c>
      <c r="L117" s="265">
        <f t="shared" si="8"/>
        <v>0</v>
      </c>
      <c r="P117" s="192"/>
    </row>
    <row r="118" spans="1:31" ht="47.25" customHeight="1" x14ac:dyDescent="0.3">
      <c r="A118" s="207">
        <f>'Unit Data from Audit Worksheet'!A140</f>
        <v>353</v>
      </c>
      <c r="B118" s="220" t="str">
        <f>'Unit Data from Audit Worksheet'!C140</f>
        <v>Water Sewer Revenue, Expenses &amp; Changes in Fund Net Position</v>
      </c>
      <c r="C118" s="206" t="str">
        <f>'Unit Data from Audit Worksheet'!D140</f>
        <v>Total Transfers out</v>
      </c>
      <c r="D118" s="129"/>
      <c r="E118" s="226">
        <f>'Unit Data from Audit Worksheet'!F140</f>
        <v>0</v>
      </c>
      <c r="F118" s="219">
        <f>IF(L118&lt;0,"Error: Enter as a positive.",)</f>
        <v>0</v>
      </c>
      <c r="G118" s="221"/>
      <c r="H118" s="218"/>
      <c r="I118" s="31"/>
      <c r="J118" s="33">
        <v>353</v>
      </c>
      <c r="K118" s="216" t="s">
        <v>202</v>
      </c>
      <c r="L118" s="259">
        <f t="shared" si="8"/>
        <v>0</v>
      </c>
      <c r="P118" s="192"/>
    </row>
    <row r="119" spans="1:31" ht="72.75" customHeight="1" x14ac:dyDescent="0.3">
      <c r="A119" s="207">
        <f>'Unit Data from Audit Worksheet'!A141</f>
        <v>50</v>
      </c>
      <c r="B119" s="220" t="str">
        <f>'Unit Data from Audit Worksheet'!C141</f>
        <v>Water Sewer Revenue, Expenses &amp; Changes in Fund Net Position</v>
      </c>
      <c r="C119" s="206" t="str">
        <f>'Unit Data from Audit Worksheet'!D141</f>
        <v>Change in net position - Increase in net position is recorded as a positive and a (Decrease) in net position is recorded as a negative.</v>
      </c>
      <c r="D119" s="129"/>
      <c r="E119" s="134">
        <f>'Unit Data from Audit Worksheet'!F141</f>
        <v>0</v>
      </c>
      <c r="F119" s="219">
        <f>IF(L108-L110+L112-L113+L116+L114-L118-L119=0,,"Error:Total revenues less total expenses do not equal total change in net position. Acct # 84-85+350-351+191+352-353-50")</f>
        <v>0</v>
      </c>
      <c r="G119" s="82">
        <f>+L108-L110+L112-L113+L116+L114-L118-L119</f>
        <v>0</v>
      </c>
      <c r="H119" s="218"/>
      <c r="I119" s="31"/>
      <c r="J119" s="217">
        <v>50</v>
      </c>
      <c r="K119" s="216" t="s">
        <v>71</v>
      </c>
      <c r="L119" s="259">
        <f t="shared" si="8"/>
        <v>0</v>
      </c>
      <c r="P119" s="192"/>
    </row>
    <row r="120" spans="1:31" ht="144" customHeight="1" x14ac:dyDescent="0.3">
      <c r="A120" s="207">
        <f>'Unit Data from Audit Worksheet'!A142</f>
        <v>377</v>
      </c>
      <c r="B120" s="220" t="str">
        <f>'Unit Data from Audit Worksheet'!C142</f>
        <v>Water Sewer Revenue, Expenses &amp; Changes in Fund Net Position</v>
      </c>
      <c r="C120" s="206" t="str">
        <f>'Unit Data from Audit Worksheet'!D142</f>
        <v>Increases or (decreases) to beginning water sewer net position due to rounding, prior period adjustments and restatements.  Increase amounts to beginning net position should be entered as a positive amount and (decreases) should be entered as a negative amount.</v>
      </c>
      <c r="D120" s="129"/>
      <c r="E120" s="134">
        <f>'Unit Data from Audit Worksheet'!F142</f>
        <v>0</v>
      </c>
      <c r="F120" s="78" t="e">
        <f>IF(L88-L119-L120=O88,,"Error:Beginning Balance does not agree with out records.Acct # 83-50-377 = PY83")</f>
        <v>#N/A</v>
      </c>
      <c r="G120" s="82" t="e">
        <f>+L88-L119-L120-O88</f>
        <v>#N/A</v>
      </c>
      <c r="H120" s="218" t="e">
        <f>'Unit Data from Audit Worksheet'!I142</f>
        <v>#N/A</v>
      </c>
      <c r="I120" s="31"/>
      <c r="J120" s="217">
        <v>377</v>
      </c>
      <c r="K120" s="216" t="s">
        <v>80</v>
      </c>
      <c r="L120" s="259">
        <f t="shared" si="8"/>
        <v>0</v>
      </c>
      <c r="P120" s="192"/>
    </row>
    <row r="121" spans="1:31" ht="66.599999999999994" customHeight="1" x14ac:dyDescent="0.3">
      <c r="A121" s="282">
        <f>'Unit Data from Audit Worksheet'!A143</f>
        <v>537</v>
      </c>
      <c r="B121" s="220" t="str">
        <f>'Unit Data from Audit Worksheet'!C143</f>
        <v>Water Sewer Revenue, Expenses &amp; Changes in Fund Net Position</v>
      </c>
      <c r="C121" s="206" t="str">
        <f>'Unit Data from Audit Worksheet'!D143</f>
        <v>Did unit raise Water Sewer rates during the audited fiscal period? - answer Yes =1 or No= 2
Select from the drop down list.</v>
      </c>
      <c r="D121" s="124"/>
      <c r="E121" s="226">
        <f>'Unit Data from Audit Worksheet'!F143</f>
        <v>0</v>
      </c>
      <c r="F121" s="219" t="s">
        <v>287</v>
      </c>
      <c r="G121" s="221"/>
      <c r="H121" s="218"/>
      <c r="I121" s="31"/>
      <c r="J121" s="59">
        <v>537</v>
      </c>
      <c r="K121" s="57" t="s">
        <v>256</v>
      </c>
      <c r="L121" s="259">
        <f t="shared" si="8"/>
        <v>0</v>
      </c>
      <c r="N121" s="53" t="s">
        <v>277</v>
      </c>
      <c r="P121" s="192"/>
    </row>
    <row r="122" spans="1:31" ht="84" customHeight="1" x14ac:dyDescent="0.3">
      <c r="A122" s="282">
        <f>'Unit Data from Audit Worksheet'!A144</f>
        <v>538</v>
      </c>
      <c r="B122" s="220" t="str">
        <f>'Unit Data from Audit Worksheet'!C144</f>
        <v>Water Sewer Revenue, Expenses &amp; Changes in Fund Net Position</v>
      </c>
      <c r="C122" s="206" t="str">
        <f>'Unit Data from Audit Worksheet'!D144</f>
        <v>Did unit raise Water Sewer rates during the budget year following the audited fiscal year? - answer Yes=1 or No=2
Select from the drop down list.</v>
      </c>
      <c r="D122" s="124"/>
      <c r="E122" s="226">
        <f>'Unit Data from Audit Worksheet'!F144</f>
        <v>0</v>
      </c>
      <c r="F122" s="219" t="s">
        <v>287</v>
      </c>
      <c r="G122" s="221"/>
      <c r="H122" s="218"/>
      <c r="I122" s="31"/>
      <c r="J122" s="59">
        <v>538</v>
      </c>
      <c r="K122" s="57" t="s">
        <v>255</v>
      </c>
      <c r="L122" s="259">
        <f t="shared" si="8"/>
        <v>0</v>
      </c>
      <c r="N122" s="53" t="s">
        <v>277</v>
      </c>
      <c r="P122" s="192"/>
    </row>
    <row r="123" spans="1:31" ht="47.25" customHeight="1" x14ac:dyDescent="0.3">
      <c r="A123" s="207">
        <f>'Unit Data from Audit Worksheet'!A146</f>
        <v>97</v>
      </c>
      <c r="B123" s="220" t="str">
        <f>'Unit Data from Audit Worksheet'!C146</f>
        <v>Electric Fund Revenue, Expenses &amp; Changes in Fund Net Position</v>
      </c>
      <c r="C123" s="206" t="str">
        <f>'Unit Data from Audit Worksheet'!D146</f>
        <v>Charges for services</v>
      </c>
      <c r="D123" s="225"/>
      <c r="E123" s="226">
        <f>'Unit Data from Audit Worksheet'!F146</f>
        <v>0</v>
      </c>
      <c r="F123" s="219"/>
      <c r="G123" s="221"/>
      <c r="H123" s="218"/>
      <c r="I123" s="31"/>
      <c r="J123" s="217">
        <v>97</v>
      </c>
      <c r="K123" s="216" t="s">
        <v>203</v>
      </c>
      <c r="L123" s="259">
        <f t="shared" ref="L123:L192" si="9">IF(D123="",E123,D123)</f>
        <v>0</v>
      </c>
      <c r="P123" s="192"/>
    </row>
    <row r="124" spans="1:31" ht="45.75" customHeight="1" x14ac:dyDescent="0.3">
      <c r="A124" s="207">
        <f>'Unit Data from Audit Worksheet'!A147</f>
        <v>93</v>
      </c>
      <c r="B124" s="220" t="str">
        <f>'Unit Data from Audit Worksheet'!C147</f>
        <v>Electric Fund Revenue, Expenses &amp; Changes in Fund Net Position</v>
      </c>
      <c r="C124" s="206" t="str">
        <f>'Unit Data from Audit Worksheet'!D147</f>
        <v>Total Operating revenues</v>
      </c>
      <c r="D124" s="225"/>
      <c r="E124" s="226">
        <f>'Unit Data from Audit Worksheet'!F147</f>
        <v>0</v>
      </c>
      <c r="F124" s="219" t="str">
        <f>IF(L123&gt;L124,"Error: Charges for services exceeds total operating revenues Acct 97&gt;=93"," ")</f>
        <v xml:space="preserve"> </v>
      </c>
      <c r="G124" s="221" t="str">
        <f>IF(Q104=1," Included in error count"," ")</f>
        <v xml:space="preserve"> </v>
      </c>
      <c r="H124" s="218"/>
      <c r="I124" s="31"/>
      <c r="J124" s="217">
        <v>93</v>
      </c>
      <c r="K124" s="216" t="s">
        <v>204</v>
      </c>
      <c r="L124" s="259">
        <f t="shared" si="9"/>
        <v>0</v>
      </c>
      <c r="P124" s="192"/>
    </row>
    <row r="125" spans="1:31" ht="45.75" customHeight="1" x14ac:dyDescent="0.3">
      <c r="A125" s="207">
        <f>'Unit Data from Audit Worksheet'!A148</f>
        <v>99</v>
      </c>
      <c r="B125" s="220" t="str">
        <f>'Unit Data from Audit Worksheet'!C148</f>
        <v>Electric Fund Revenue, Expenses &amp; Changes in Fund Net Position</v>
      </c>
      <c r="C125" s="206" t="str">
        <f>'Unit Data from Audit Worksheet'!D148</f>
        <v>Electrical power purchases</v>
      </c>
      <c r="D125" s="225"/>
      <c r="E125" s="226">
        <f>'Unit Data from Audit Worksheet'!F148</f>
        <v>0</v>
      </c>
      <c r="F125" s="219">
        <f>IF(L125&lt;0,"Error: Enter as a positive.",)</f>
        <v>0</v>
      </c>
      <c r="G125" s="221"/>
      <c r="H125" s="218"/>
      <c r="I125" s="31"/>
      <c r="J125" s="217">
        <v>99</v>
      </c>
      <c r="K125" s="216" t="s">
        <v>205</v>
      </c>
      <c r="L125" s="259">
        <f t="shared" si="9"/>
        <v>0</v>
      </c>
      <c r="P125" s="192"/>
      <c r="S125" s="18"/>
      <c r="T125" s="18"/>
      <c r="U125" s="18"/>
      <c r="V125" s="18"/>
    </row>
    <row r="126" spans="1:31" ht="45.75" customHeight="1" x14ac:dyDescent="0.3">
      <c r="A126" s="207">
        <f>'Unit Data from Audit Worksheet'!A149</f>
        <v>52</v>
      </c>
      <c r="B126" s="220" t="str">
        <f>'Unit Data from Audit Worksheet'!C149</f>
        <v>Electric Fund Revenue, Expenses &amp; Changes in Fund Net Position</v>
      </c>
      <c r="C126" s="206" t="str">
        <f>'Unit Data from Audit Worksheet'!D149</f>
        <v>Depreciation and amortization expense</v>
      </c>
      <c r="D126" s="225"/>
      <c r="E126" s="226">
        <f>'Unit Data from Audit Worksheet'!F149</f>
        <v>0</v>
      </c>
      <c r="F126" s="219">
        <f>IF(L126&lt;0,"Error: Enter as a positive.",)</f>
        <v>0</v>
      </c>
      <c r="G126" s="221"/>
      <c r="H126" s="218"/>
      <c r="I126" s="31"/>
      <c r="J126" s="217">
        <v>52</v>
      </c>
      <c r="K126" s="216" t="s">
        <v>206</v>
      </c>
      <c r="L126" s="259">
        <f t="shared" si="9"/>
        <v>0</v>
      </c>
      <c r="P126" s="192"/>
    </row>
    <row r="127" spans="1:31" ht="45.75" customHeight="1" x14ac:dyDescent="0.3">
      <c r="A127" s="207">
        <f>'Unit Data from Audit Worksheet'!A150</f>
        <v>94</v>
      </c>
      <c r="B127" s="220" t="str">
        <f>'Unit Data from Audit Worksheet'!C150</f>
        <v>Electric Fund Revenue, Expenses &amp; Changes in Fund Net Position</v>
      </c>
      <c r="C127" s="206" t="str">
        <f>'Unit Data from Audit Worksheet'!D150</f>
        <v>Total Operating expenses</v>
      </c>
      <c r="D127" s="225"/>
      <c r="E127" s="226">
        <f>'Unit Data from Audit Worksheet'!F150</f>
        <v>0</v>
      </c>
      <c r="F127" s="219">
        <f>IF(L127&lt;0,"Error: Enter as a positive.",)</f>
        <v>0</v>
      </c>
      <c r="G127" s="221"/>
      <c r="H127" s="218"/>
      <c r="I127" s="31"/>
      <c r="J127" s="217">
        <v>94</v>
      </c>
      <c r="K127" s="216" t="s">
        <v>207</v>
      </c>
      <c r="L127" s="259">
        <f t="shared" si="9"/>
        <v>0</v>
      </c>
      <c r="P127" s="192"/>
    </row>
    <row r="128" spans="1:31" ht="46.5" customHeight="1" x14ac:dyDescent="0.3">
      <c r="A128" s="207">
        <f>'Unit Data from Audit Worksheet'!A151</f>
        <v>98</v>
      </c>
      <c r="B128" s="220" t="str">
        <f>'Unit Data from Audit Worksheet'!C151</f>
        <v>Electric Fund Revenue, Expenses &amp; Changes in Fund Net Position</v>
      </c>
      <c r="C128" s="206" t="str">
        <f>'Unit Data from Audit Worksheet'!D151</f>
        <v>Interest expense</v>
      </c>
      <c r="D128" s="225"/>
      <c r="E128" s="226">
        <f>'Unit Data from Audit Worksheet'!F151</f>
        <v>0</v>
      </c>
      <c r="F128" s="219">
        <f>IF(L128&lt;0,"Error: Enter as a positive.",)</f>
        <v>0</v>
      </c>
      <c r="G128" s="221"/>
      <c r="H128" s="218"/>
      <c r="I128" s="31"/>
      <c r="J128" s="217">
        <v>98</v>
      </c>
      <c r="K128" s="216" t="s">
        <v>208</v>
      </c>
      <c r="L128" s="259">
        <f t="shared" si="9"/>
        <v>0</v>
      </c>
      <c r="P128" s="192"/>
    </row>
    <row r="129" spans="1:31" ht="51" customHeight="1" x14ac:dyDescent="0.3">
      <c r="A129" s="207">
        <f>'Unit Data from Audit Worksheet'!A152</f>
        <v>363</v>
      </c>
      <c r="B129" s="220" t="str">
        <f>'Unit Data from Audit Worksheet'!C152</f>
        <v>Electric Fund Revenue, Expenses &amp; Changes in Fund Net Position</v>
      </c>
      <c r="C129" s="206" t="str">
        <f>'Unit Data from Audit Worksheet'!D152</f>
        <v>Total all the non-operating revenues  
Exclude Capital Contributions.</v>
      </c>
      <c r="D129" s="225"/>
      <c r="E129" s="226">
        <f>'Unit Data from Audit Worksheet'!F152</f>
        <v>0</v>
      </c>
      <c r="F129" s="219"/>
      <c r="G129" s="221"/>
      <c r="H129" s="218"/>
      <c r="I129" s="31"/>
      <c r="J129" s="217">
        <v>363</v>
      </c>
      <c r="K129" s="216" t="s">
        <v>209</v>
      </c>
      <c r="L129" s="259">
        <f t="shared" si="9"/>
        <v>0</v>
      </c>
      <c r="P129" s="192"/>
    </row>
    <row r="130" spans="1:31" ht="60" customHeight="1" x14ac:dyDescent="0.3">
      <c r="A130" s="207">
        <f>'Unit Data from Audit Worksheet'!A153</f>
        <v>364</v>
      </c>
      <c r="B130" s="220" t="str">
        <f>'Unit Data from Audit Worksheet'!C153</f>
        <v>Electric Fund Revenue, Expenses &amp; Changes in Fund Net Position</v>
      </c>
      <c r="C130" s="206" t="str">
        <f>'Unit Data from Audit Worksheet'!D153</f>
        <v>Total all non-operating expenses.  
Include negative special, extraordinary, or capital contribution.</v>
      </c>
      <c r="D130" s="225"/>
      <c r="E130" s="226">
        <f>'Unit Data from Audit Worksheet'!F153</f>
        <v>0</v>
      </c>
      <c r="F130" s="219">
        <f>IF(L130&lt;0,"Error: Enter as a positive.",)</f>
        <v>0</v>
      </c>
      <c r="G130" s="221"/>
      <c r="H130" s="218"/>
      <c r="I130" s="31"/>
      <c r="J130" s="217">
        <v>364</v>
      </c>
      <c r="K130" s="216" t="s">
        <v>210</v>
      </c>
      <c r="L130" s="259">
        <f t="shared" si="9"/>
        <v>0</v>
      </c>
      <c r="P130" s="192"/>
    </row>
    <row r="131" spans="1:31" ht="89.25" customHeight="1" x14ac:dyDescent="0.3">
      <c r="A131" s="207">
        <f>'Unit Data from Audit Worksheet'!A154</f>
        <v>192</v>
      </c>
      <c r="B131" s="220" t="str">
        <f>'Unit Data from Audit Worksheet'!C154</f>
        <v>Electric Fund Revenue, Expenses &amp; Changes in Fund Net Position</v>
      </c>
      <c r="C131" s="206" t="str">
        <f>'Unit Data from Audit Worksheet'!D154</f>
        <v>Capital Contributions.  
Include only positive capital Contributions.  Negative capital contributions should be included with 'Total all non-operating expenses.'</v>
      </c>
      <c r="D131" s="225"/>
      <c r="E131" s="226">
        <f>'Unit Data from Audit Worksheet'!F154</f>
        <v>0</v>
      </c>
      <c r="F131" s="219">
        <f>IF(L131&lt;0,"Error: Enter as a positive.",)</f>
        <v>0</v>
      </c>
      <c r="G131" s="221"/>
      <c r="H131" s="218"/>
      <c r="I131" s="31"/>
      <c r="J131" s="217">
        <v>192</v>
      </c>
      <c r="K131" s="216" t="s">
        <v>211</v>
      </c>
      <c r="L131" s="259">
        <f t="shared" si="9"/>
        <v>0</v>
      </c>
      <c r="P131" s="192"/>
    </row>
    <row r="132" spans="1:31" s="356" customFormat="1" ht="89.25" customHeight="1" x14ac:dyDescent="0.3">
      <c r="A132" s="207">
        <f>'Unit Data from Audit Worksheet'!A155</f>
        <v>1054</v>
      </c>
      <c r="B132" s="220" t="str">
        <f>'Unit Data from Audit Worksheet'!C155</f>
        <v>Electric Fund Revenue, Expenses &amp; Changes in Fund Net Position</v>
      </c>
      <c r="C132" s="206" t="str">
        <f>'Unit Data from Audit Worksheet'!D155</f>
        <v xml:space="preserve"> Mark to Market unrealized losses in the Electric Fund. (enter as a negative number)</v>
      </c>
      <c r="D132" s="225"/>
      <c r="E132" s="226">
        <f>'Unit Data from Audit Worksheet'!F155</f>
        <v>0</v>
      </c>
      <c r="F132" s="219"/>
      <c r="G132" s="221"/>
      <c r="H132" s="218"/>
      <c r="I132" s="31"/>
      <c r="J132" s="217">
        <v>1054</v>
      </c>
      <c r="K132" s="206" t="s">
        <v>1033</v>
      </c>
      <c r="L132" s="259">
        <f t="shared" si="9"/>
        <v>0</v>
      </c>
      <c r="M132"/>
      <c r="P132" s="192"/>
      <c r="Q132" s="250"/>
      <c r="W132"/>
      <c r="X132"/>
      <c r="Y132"/>
      <c r="Z132"/>
      <c r="AA132"/>
      <c r="AB132"/>
      <c r="AC132"/>
      <c r="AD132"/>
      <c r="AE132"/>
    </row>
    <row r="133" spans="1:31" ht="42.75" customHeight="1" x14ac:dyDescent="0.3">
      <c r="A133" s="207">
        <f>'Unit Data from Audit Worksheet'!A156</f>
        <v>365</v>
      </c>
      <c r="B133" s="220" t="str">
        <f>'Unit Data from Audit Worksheet'!C156</f>
        <v>Electric Fund Revenue, Expenses &amp; Changes in Fund Net Position</v>
      </c>
      <c r="C133" s="206" t="str">
        <f>'Unit Data from Audit Worksheet'!D156</f>
        <v>Total Transfers In (From all Funds)</v>
      </c>
      <c r="D133" s="225"/>
      <c r="E133" s="226">
        <f>'Unit Data from Audit Worksheet'!F156</f>
        <v>0</v>
      </c>
      <c r="F133" s="219"/>
      <c r="G133" s="221"/>
      <c r="H133" s="218"/>
      <c r="I133" s="31"/>
      <c r="J133" s="217">
        <v>365</v>
      </c>
      <c r="K133" s="216" t="s">
        <v>212</v>
      </c>
      <c r="L133" s="259">
        <f t="shared" si="9"/>
        <v>0</v>
      </c>
      <c r="P133" s="192"/>
    </row>
    <row r="134" spans="1:31" ht="42.75" customHeight="1" x14ac:dyDescent="0.3">
      <c r="A134" s="207">
        <f>'Unit Data from Audit Worksheet'!A157</f>
        <v>366</v>
      </c>
      <c r="B134" s="220" t="str">
        <f>'Unit Data from Audit Worksheet'!C157</f>
        <v>Electric Fund Revenue, Expenses &amp; Changes in Fund Net Position</v>
      </c>
      <c r="C134" s="206" t="str">
        <f>'Unit Data from Audit Worksheet'!D157</f>
        <v>Total Transfers Out (To all funds)</v>
      </c>
      <c r="D134" s="225"/>
      <c r="E134" s="226">
        <f>'Unit Data from Audit Worksheet'!F157</f>
        <v>0</v>
      </c>
      <c r="F134" s="219">
        <f>IF(L134&lt;0,"Error: Enter as a positive.",)</f>
        <v>0</v>
      </c>
      <c r="G134" s="221"/>
      <c r="H134" s="218"/>
      <c r="I134" s="31"/>
      <c r="J134" s="217">
        <v>366</v>
      </c>
      <c r="K134" s="216" t="s">
        <v>269</v>
      </c>
      <c r="L134" s="259">
        <f t="shared" si="9"/>
        <v>0</v>
      </c>
      <c r="P134" s="192"/>
    </row>
    <row r="135" spans="1:31" s="18" customFormat="1" ht="76.5" customHeight="1" x14ac:dyDescent="0.3">
      <c r="A135" s="207">
        <f>'Unit Data from Audit Worksheet'!A158</f>
        <v>53</v>
      </c>
      <c r="B135" s="220" t="str">
        <f>'Unit Data from Audit Worksheet'!C158</f>
        <v>Electric Fund Revenue, Expenses &amp; Changes in Fund Net Position</v>
      </c>
      <c r="C135" s="206" t="str">
        <f>'Unit Data from Audit Worksheet'!D158</f>
        <v>Change in net position - Increase in net position is recorded as a positive and a (decrease) in net position is recorded as a negative.</v>
      </c>
      <c r="D135" s="225"/>
      <c r="E135" s="226">
        <f>'Unit Data from Audit Worksheet'!F158</f>
        <v>0</v>
      </c>
      <c r="F135" s="219">
        <f>IF(L124-L127+L129-L130+L131+L133-L134-L135=0,,"Error: Total revenues less total exp. does not equal change in net position Acct 93-94+363-364+192+365-366-53=0")</f>
        <v>0</v>
      </c>
      <c r="G135" s="82">
        <f>+L124-L127+L129-L130+L131+L133-L134-L135</f>
        <v>0</v>
      </c>
      <c r="H135" s="218"/>
      <c r="I135" s="31"/>
      <c r="J135" s="217">
        <v>53</v>
      </c>
      <c r="K135" s="216" t="s">
        <v>72</v>
      </c>
      <c r="L135" s="259">
        <f t="shared" si="9"/>
        <v>0</v>
      </c>
      <c r="M135"/>
      <c r="P135" s="192"/>
      <c r="Q135" s="250"/>
      <c r="R135" s="3"/>
      <c r="S135" s="3"/>
      <c r="T135" s="3"/>
      <c r="U135" s="3"/>
      <c r="V135" s="3"/>
      <c r="W135"/>
      <c r="X135"/>
      <c r="Y135"/>
      <c r="Z135"/>
      <c r="AA135"/>
      <c r="AB135"/>
      <c r="AC135"/>
      <c r="AD135"/>
      <c r="AE135"/>
    </row>
    <row r="136" spans="1:31" ht="140.25" customHeight="1" x14ac:dyDescent="0.3">
      <c r="A136" s="207">
        <f>'Unit Data from Audit Worksheet'!A159</f>
        <v>378</v>
      </c>
      <c r="B136" s="220" t="str">
        <f>'Unit Data from Audit Worksheet'!C159</f>
        <v>Electric Fund Revenue, Expenses &amp; Changes in Fund Net Position</v>
      </c>
      <c r="C136" s="206" t="str">
        <f>'Unit Data from Audit Worksheet'!D159</f>
        <v>Increases or (decreases) to beginning electric net position due to rounding, prior period adjustments and restatements.  Increase amounts to beginning net position should be entered as a positive amount and (decreases) should be entered as a negative amount.</v>
      </c>
      <c r="D136" s="225"/>
      <c r="E136" s="226">
        <f>+'Unit Data from Audit Worksheet'!F159</f>
        <v>0</v>
      </c>
      <c r="F136" s="219" t="e">
        <f>IF(L106-L135-L136=O106,,"Error: Beg. Bal does not agree with our records Acct 362-53-378= pr yr 362")</f>
        <v>#N/A</v>
      </c>
      <c r="G136" s="82" t="e">
        <f>L106-L135-L136-O106</f>
        <v>#N/A</v>
      </c>
      <c r="H136" s="218" t="e">
        <f>'Unit Data from Audit Worksheet'!I159</f>
        <v>#N/A</v>
      </c>
      <c r="I136" s="31"/>
      <c r="J136" s="217">
        <v>378</v>
      </c>
      <c r="K136" s="216" t="s">
        <v>81</v>
      </c>
      <c r="L136" s="259">
        <f t="shared" si="9"/>
        <v>0</v>
      </c>
      <c r="P136" s="192"/>
    </row>
    <row r="137" spans="1:31" ht="71.400000000000006" customHeight="1" x14ac:dyDescent="0.3">
      <c r="A137" s="207">
        <f>'Unit Data from Audit Worksheet'!A164</f>
        <v>51</v>
      </c>
      <c r="B137" s="220" t="str">
        <f>'Unit Data from Audit Worksheet'!C164</f>
        <v>Water Sewer Cash Flow Statement</v>
      </c>
      <c r="C137" s="206" t="str">
        <f>'Unit Data from Audit Worksheet'!D164</f>
        <v>Total Cash flow from operating activities  - (Enter negative cash flows as negative)</v>
      </c>
      <c r="D137" s="225"/>
      <c r="E137" s="226">
        <f>'Unit Data from Audit Worksheet'!F164</f>
        <v>0</v>
      </c>
      <c r="F137" s="219"/>
      <c r="G137" s="221"/>
      <c r="H137" s="218"/>
      <c r="I137" s="31"/>
      <c r="J137" s="217">
        <v>51</v>
      </c>
      <c r="K137" s="216" t="s">
        <v>213</v>
      </c>
      <c r="L137" s="259">
        <f t="shared" si="9"/>
        <v>0</v>
      </c>
      <c r="P137" s="192"/>
    </row>
    <row r="138" spans="1:31" ht="64.5" customHeight="1" x14ac:dyDescent="0.3">
      <c r="A138" s="207">
        <f>'Unit Data from Audit Worksheet'!A165</f>
        <v>332</v>
      </c>
      <c r="B138" s="220" t="str">
        <f>'Unit Data from Audit Worksheet'!C165</f>
        <v>Water Sewer Cash Flow Statement</v>
      </c>
      <c r="C138" s="206" t="str">
        <f>'Unit Data from Audit Worksheet'!D165</f>
        <v>Total Capital outlay. 
Include acquisition and construction of capital assets.</v>
      </c>
      <c r="D138" s="225"/>
      <c r="E138" s="226">
        <f>'Unit Data from Audit Worksheet'!F165</f>
        <v>0</v>
      </c>
      <c r="F138" s="219">
        <f>IF(L138&lt;0,"Error: Enter as a positive.",)</f>
        <v>0</v>
      </c>
      <c r="G138" s="221"/>
      <c r="H138" s="218"/>
      <c r="I138" s="31"/>
      <c r="J138" s="217">
        <v>332</v>
      </c>
      <c r="K138" s="216" t="s">
        <v>215</v>
      </c>
      <c r="L138" s="259">
        <f t="shared" si="9"/>
        <v>0</v>
      </c>
      <c r="O138" s="266"/>
      <c r="P138" s="192"/>
    </row>
    <row r="139" spans="1:31" ht="58.5" customHeight="1" x14ac:dyDescent="0.3">
      <c r="A139" s="207">
        <f>'Unit Data from Audit Worksheet'!A166</f>
        <v>331</v>
      </c>
      <c r="B139" s="220" t="str">
        <f>'Unit Data from Audit Worksheet'!C166</f>
        <v>Water Sewer Cash Flow Statement</v>
      </c>
      <c r="C139" s="206" t="str">
        <f>'Unit Data from Audit Worksheet'!D166</f>
        <v>Principal paid on long-term debt.  Amount should be reduced by principal payments for debt refunding.</v>
      </c>
      <c r="D139" s="225"/>
      <c r="E139" s="226">
        <f>'Unit Data from Audit Worksheet'!F166</f>
        <v>0</v>
      </c>
      <c r="F139" s="219">
        <f>IF(L139&lt;0,"Error: Enter as a positive.",)</f>
        <v>0</v>
      </c>
      <c r="G139" s="221"/>
      <c r="H139" s="218"/>
      <c r="I139" s="31"/>
      <c r="J139" s="217">
        <v>331</v>
      </c>
      <c r="K139" s="216" t="s">
        <v>214</v>
      </c>
      <c r="L139" s="259">
        <f t="shared" si="9"/>
        <v>0</v>
      </c>
      <c r="O139" s="266"/>
      <c r="P139" s="192"/>
    </row>
    <row r="140" spans="1:31" ht="51.75" customHeight="1" x14ac:dyDescent="0.3">
      <c r="A140" s="207">
        <f>'Unit Data from Audit Worksheet'!A168</f>
        <v>55</v>
      </c>
      <c r="B140" s="220" t="str">
        <f>'Unit Data from Audit Worksheet'!C168</f>
        <v>Electric Fund Cash Flow Statement</v>
      </c>
      <c r="C140" s="206" t="str">
        <f>'Unit Data from Audit Worksheet'!D168</f>
        <v>Cash flow from operating activities - (enter negative cash flows as negative)</v>
      </c>
      <c r="D140" s="225"/>
      <c r="E140" s="226">
        <f>'Unit Data from Audit Worksheet'!F168</f>
        <v>0</v>
      </c>
      <c r="F140" s="219"/>
      <c r="G140" s="221"/>
      <c r="H140" s="218"/>
      <c r="I140" s="31"/>
      <c r="J140" s="217">
        <v>55</v>
      </c>
      <c r="K140" s="216" t="s">
        <v>216</v>
      </c>
      <c r="L140" s="259">
        <f t="shared" si="9"/>
        <v>0</v>
      </c>
      <c r="P140" s="192"/>
    </row>
    <row r="141" spans="1:31" ht="58.5" customHeight="1" x14ac:dyDescent="0.3">
      <c r="A141" s="207">
        <f>'Unit Data from Audit Worksheet'!A169</f>
        <v>101</v>
      </c>
      <c r="B141" s="220" t="str">
        <f>'Unit Data from Audit Worksheet'!C169</f>
        <v>Electric Fund Cash Flow Statement</v>
      </c>
      <c r="C141" s="206" t="str">
        <f>'Unit Data from Audit Worksheet'!D169</f>
        <v>Total Capital outlay.  
Include acquisition and construction of capital assets.</v>
      </c>
      <c r="D141" s="225"/>
      <c r="E141" s="226">
        <f>'Unit Data from Audit Worksheet'!F169</f>
        <v>0</v>
      </c>
      <c r="F141" s="219">
        <f>IF(L141&lt;0,"Error: Enter as a positive.",)</f>
        <v>0</v>
      </c>
      <c r="G141" s="221"/>
      <c r="H141" s="218"/>
      <c r="I141" s="31"/>
      <c r="J141" s="217">
        <v>101</v>
      </c>
      <c r="K141" s="216" t="s">
        <v>217</v>
      </c>
      <c r="L141" s="259">
        <f t="shared" si="9"/>
        <v>0</v>
      </c>
      <c r="P141" s="192"/>
    </row>
    <row r="142" spans="1:31" ht="60.75" customHeight="1" x14ac:dyDescent="0.3">
      <c r="A142" s="207">
        <f>'Unit Data from Audit Worksheet'!A170</f>
        <v>100</v>
      </c>
      <c r="B142" s="220" t="str">
        <f>'Unit Data from Audit Worksheet'!C170</f>
        <v>Electric Fund Cash Flow Statement</v>
      </c>
      <c r="C142" s="206" t="str">
        <f>'Unit Data from Audit Worksheet'!D170</f>
        <v>Principal paid on long-term debt.  Amount should be reduced by principal payments for debt refunding.</v>
      </c>
      <c r="D142" s="225"/>
      <c r="E142" s="226">
        <f>'Unit Data from Audit Worksheet'!F170</f>
        <v>0</v>
      </c>
      <c r="F142" s="219">
        <f>IF(L142&lt;0,"Error: Enter as a positive.",)</f>
        <v>0</v>
      </c>
      <c r="G142" s="221"/>
      <c r="H142" s="218"/>
      <c r="I142" s="31"/>
      <c r="J142" s="217">
        <v>100</v>
      </c>
      <c r="K142" s="216" t="s">
        <v>218</v>
      </c>
      <c r="L142" s="259">
        <f t="shared" si="9"/>
        <v>0</v>
      </c>
      <c r="P142" s="192"/>
    </row>
    <row r="143" spans="1:31" ht="71.25" customHeight="1" x14ac:dyDescent="0.3">
      <c r="A143" s="207">
        <f>'Unit Data from Audit Worksheet'!A172</f>
        <v>512</v>
      </c>
      <c r="B143" s="220" t="str">
        <f>'Unit Data from Audit Worksheet'!C172</f>
        <v>Fiduciary Statements</v>
      </c>
      <c r="C143" s="206" t="str">
        <f>'Unit Data from Audit Worksheet'!D172</f>
        <v>Cash and investments.  
Include:  unrestricted and restricted.  
                   cash and investments held 
                   by a third party</v>
      </c>
      <c r="D143" s="225"/>
      <c r="E143" s="226">
        <f>'Unit Data from Audit Worksheet'!F172</f>
        <v>0</v>
      </c>
      <c r="F143" s="219">
        <f>IF(L143&lt;0,"Error: Number is normally positive.",)</f>
        <v>0</v>
      </c>
      <c r="G143" s="221"/>
      <c r="H143" s="218"/>
      <c r="I143" s="31"/>
      <c r="J143" s="217">
        <v>512</v>
      </c>
      <c r="K143" s="216" t="s">
        <v>219</v>
      </c>
      <c r="L143" s="259">
        <f t="shared" si="9"/>
        <v>0</v>
      </c>
      <c r="P143" s="192"/>
    </row>
    <row r="144" spans="1:31" s="18" customFormat="1" ht="102.75" customHeight="1" x14ac:dyDescent="0.3">
      <c r="A144" s="207">
        <f>'Unit Data from Audit Worksheet'!A174</f>
        <v>535</v>
      </c>
      <c r="B144" s="220" t="str">
        <f>'Unit Data from Audit Worksheet'!C174</f>
        <v>Cash and Investment Note</v>
      </c>
      <c r="C144" s="206" t="str">
        <f>'Unit Data from Audit Worksheet'!D174</f>
        <v>Cash and Investment - Please list the book value of any unspent debt proceeds (bonds, installment, etc.) in any funds as of June 30.  This information may be on the face of your statements or in the notes</v>
      </c>
      <c r="D144" s="225"/>
      <c r="E144" s="226">
        <f>'Unit Data from Audit Worksheet'!F174</f>
        <v>0</v>
      </c>
      <c r="F144" s="78" t="str">
        <f>IF(L144&gt;1,,"Reminder: Please make sure you have entered all cash and investments from bond proceeds, if applicable")</f>
        <v>Reminder: Please make sure you have entered all cash and investments from bond proceeds, if applicable</v>
      </c>
      <c r="G144" s="221"/>
      <c r="H144" s="218"/>
      <c r="I144" s="31"/>
      <c r="J144" s="217">
        <v>535</v>
      </c>
      <c r="K144" s="54" t="s">
        <v>220</v>
      </c>
      <c r="L144" s="259">
        <f t="shared" si="9"/>
        <v>0</v>
      </c>
      <c r="M144"/>
      <c r="P144" s="192"/>
      <c r="Q144" s="250"/>
      <c r="R144" s="3"/>
      <c r="S144" s="3"/>
      <c r="T144" s="3"/>
      <c r="U144" s="3"/>
      <c r="V144" s="3"/>
      <c r="W144"/>
      <c r="X144"/>
      <c r="Y144"/>
      <c r="Z144"/>
      <c r="AA144"/>
      <c r="AB144"/>
      <c r="AC144"/>
      <c r="AD144"/>
      <c r="AE144"/>
    </row>
    <row r="145" spans="1:22" ht="45.75" customHeight="1" x14ac:dyDescent="0.3">
      <c r="A145" s="207">
        <f>'Unit Data from Audit Worksheet'!A178</f>
        <v>334</v>
      </c>
      <c r="B145" s="220" t="str">
        <f>'Unit Data from Audit Worksheet'!C178</f>
        <v>Gov.-Capital Assets Schedule in the Notes</v>
      </c>
      <c r="C145" s="206" t="str">
        <f>'Unit Data from Audit Worksheet'!D178</f>
        <v>Gross value.  
Exclude non-depreciable.</v>
      </c>
      <c r="D145" s="225"/>
      <c r="E145" s="226">
        <f>'Unit Data from Audit Worksheet'!F178</f>
        <v>0</v>
      </c>
      <c r="F145" s="78"/>
      <c r="G145" s="221"/>
      <c r="H145" s="218"/>
      <c r="I145" s="31"/>
      <c r="J145" s="217">
        <v>334</v>
      </c>
      <c r="K145" s="54" t="s">
        <v>237</v>
      </c>
      <c r="L145" s="259">
        <f t="shared" si="9"/>
        <v>0</v>
      </c>
      <c r="P145" s="192"/>
    </row>
    <row r="146" spans="1:22" ht="57" customHeight="1" x14ac:dyDescent="0.3">
      <c r="A146" s="207">
        <f>'Unit Data from Audit Worksheet'!A179</f>
        <v>373</v>
      </c>
      <c r="B146" s="220" t="str">
        <f>'Unit Data from Audit Worksheet'!C179</f>
        <v>Gov.-Capital Assets Schedule in the Notes</v>
      </c>
      <c r="C146" s="206" t="str">
        <f>'Unit Data from Audit Worksheet'!D179</f>
        <v>Accumulated depreciation</v>
      </c>
      <c r="D146" s="225"/>
      <c r="E146" s="226">
        <f>'Unit Data from Audit Worksheet'!F179</f>
        <v>0</v>
      </c>
      <c r="F146" s="78"/>
      <c r="G146" s="221"/>
      <c r="H146" s="218"/>
      <c r="I146" s="31"/>
      <c r="J146" s="217">
        <v>373</v>
      </c>
      <c r="K146" s="51" t="s">
        <v>280</v>
      </c>
      <c r="L146" s="259">
        <f t="shared" si="9"/>
        <v>0</v>
      </c>
      <c r="P146" s="192"/>
    </row>
    <row r="147" spans="1:22" ht="102.75" customHeight="1" x14ac:dyDescent="0.3">
      <c r="A147" s="207">
        <f>'Unit Data from Audit Worksheet'!A180</f>
        <v>987</v>
      </c>
      <c r="B147" s="220">
        <f>'Unit Data from Audit Worksheet'!C180</f>
        <v>0</v>
      </c>
      <c r="C147" s="206" t="str">
        <f>'Unit Data from Audit Worksheet'!D180</f>
        <v xml:space="preserve">Estimated cost not yet budgeted of any mandate placed on unit by DEQ, a court order or some similar requirement (that has no realistic appeal path). </v>
      </c>
      <c r="D147" s="225"/>
      <c r="E147" s="226">
        <f>'Unit Data from Audit Worksheet'!F180</f>
        <v>0</v>
      </c>
      <c r="F147" s="78"/>
      <c r="G147" s="221"/>
      <c r="H147" s="218"/>
      <c r="I147" s="31"/>
      <c r="J147" s="217">
        <v>987</v>
      </c>
      <c r="K147" s="51" t="s">
        <v>1345</v>
      </c>
      <c r="L147" s="265">
        <f t="shared" si="9"/>
        <v>0</v>
      </c>
      <c r="P147" s="192"/>
    </row>
    <row r="148" spans="1:22" ht="57" customHeight="1" x14ac:dyDescent="0.3">
      <c r="A148" s="207">
        <f>'Unit Data from Audit Worksheet'!A184</f>
        <v>327</v>
      </c>
      <c r="B148" s="220" t="str">
        <f>'Unit Data from Audit Worksheet'!C184</f>
        <v>WS-Capital Assets Schedule in the Notes</v>
      </c>
      <c r="C148" s="206" t="str">
        <f>'Unit Data from Audit Worksheet'!D184</f>
        <v>Land and all other non depreciable capital assets 
Exclude construction in progress</v>
      </c>
      <c r="D148" s="225"/>
      <c r="E148" s="226">
        <f>'Unit Data from Audit Worksheet'!F184</f>
        <v>0</v>
      </c>
      <c r="F148" s="78"/>
      <c r="G148" s="221"/>
      <c r="H148" s="218"/>
      <c r="I148" s="31"/>
      <c r="J148" s="217">
        <v>327</v>
      </c>
      <c r="K148" s="51" t="s">
        <v>281</v>
      </c>
      <c r="L148" s="259">
        <f t="shared" si="9"/>
        <v>0</v>
      </c>
      <c r="P148" s="192"/>
    </row>
    <row r="149" spans="1:22" ht="57" customHeight="1" x14ac:dyDescent="0.3">
      <c r="A149" s="207">
        <f>'Unit Data from Audit Worksheet'!A185</f>
        <v>328</v>
      </c>
      <c r="B149" s="220" t="str">
        <f>'Unit Data from Audit Worksheet'!C185</f>
        <v>WS-Capital Assets Schedule in the Notes</v>
      </c>
      <c r="C149" s="206" t="str">
        <f>'Unit Data from Audit Worksheet'!D185</f>
        <v>Construction in progress</v>
      </c>
      <c r="D149" s="225"/>
      <c r="E149" s="226">
        <f>'Unit Data from Audit Worksheet'!F185</f>
        <v>0</v>
      </c>
      <c r="F149" s="78"/>
      <c r="G149" s="221"/>
      <c r="H149" s="218"/>
      <c r="I149" s="31"/>
      <c r="J149" s="217">
        <v>328</v>
      </c>
      <c r="K149" s="51" t="s">
        <v>282</v>
      </c>
      <c r="L149" s="259">
        <f t="shared" si="9"/>
        <v>0</v>
      </c>
      <c r="P149" s="192"/>
    </row>
    <row r="150" spans="1:22" ht="46.5" customHeight="1" x14ac:dyDescent="0.3">
      <c r="A150" s="207">
        <f>'Unit Data from Audit Worksheet'!A189</f>
        <v>515</v>
      </c>
      <c r="B150" s="220" t="str">
        <f>'Unit Data from Audit Worksheet'!C189</f>
        <v>WS Capital Assets Schedule-Gross Value</v>
      </c>
      <c r="C150" s="206" t="str">
        <f>'Unit Data from Audit Worksheet'!D189</f>
        <v>Buildings</v>
      </c>
      <c r="D150" s="225"/>
      <c r="E150" s="226">
        <f>'Unit Data from Audit Worksheet'!F189</f>
        <v>0</v>
      </c>
      <c r="F150" s="78"/>
      <c r="G150" s="221"/>
      <c r="H150" s="218"/>
      <c r="I150" s="31"/>
      <c r="J150" s="217">
        <v>515</v>
      </c>
      <c r="K150" s="51" t="s">
        <v>238</v>
      </c>
      <c r="L150" s="259">
        <f t="shared" si="9"/>
        <v>0</v>
      </c>
      <c r="P150" s="192"/>
    </row>
    <row r="151" spans="1:22" ht="46.5" customHeight="1" x14ac:dyDescent="0.3">
      <c r="A151" s="207">
        <f>'Unit Data from Audit Worksheet'!A190</f>
        <v>516</v>
      </c>
      <c r="B151" s="220" t="str">
        <f>'Unit Data from Audit Worksheet'!C190</f>
        <v>WS Capital Assets Schedule-Gross Value</v>
      </c>
      <c r="C151" s="206" t="str">
        <f>'Unit Data from Audit Worksheet'!D190</f>
        <v>Plant / distributions systems / water lines</v>
      </c>
      <c r="D151" s="225"/>
      <c r="E151" s="226">
        <f>'Unit Data from Audit Worksheet'!F190</f>
        <v>0</v>
      </c>
      <c r="F151" s="78"/>
      <c r="G151" s="221"/>
      <c r="H151" s="218"/>
      <c r="I151" s="31"/>
      <c r="J151" s="217">
        <v>516</v>
      </c>
      <c r="K151" s="51" t="s">
        <v>239</v>
      </c>
      <c r="L151" s="259">
        <f t="shared" si="9"/>
        <v>0</v>
      </c>
      <c r="P151" s="192"/>
    </row>
    <row r="152" spans="1:22" ht="46.5" customHeight="1" x14ac:dyDescent="0.3">
      <c r="A152" s="207">
        <f>'Unit Data from Audit Worksheet'!A191</f>
        <v>517</v>
      </c>
      <c r="B152" s="220" t="str">
        <f>'Unit Data from Audit Worksheet'!C191</f>
        <v>WS Capital Assets Schedule-Gross Value</v>
      </c>
      <c r="C152" s="206" t="str">
        <f>'Unit Data from Audit Worksheet'!D191</f>
        <v>Infrastructure(other infrastructure)</v>
      </c>
      <c r="D152" s="225"/>
      <c r="E152" s="226">
        <f>'Unit Data from Audit Worksheet'!F191</f>
        <v>0</v>
      </c>
      <c r="F152" s="78"/>
      <c r="G152" s="221"/>
      <c r="H152" s="218"/>
      <c r="I152" s="31"/>
      <c r="J152" s="217">
        <v>517</v>
      </c>
      <c r="K152" s="284" t="s">
        <v>240</v>
      </c>
      <c r="L152" s="259">
        <f t="shared" si="9"/>
        <v>0</v>
      </c>
      <c r="P152" s="192"/>
    </row>
    <row r="153" spans="1:22" ht="46.5" customHeight="1" x14ac:dyDescent="0.3">
      <c r="A153" s="207">
        <f>'Unit Data from Audit Worksheet'!A192</f>
        <v>518</v>
      </c>
      <c r="B153" s="220" t="str">
        <f>'Unit Data from Audit Worksheet'!C192</f>
        <v>WS Capital Assets Schedule-Gross Value</v>
      </c>
      <c r="C153" s="206" t="str">
        <f>'Unit Data from Audit Worksheet'!D192</f>
        <v>All other depreciable capital assets</v>
      </c>
      <c r="D153" s="225"/>
      <c r="E153" s="226">
        <f>'Unit Data from Audit Worksheet'!F192</f>
        <v>0</v>
      </c>
      <c r="F153" s="78"/>
      <c r="G153" s="221"/>
      <c r="H153" s="218"/>
      <c r="I153" s="31"/>
      <c r="J153" s="217">
        <v>518</v>
      </c>
      <c r="K153" s="284" t="s">
        <v>241</v>
      </c>
      <c r="L153" s="259">
        <f t="shared" si="9"/>
        <v>0</v>
      </c>
      <c r="P153" s="192"/>
    </row>
    <row r="154" spans="1:22" ht="52.5" customHeight="1" x14ac:dyDescent="0.3">
      <c r="A154" s="207">
        <f>'Unit Data from Audit Worksheet'!A195</f>
        <v>519</v>
      </c>
      <c r="B154" s="220" t="str">
        <f>'Unit Data from Audit Worksheet'!C195</f>
        <v>WS Capital Assets Schedule-Annual Depreciation</v>
      </c>
      <c r="C154" s="206" t="str">
        <f>'Unit Data from Audit Worksheet'!D195</f>
        <v>Buildings annual depreciation</v>
      </c>
      <c r="D154" s="225"/>
      <c r="E154" s="226">
        <f>'Unit Data from Audit Worksheet'!F195</f>
        <v>0</v>
      </c>
      <c r="F154" s="78"/>
      <c r="G154" s="221"/>
      <c r="H154" s="218"/>
      <c r="I154" s="31"/>
      <c r="J154" s="217">
        <v>519</v>
      </c>
      <c r="K154" s="284" t="s">
        <v>242</v>
      </c>
      <c r="L154" s="259">
        <f t="shared" si="9"/>
        <v>0</v>
      </c>
      <c r="P154" s="287"/>
    </row>
    <row r="155" spans="1:22" ht="52.5" customHeight="1" x14ac:dyDescent="0.3">
      <c r="A155" s="207">
        <f>'Unit Data from Audit Worksheet'!A196</f>
        <v>520</v>
      </c>
      <c r="B155" s="220" t="str">
        <f>'Unit Data from Audit Worksheet'!C196</f>
        <v>WS Capital Assets Schedule-Annual Depreciation</v>
      </c>
      <c r="C155" s="206" t="str">
        <f>'Unit Data from Audit Worksheet'!D196</f>
        <v>Plant / distributions systems / water lines annual depreciation</v>
      </c>
      <c r="D155" s="225"/>
      <c r="E155" s="226">
        <f>'Unit Data from Audit Worksheet'!F196</f>
        <v>0</v>
      </c>
      <c r="F155" s="78"/>
      <c r="G155" s="221"/>
      <c r="H155" s="218"/>
      <c r="I155" s="31"/>
      <c r="J155" s="217">
        <v>520</v>
      </c>
      <c r="K155" s="284" t="s">
        <v>243</v>
      </c>
      <c r="L155" s="259">
        <f t="shared" si="9"/>
        <v>0</v>
      </c>
      <c r="P155" s="290"/>
      <c r="Q155" s="288"/>
    </row>
    <row r="156" spans="1:22" ht="52.5" customHeight="1" x14ac:dyDescent="0.3">
      <c r="A156" s="207">
        <f>'Unit Data from Audit Worksheet'!A197</f>
        <v>521</v>
      </c>
      <c r="B156" s="220" t="str">
        <f>'Unit Data from Audit Worksheet'!C197</f>
        <v>WS Capital Assets Schedule-Annual Depreciation</v>
      </c>
      <c r="C156" s="206" t="str">
        <f>'Unit Data from Audit Worksheet'!D197</f>
        <v>Infrastructure(other infrastructure) annual depreciation</v>
      </c>
      <c r="D156" s="225"/>
      <c r="E156" s="226">
        <f>'Unit Data from Audit Worksheet'!F197</f>
        <v>0</v>
      </c>
      <c r="F156" s="78"/>
      <c r="G156" s="221"/>
      <c r="H156" s="218"/>
      <c r="I156" s="31"/>
      <c r="J156" s="217">
        <v>521</v>
      </c>
      <c r="K156" s="51" t="s">
        <v>244</v>
      </c>
      <c r="L156" s="259">
        <f t="shared" si="9"/>
        <v>0</v>
      </c>
      <c r="P156" s="192"/>
      <c r="Q156" s="183"/>
    </row>
    <row r="157" spans="1:22" ht="42.75" customHeight="1" x14ac:dyDescent="0.3">
      <c r="A157" s="207">
        <f>'Unit Data from Audit Worksheet'!A198</f>
        <v>522</v>
      </c>
      <c r="B157" s="220" t="str">
        <f>'Unit Data from Audit Worksheet'!C198</f>
        <v>WS Capital Assets Schedule-Annual Depreciation</v>
      </c>
      <c r="C157" s="206" t="str">
        <f>'Unit Data from Audit Worksheet'!D198</f>
        <v>All other depreciable capital assets annual depreciation</v>
      </c>
      <c r="D157" s="225"/>
      <c r="E157" s="226">
        <f>'Unit Data from Audit Worksheet'!F198</f>
        <v>0</v>
      </c>
      <c r="F157" s="78"/>
      <c r="G157" s="221"/>
      <c r="H157" s="218"/>
      <c r="I157" s="31"/>
      <c r="J157" s="217">
        <v>522</v>
      </c>
      <c r="K157" s="51" t="s">
        <v>245</v>
      </c>
      <c r="L157" s="259">
        <f t="shared" si="9"/>
        <v>0</v>
      </c>
      <c r="P157" s="287"/>
      <c r="S157" s="18"/>
      <c r="T157" s="18"/>
      <c r="U157" s="18"/>
      <c r="V157" s="18"/>
    </row>
    <row r="158" spans="1:22" ht="42.75" customHeight="1" x14ac:dyDescent="0.3">
      <c r="A158" s="207">
        <f>'Unit Data from Audit Worksheet'!A201</f>
        <v>523</v>
      </c>
      <c r="B158" s="220" t="str">
        <f>'Unit Data from Audit Worksheet'!C201</f>
        <v>WS Capital Assets Schedule-Accumulated Depreciation</v>
      </c>
      <c r="C158" s="206" t="str">
        <f>'Unit Data from Audit Worksheet'!D201</f>
        <v>Building accumulated depreciation</v>
      </c>
      <c r="D158" s="225"/>
      <c r="E158" s="226">
        <f>'Unit Data from Audit Worksheet'!F201</f>
        <v>0</v>
      </c>
      <c r="F158" s="78"/>
      <c r="G158" s="221"/>
      <c r="H158" s="218"/>
      <c r="I158" s="31"/>
      <c r="J158" s="217">
        <v>523</v>
      </c>
      <c r="K158" s="51" t="s">
        <v>246</v>
      </c>
      <c r="L158" s="259">
        <f t="shared" si="9"/>
        <v>0</v>
      </c>
      <c r="P158" s="287"/>
      <c r="S158" s="18"/>
      <c r="T158" s="18"/>
      <c r="U158" s="18"/>
      <c r="V158" s="18"/>
    </row>
    <row r="159" spans="1:22" ht="51" customHeight="1" x14ac:dyDescent="0.3">
      <c r="A159" s="207">
        <f>'Unit Data from Audit Worksheet'!A202</f>
        <v>524</v>
      </c>
      <c r="B159" s="220" t="str">
        <f>'Unit Data from Audit Worksheet'!C202</f>
        <v>WS Capital Assets Schedule-Accumulated Depreciation</v>
      </c>
      <c r="C159" s="206" t="str">
        <f>'Unit Data from Audit Worksheet'!D202</f>
        <v>Plant / distributions systems / water lines accumulated depreciation</v>
      </c>
      <c r="D159" s="225"/>
      <c r="E159" s="226">
        <f>'Unit Data from Audit Worksheet'!F202</f>
        <v>0</v>
      </c>
      <c r="F159" s="78"/>
      <c r="G159" s="221"/>
      <c r="H159" s="218"/>
      <c r="I159" s="31"/>
      <c r="J159" s="217">
        <v>524</v>
      </c>
      <c r="K159" s="51" t="s">
        <v>247</v>
      </c>
      <c r="L159" s="259">
        <f t="shared" si="9"/>
        <v>0</v>
      </c>
      <c r="P159" s="287"/>
      <c r="S159" s="18"/>
      <c r="T159" s="18"/>
      <c r="U159" s="18"/>
      <c r="V159" s="18"/>
    </row>
    <row r="160" spans="1:22" ht="57.75" customHeight="1" x14ac:dyDescent="0.3">
      <c r="A160" s="207">
        <f>'Unit Data from Audit Worksheet'!A203</f>
        <v>525</v>
      </c>
      <c r="B160" s="220" t="str">
        <f>'Unit Data from Audit Worksheet'!C203</f>
        <v>WS Capital Assets Schedule-Accumulated Depreciation</v>
      </c>
      <c r="C160" s="206" t="str">
        <f>'Unit Data from Audit Worksheet'!D203</f>
        <v>Infrastructure(other infrastructure) accumulated depreciation</v>
      </c>
      <c r="D160" s="225"/>
      <c r="E160" s="226">
        <f>'Unit Data from Audit Worksheet'!F203</f>
        <v>0</v>
      </c>
      <c r="F160" s="78"/>
      <c r="G160" s="221"/>
      <c r="H160" s="218"/>
      <c r="I160" s="31"/>
      <c r="J160" s="217">
        <v>525</v>
      </c>
      <c r="K160" s="51" t="s">
        <v>248</v>
      </c>
      <c r="L160" s="259">
        <f t="shared" si="9"/>
        <v>0</v>
      </c>
      <c r="P160" s="198"/>
      <c r="Q160" s="288"/>
    </row>
    <row r="161" spans="1:31" ht="48" customHeight="1" x14ac:dyDescent="0.3">
      <c r="A161" s="207">
        <f>'Unit Data from Audit Worksheet'!A204</f>
        <v>526</v>
      </c>
      <c r="B161" s="220" t="str">
        <f>'Unit Data from Audit Worksheet'!C204</f>
        <v>WS Capital Assets Schedule-Accumulated Depreciation</v>
      </c>
      <c r="C161" s="206" t="str">
        <f>'Unit Data from Audit Worksheet'!D204</f>
        <v>All other depreciable capital assets accumulated depreciation</v>
      </c>
      <c r="D161" s="225"/>
      <c r="E161" s="226">
        <f>'Unit Data from Audit Worksheet'!F204</f>
        <v>0</v>
      </c>
      <c r="F161" s="78"/>
      <c r="G161" s="221"/>
      <c r="H161" s="218"/>
      <c r="I161" s="31"/>
      <c r="J161" s="217">
        <v>526</v>
      </c>
      <c r="K161" s="51" t="s">
        <v>249</v>
      </c>
      <c r="L161" s="259">
        <f t="shared" si="9"/>
        <v>0</v>
      </c>
      <c r="P161" s="192"/>
      <c r="Q161" s="3"/>
    </row>
    <row r="162" spans="1:31" ht="50.25" customHeight="1" x14ac:dyDescent="0.3">
      <c r="A162" s="207">
        <f>'Unit Data from Audit Worksheet'!A209</f>
        <v>527</v>
      </c>
      <c r="B162" s="220" t="str">
        <f>'Unit Data from Audit Worksheet'!C209</f>
        <v>Electric Assets</v>
      </c>
      <c r="C162" s="206" t="str">
        <f>'Unit Data from Audit Worksheet'!D209</f>
        <v>Total Assets Gross value not being depreciated for Electric Fund</v>
      </c>
      <c r="D162" s="225"/>
      <c r="E162" s="226">
        <f>'Unit Data from Audit Worksheet'!F209</f>
        <v>0</v>
      </c>
      <c r="F162" s="78"/>
      <c r="G162" s="221"/>
      <c r="H162" s="218"/>
      <c r="I162" s="31"/>
      <c r="J162" s="217">
        <v>527</v>
      </c>
      <c r="K162" s="51" t="s">
        <v>250</v>
      </c>
      <c r="L162" s="259">
        <f t="shared" si="9"/>
        <v>0</v>
      </c>
      <c r="P162" s="192"/>
    </row>
    <row r="163" spans="1:31" ht="54.75" customHeight="1" x14ac:dyDescent="0.3">
      <c r="A163" s="207">
        <f>'Unit Data from Audit Worksheet'!A210</f>
        <v>356</v>
      </c>
      <c r="B163" s="220" t="str">
        <f>'Unit Data from Audit Worksheet'!C210</f>
        <v>Electric Assets</v>
      </c>
      <c r="C163" s="206" t="str">
        <f>'Unit Data from Audit Worksheet'!D210</f>
        <v>Total Assets Gross value of assets being depreciated for Electric Fund</v>
      </c>
      <c r="D163" s="225"/>
      <c r="E163" s="226">
        <f>'Unit Data from Audit Worksheet'!F210</f>
        <v>0</v>
      </c>
      <c r="F163" s="78"/>
      <c r="G163" s="221"/>
      <c r="H163" s="218"/>
      <c r="I163" s="31"/>
      <c r="J163" s="217">
        <v>356</v>
      </c>
      <c r="K163" s="51" t="s">
        <v>283</v>
      </c>
      <c r="L163" s="259">
        <f t="shared" si="9"/>
        <v>0</v>
      </c>
      <c r="P163" s="192"/>
    </row>
    <row r="164" spans="1:31" ht="54.75" customHeight="1" x14ac:dyDescent="0.3">
      <c r="A164" s="207">
        <f>'Unit Data from Audit Worksheet'!A211</f>
        <v>357</v>
      </c>
      <c r="B164" s="220" t="str">
        <f>'Unit Data from Audit Worksheet'!C211</f>
        <v>Electric Accumulated Depreciation</v>
      </c>
      <c r="C164" s="206" t="str">
        <f>'Unit Data from Audit Worksheet'!D211</f>
        <v>Total accumulated depreciation for Electric Fund assets</v>
      </c>
      <c r="D164" s="225"/>
      <c r="E164" s="226">
        <f>'Unit Data from Audit Worksheet'!F211</f>
        <v>0</v>
      </c>
      <c r="F164" s="78"/>
      <c r="G164" s="221"/>
      <c r="H164" s="218"/>
      <c r="I164" s="31"/>
      <c r="J164" s="217">
        <v>357</v>
      </c>
      <c r="K164" s="51" t="s">
        <v>284</v>
      </c>
      <c r="L164" s="259">
        <f t="shared" si="9"/>
        <v>0</v>
      </c>
      <c r="P164" s="192"/>
    </row>
    <row r="165" spans="1:31" ht="191.25" customHeight="1" x14ac:dyDescent="0.3">
      <c r="A165" s="207">
        <f>'Unit Data from Audit Worksheet'!A213</f>
        <v>337</v>
      </c>
      <c r="B165" s="220" t="str">
        <f>'Unit Data from Audit Worksheet'!C213</f>
        <v>Long-Term Liability Note - Governmental Activities</v>
      </c>
      <c r="C165" s="220" t="str">
        <f>'Unit Data from Audit Worksheet'!D213</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5" s="225"/>
      <c r="E165" s="226">
        <f>'Unit Data from Audit Worksheet'!F213</f>
        <v>0</v>
      </c>
      <c r="F165" s="219">
        <f>IF(L165&lt;0,"Error: Enter as a positive.",)</f>
        <v>0</v>
      </c>
      <c r="G165" s="221"/>
      <c r="H165" s="218"/>
      <c r="I165" s="31"/>
      <c r="J165" s="217">
        <v>337</v>
      </c>
      <c r="K165" s="216" t="s">
        <v>221</v>
      </c>
      <c r="L165" s="259">
        <f t="shared" si="9"/>
        <v>0</v>
      </c>
      <c r="P165" s="192"/>
    </row>
    <row r="166" spans="1:31" ht="76.5" customHeight="1" x14ac:dyDescent="0.3">
      <c r="A166" s="207">
        <f>'Unit Data from Audit Worksheet'!A214</f>
        <v>343</v>
      </c>
      <c r="B166" s="220" t="str">
        <f>'Unit Data from Audit Worksheet'!C214</f>
        <v>Long-Term Liability Note - Governmental Activities</v>
      </c>
      <c r="C166" s="206" t="str">
        <f>'Unit Data from Audit Worksheet'!D214</f>
        <v>Decreases made (principal paid) on Long-Term Debt in current fiscal year.  Reduce for debt refunding.</v>
      </c>
      <c r="D166" s="225"/>
      <c r="E166" s="226">
        <f>'Unit Data from Audit Worksheet'!F214</f>
        <v>0</v>
      </c>
      <c r="F166" s="219">
        <f>IF(L166&lt;0,"Error: Enter as a positive.",)</f>
        <v>0</v>
      </c>
      <c r="G166" s="221"/>
      <c r="H166" s="218"/>
      <c r="I166" s="31"/>
      <c r="J166" s="217">
        <v>343</v>
      </c>
      <c r="K166" s="216" t="s">
        <v>222</v>
      </c>
      <c r="L166" s="259">
        <f t="shared" si="9"/>
        <v>0</v>
      </c>
      <c r="P166" s="192"/>
    </row>
    <row r="167" spans="1:31" ht="193.5" customHeight="1" x14ac:dyDescent="0.3">
      <c r="A167" s="207">
        <f>'Unit Data from Audit Worksheet'!A215</f>
        <v>82</v>
      </c>
      <c r="B167" s="220" t="str">
        <f>'Unit Data from Audit Worksheet'!C215</f>
        <v>Long-Term Liability Note - Water Sewer Activities</v>
      </c>
      <c r="C167" s="220" t="str">
        <f>'Unit Data from Audit Worksheet'!D215</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7" s="225"/>
      <c r="E167" s="226">
        <f>'Unit Data from Audit Worksheet'!F215</f>
        <v>0</v>
      </c>
      <c r="F167" s="219">
        <f>IF(L167&lt;0,"Error: Enter as a positive.",)</f>
        <v>0</v>
      </c>
      <c r="G167" s="221"/>
      <c r="H167" s="218"/>
      <c r="I167" s="31"/>
      <c r="J167" s="217">
        <v>82</v>
      </c>
      <c r="K167" s="61" t="s">
        <v>285</v>
      </c>
      <c r="L167" s="259">
        <f t="shared" si="9"/>
        <v>0</v>
      </c>
      <c r="P167" s="192"/>
    </row>
    <row r="168" spans="1:31" ht="206.25" customHeight="1" x14ac:dyDescent="0.3">
      <c r="A168" s="207">
        <f>'Unit Data from Audit Worksheet'!A216</f>
        <v>359</v>
      </c>
      <c r="B168" s="220" t="str">
        <f>'Unit Data from Audit Worksheet'!C216</f>
        <v>Long-Term Liability Note - Electric Activities</v>
      </c>
      <c r="C168" s="220" t="str">
        <f>'Unit Data from Audit Worksheet'!D216</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8" s="225"/>
      <c r="E168" s="226">
        <f>'Unit Data from Audit Worksheet'!F216</f>
        <v>0</v>
      </c>
      <c r="F168" s="219">
        <f>IF(L168&lt;0,"Error: Enter as a positive.",)</f>
        <v>0</v>
      </c>
      <c r="G168" s="221"/>
      <c r="H168" s="218"/>
      <c r="I168" s="31"/>
      <c r="J168" s="217">
        <v>359</v>
      </c>
      <c r="K168" s="216" t="s">
        <v>223</v>
      </c>
      <c r="L168" s="259">
        <f t="shared" si="9"/>
        <v>0</v>
      </c>
      <c r="P168" s="192"/>
    </row>
    <row r="169" spans="1:31" ht="76.5" customHeight="1" x14ac:dyDescent="0.3">
      <c r="A169" s="207">
        <f>'Unit Data from Audit Worksheet'!A218</f>
        <v>622</v>
      </c>
      <c r="B169" s="220" t="str">
        <f>'Unit Data from Audit Worksheet'!C218</f>
        <v>FS., Pension note or RSI</v>
      </c>
      <c r="C169" s="220" t="str">
        <f>'Unit Data from Audit Worksheet'!D218</f>
        <v xml:space="preserve">Unit's Share of Net Pension Liability ($s)
- unit of government is a participating employer in the State's TSERS (Teachers' and State Employees' Retirement System) or the LGERS (Local Governmental Employees' Retirement System).  </v>
      </c>
      <c r="D169" s="225"/>
      <c r="E169" s="226">
        <f>'Unit Data from Audit Worksheet'!F218</f>
        <v>0</v>
      </c>
      <c r="F169" s="219"/>
      <c r="G169" s="221"/>
      <c r="H169" s="218"/>
      <c r="I169" s="31"/>
      <c r="J169" s="217">
        <v>622</v>
      </c>
      <c r="K169" s="223" t="s">
        <v>334</v>
      </c>
      <c r="L169" s="259">
        <f t="shared" si="9"/>
        <v>0</v>
      </c>
      <c r="P169" s="192"/>
      <c r="S169" s="18"/>
      <c r="T169" s="18"/>
      <c r="U169" s="18"/>
      <c r="V169" s="18"/>
    </row>
    <row r="170" spans="1:31" ht="138.75" customHeight="1" x14ac:dyDescent="0.3">
      <c r="A170" s="207">
        <f>'Unit Data from Audit Worksheet'!A219</f>
        <v>577</v>
      </c>
      <c r="B170" s="220" t="str">
        <f>'Unit Data from Audit Worksheet'!C219</f>
        <v>Pension Notes</v>
      </c>
      <c r="C170" s="220" t="str">
        <f>'Unit Data from Audit Worksheet'!D219</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the drop down list.
</v>
      </c>
      <c r="D170" s="225"/>
      <c r="E170" s="226">
        <f>'Unit Data from Audit Worksheet'!F219</f>
        <v>0</v>
      </c>
      <c r="F170" s="219"/>
      <c r="G170" s="221"/>
      <c r="H170" s="218"/>
      <c r="I170" s="31"/>
      <c r="J170" s="217">
        <v>577</v>
      </c>
      <c r="K170" s="223" t="s">
        <v>309</v>
      </c>
      <c r="L170" s="259">
        <f t="shared" si="9"/>
        <v>0</v>
      </c>
      <c r="P170" s="192"/>
      <c r="S170" s="18"/>
      <c r="T170" s="18"/>
      <c r="U170" s="18"/>
      <c r="V170" s="18"/>
    </row>
    <row r="171" spans="1:31" ht="115.5" customHeight="1" x14ac:dyDescent="0.3">
      <c r="A171" s="285">
        <f>'Unit Data from Audit Worksheet'!A221</f>
        <v>598</v>
      </c>
      <c r="B171" s="220" t="str">
        <f>'Unit Data from Audit Worksheet'!C221</f>
        <v>LEO Note</v>
      </c>
      <c r="C171" s="206" t="str">
        <f>'Unit Data from Audit Worksheet'!D221</f>
        <v>Amount the unit paid out in benefits under LEO special separation allowance to retired law enforcement officers this fiscal year if you report under GASB 68 or GASB 73.</v>
      </c>
      <c r="D171" s="225"/>
      <c r="E171" s="226">
        <f>'Unit Data from Audit Worksheet'!F221</f>
        <v>0</v>
      </c>
      <c r="F171" s="219">
        <f>IF(L171&lt;0,"Error: Enter as a positive.",)</f>
        <v>0</v>
      </c>
      <c r="G171" s="221"/>
      <c r="H171" s="218"/>
      <c r="I171" s="31"/>
      <c r="J171" s="217">
        <v>598</v>
      </c>
      <c r="K171" s="85" t="s">
        <v>318</v>
      </c>
      <c r="L171" s="259">
        <f t="shared" si="9"/>
        <v>0</v>
      </c>
      <c r="P171" s="192"/>
      <c r="S171" s="18"/>
      <c r="T171" s="18"/>
      <c r="U171" s="18"/>
      <c r="V171" s="18"/>
    </row>
    <row r="172" spans="1:31" ht="84" customHeight="1" x14ac:dyDescent="0.3">
      <c r="A172" s="207">
        <f>'Unit Data from Audit Worksheet'!A222</f>
        <v>599</v>
      </c>
      <c r="B172" s="220" t="str">
        <f>'Unit Data from Audit Worksheet'!C222</f>
        <v>LEO Note</v>
      </c>
      <c r="C172" s="206" t="str">
        <f>'Unit Data from Audit Worksheet'!D222</f>
        <v>The total LEO pension liability if you report under GASB 68 or GASB 73.</v>
      </c>
      <c r="D172" s="225"/>
      <c r="E172" s="226">
        <f>'Unit Data from Audit Worksheet'!F222</f>
        <v>0</v>
      </c>
      <c r="F172" s="219">
        <f>IF(L172&lt;0,"Error: Enter as a positive.",)</f>
        <v>0</v>
      </c>
      <c r="G172" s="221"/>
      <c r="H172" s="218"/>
      <c r="I172" s="31"/>
      <c r="J172" s="217">
        <v>599</v>
      </c>
      <c r="K172" s="84" t="s">
        <v>317</v>
      </c>
      <c r="L172" s="259">
        <f t="shared" si="9"/>
        <v>0</v>
      </c>
      <c r="P172" s="192"/>
    </row>
    <row r="173" spans="1:31" ht="102.75" customHeight="1" x14ac:dyDescent="0.3">
      <c r="A173" s="207">
        <f>'Unit Data from Audit Worksheet'!A223</f>
        <v>602</v>
      </c>
      <c r="B173" s="220" t="str">
        <f>'Unit Data from Audit Worksheet'!C223</f>
        <v>LEO Note</v>
      </c>
      <c r="C173" s="206" t="str">
        <f>'Unit Data from Audit Worksheet'!D223</f>
        <v>If you have LEO pension assets and are reporting under GASB 68 please enter "Plan Fiduciary Net Position" which can be found on your RSI schedules and the Notes.</v>
      </c>
      <c r="D173" s="225"/>
      <c r="E173" s="226">
        <f>'Unit Data from Audit Worksheet'!F223</f>
        <v>0</v>
      </c>
      <c r="F173" s="219">
        <f>IF(L173&lt;0,"Error: Enter as a positive.",)</f>
        <v>0</v>
      </c>
      <c r="G173" s="221"/>
      <c r="H173" s="218"/>
      <c r="I173" s="31"/>
      <c r="J173" s="217">
        <v>602</v>
      </c>
      <c r="K173" s="21" t="s">
        <v>319</v>
      </c>
      <c r="L173" s="259">
        <f t="shared" si="9"/>
        <v>0</v>
      </c>
      <c r="P173" s="192"/>
    </row>
    <row r="174" spans="1:31" ht="123" customHeight="1" x14ac:dyDescent="0.3">
      <c r="A174" s="207">
        <f>'Unit Data from Audit Worksheet'!A224</f>
        <v>619</v>
      </c>
      <c r="B174" s="220" t="str">
        <f>'Unit Data from Audit Worksheet'!C224</f>
        <v>LEO
RSI</v>
      </c>
      <c r="C174" s="85" t="str">
        <f>'Unit Data from Audit Worksheet'!D224</f>
        <v>LEOSSA – What is the plan’s fiduciary net position as a percentage of the total pension liability?  Please enter as percentage value; for example, 83.5% should be entered as 83.5.  If assets have not been set aside in a trust, please enter 0.0</v>
      </c>
      <c r="D174" s="86"/>
      <c r="E174" s="135">
        <f>'Unit Data from Audit Worksheet'!F224</f>
        <v>0</v>
      </c>
      <c r="F174" s="219" t="str">
        <f>IF(H174=L174,"","Column L does not equal Column H")</f>
        <v/>
      </c>
      <c r="G174" s="221"/>
      <c r="H174" s="93">
        <f>ROUND(IFERROR((L173/L172)*100,0),1)</f>
        <v>0</v>
      </c>
      <c r="I174" s="31"/>
      <c r="J174" s="209">
        <v>619</v>
      </c>
      <c r="K174" s="92" t="s">
        <v>416</v>
      </c>
      <c r="L174" s="673">
        <f t="shared" si="9"/>
        <v>0</v>
      </c>
      <c r="P174" s="192"/>
    </row>
    <row r="175" spans="1:31" ht="113.25" customHeight="1" x14ac:dyDescent="0.3">
      <c r="A175" s="207">
        <v>621</v>
      </c>
      <c r="B175" s="50" t="s">
        <v>329</v>
      </c>
      <c r="C175" s="289" t="str">
        <f>'Unit Data from Audit Worksheet'!D226</f>
        <v xml:space="preserve">Unit's share of Retirement Health Benefit Fund Net OPEB Liability ($s)
- unit of government is a participating employer in the State's RHBF </v>
      </c>
      <c r="D175" s="86"/>
      <c r="E175" s="226">
        <f>'Unit Data from Audit Worksheet'!F226</f>
        <v>0</v>
      </c>
      <c r="F175" s="219">
        <f>IF(L175&lt;0,"Error: Enter as a positive.",)</f>
        <v>0</v>
      </c>
      <c r="G175" s="117"/>
      <c r="H175" s="218"/>
      <c r="I175" s="31"/>
      <c r="J175" s="290">
        <v>621</v>
      </c>
      <c r="K175" s="118" t="s">
        <v>420</v>
      </c>
      <c r="L175" s="259">
        <f t="shared" si="9"/>
        <v>0</v>
      </c>
      <c r="P175" s="193"/>
    </row>
    <row r="176" spans="1:31" s="18" customFormat="1" ht="127.5" customHeight="1" x14ac:dyDescent="0.3">
      <c r="A176" s="285">
        <f>'Unit Data from Audit Worksheet'!A227</f>
        <v>547</v>
      </c>
      <c r="B176" s="220" t="str">
        <f>'Unit Data from Audit Worksheet'!C227</f>
        <v>OPEB Note</v>
      </c>
      <c r="C176" s="220" t="str">
        <f>'Unit Data from Audit Worksheet'!D227</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the drop down list.</v>
      </c>
      <c r="D176" s="225"/>
      <c r="E176" s="226">
        <f>'Unit Data from Audit Worksheet'!F227</f>
        <v>0</v>
      </c>
      <c r="F176" s="219" t="str">
        <f>IF(L179&lt;1,"Please answer this question","")</f>
        <v>Please answer this question</v>
      </c>
      <c r="G176" s="221"/>
      <c r="H176" s="218"/>
      <c r="I176" s="31"/>
      <c r="J176" s="217">
        <v>547</v>
      </c>
      <c r="K176" s="291" t="s">
        <v>273</v>
      </c>
      <c r="L176" s="259">
        <f t="shared" si="9"/>
        <v>0</v>
      </c>
      <c r="M176"/>
      <c r="P176" s="193"/>
      <c r="Q176" s="250"/>
      <c r="R176" s="3"/>
      <c r="S176" s="3"/>
      <c r="T176" s="3"/>
      <c r="U176" s="3"/>
      <c r="V176" s="3"/>
      <c r="W176"/>
      <c r="X176"/>
      <c r="Y176"/>
      <c r="Z176"/>
      <c r="AA176"/>
      <c r="AB176"/>
      <c r="AC176"/>
      <c r="AD176"/>
      <c r="AE176"/>
    </row>
    <row r="177" spans="1:31" s="18" customFormat="1" ht="99" customHeight="1" x14ac:dyDescent="0.3">
      <c r="A177" s="207">
        <f>'Unit Data from Audit Worksheet'!A228</f>
        <v>659</v>
      </c>
      <c r="B177" s="220" t="str">
        <f>'Unit Data from Audit Worksheet'!C228</f>
        <v>OPEB
 Note or RSI</v>
      </c>
      <c r="C177" s="206" t="str">
        <f>'Unit Data from Audit Worksheet'!D228</f>
        <v>Total OPEB benefits - total OPEB liability
If you do not provide benefit, please enter 0</v>
      </c>
      <c r="D177" s="225"/>
      <c r="E177" s="226">
        <f>'Unit Data from Audit Worksheet'!F228</f>
        <v>0</v>
      </c>
      <c r="F177" s="219">
        <f>IF(L177&lt;0,"Error: Enter as a positive.",)</f>
        <v>0</v>
      </c>
      <c r="G177" s="292" t="s">
        <v>1341</v>
      </c>
      <c r="H177" s="218"/>
      <c r="I177" s="31"/>
      <c r="J177" s="209">
        <v>659</v>
      </c>
      <c r="K177" s="208" t="s">
        <v>385</v>
      </c>
      <c r="L177" s="272">
        <f t="shared" si="9"/>
        <v>0</v>
      </c>
      <c r="M177"/>
      <c r="P177" s="193"/>
      <c r="Q177" s="250"/>
      <c r="R177" s="3"/>
      <c r="S177" s="3"/>
      <c r="T177" s="3"/>
      <c r="U177" s="3"/>
      <c r="V177" s="3"/>
      <c r="W177"/>
      <c r="X177"/>
      <c r="Y177"/>
      <c r="Z177"/>
      <c r="AA177"/>
      <c r="AB177"/>
      <c r="AC177"/>
      <c r="AD177"/>
      <c r="AE177"/>
    </row>
    <row r="178" spans="1:31" s="18" customFormat="1" ht="131.25" customHeight="1" x14ac:dyDescent="0.3">
      <c r="A178" s="207">
        <f>'Unit Data from Audit Worksheet'!A229</f>
        <v>660</v>
      </c>
      <c r="B178" s="220" t="str">
        <f>'Unit Data from Audit Worksheet'!C229</f>
        <v>OPEB
 Note or RSI</v>
      </c>
      <c r="C178" s="206" t="str">
        <f>'Unit Data from Audit Worksheet'!D229</f>
        <v>Total OPEB benefits- OPEB plan fiduciary net position
If no fiduciary net position, enter 0</v>
      </c>
      <c r="D178" s="225"/>
      <c r="E178" s="226">
        <f>'Unit Data from Audit Worksheet'!F229</f>
        <v>0</v>
      </c>
      <c r="F178" s="215">
        <f>IF(L178&lt;0,"Note: Number is normally positive.",)</f>
        <v>0</v>
      </c>
      <c r="G178" s="292" t="s">
        <v>1341</v>
      </c>
      <c r="H178" s="218"/>
      <c r="I178" s="31"/>
      <c r="J178" s="209">
        <v>660</v>
      </c>
      <c r="K178" s="208" t="s">
        <v>386</v>
      </c>
      <c r="L178" s="272">
        <f t="shared" si="9"/>
        <v>0</v>
      </c>
      <c r="M178"/>
      <c r="P178" s="193"/>
      <c r="Q178" s="250"/>
      <c r="R178" s="3"/>
      <c r="S178" s="3"/>
      <c r="T178" s="3"/>
      <c r="U178" s="3"/>
      <c r="V178" s="3"/>
      <c r="W178"/>
      <c r="X178"/>
      <c r="Y178"/>
      <c r="Z178"/>
      <c r="AA178"/>
      <c r="AB178"/>
      <c r="AC178"/>
      <c r="AD178"/>
      <c r="AE178"/>
    </row>
    <row r="179" spans="1:31" ht="134.25" customHeight="1" x14ac:dyDescent="0.3">
      <c r="A179" s="207">
        <f>'Unit Data from Audit Worksheet'!A230</f>
        <v>661</v>
      </c>
      <c r="B179" s="220" t="str">
        <f>'Unit Data from Audit Worksheet'!C230</f>
        <v>OPEB
RSI</v>
      </c>
      <c r="C179" s="206" t="str">
        <f>'Unit Data from Audit Worksheet'!D230</f>
        <v>Total OPEB benefits - What is the plan’s fiduciary net position as a percentage of the total OPEB liability?  Please enter as percentage value; for example, 83.5% should be entered as 83.5.  If assets have not been set aside in a trust, please enter 0.0</v>
      </c>
      <c r="D179" s="86"/>
      <c r="E179" s="135">
        <f>'Unit Data from Audit Worksheet'!F230</f>
        <v>0</v>
      </c>
      <c r="F179" s="219" t="str">
        <f>IF(H179=L179,"","Column L does not equal Column H")</f>
        <v/>
      </c>
      <c r="G179" s="292" t="s">
        <v>1341</v>
      </c>
      <c r="H179" s="154">
        <f>ROUND(IFERROR((L178/L177)*100,0),1)</f>
        <v>0</v>
      </c>
      <c r="I179" s="31"/>
      <c r="J179" s="209">
        <v>661</v>
      </c>
      <c r="K179" s="223" t="s">
        <v>388</v>
      </c>
      <c r="L179" s="668">
        <f>IF(D179="",E179,D179)</f>
        <v>0</v>
      </c>
      <c r="P179" s="193"/>
    </row>
    <row r="180" spans="1:31" ht="65.25" customHeight="1" x14ac:dyDescent="0.3">
      <c r="A180" s="207">
        <f>'Unit Data from Audit Worksheet'!A233</f>
        <v>371</v>
      </c>
      <c r="B180" s="220" t="str">
        <f>'Unit Data from Audit Worksheet'!C233</f>
        <v>Transfer Note</v>
      </c>
      <c r="C180" s="206" t="str">
        <f>'Unit Data from Audit Worksheet'!D233</f>
        <v>Amount of Transfers from the General Fund to the Debt Service Fund (Enter as positive)</v>
      </c>
      <c r="D180" s="225"/>
      <c r="E180" s="226">
        <f>'Unit Data from Audit Worksheet'!F233</f>
        <v>0</v>
      </c>
      <c r="F180" s="219">
        <f>IF(L180&lt;0,"Error: Enter as a positive.",)</f>
        <v>0</v>
      </c>
      <c r="G180" s="221"/>
      <c r="H180" s="218"/>
      <c r="I180" s="31"/>
      <c r="J180" s="32">
        <v>371</v>
      </c>
      <c r="K180" s="216" t="s">
        <v>224</v>
      </c>
      <c r="L180" s="259">
        <f t="shared" si="9"/>
        <v>0</v>
      </c>
      <c r="P180" s="195"/>
    </row>
    <row r="181" spans="1:31" s="356" customFormat="1" ht="65.25" customHeight="1" x14ac:dyDescent="0.3">
      <c r="A181" s="274">
        <f>'Unit Data from Audit Worksheet'!A234</f>
        <v>1075</v>
      </c>
      <c r="B181" s="224" t="str">
        <f>'Unit Data from Audit Worksheet'!C234</f>
        <v>Transfer Note</v>
      </c>
      <c r="C181" s="275" t="str">
        <f>'Unit Data from Audit Worksheet'!D234</f>
        <v>Transfers from General Fund to Water and Sewer Fund.  (Enter as positive)</v>
      </c>
      <c r="D181" s="225"/>
      <c r="E181" s="226">
        <f>'Unit Data from Audit Worksheet'!F234</f>
        <v>0</v>
      </c>
      <c r="F181" s="219"/>
      <c r="G181" s="221"/>
      <c r="H181" s="218"/>
      <c r="I181" s="31"/>
      <c r="J181" s="781">
        <v>1075</v>
      </c>
      <c r="K181" s="116" t="s">
        <v>1641</v>
      </c>
      <c r="L181" s="276">
        <f t="shared" si="9"/>
        <v>0</v>
      </c>
      <c r="M181" s="173"/>
      <c r="P181" s="195"/>
      <c r="Q181" s="250"/>
      <c r="W181" s="173"/>
      <c r="X181" s="173"/>
      <c r="Y181" s="173"/>
      <c r="Z181" s="173"/>
      <c r="AA181" s="173"/>
      <c r="AB181" s="173"/>
      <c r="AC181" s="173"/>
      <c r="AD181" s="173"/>
      <c r="AE181" s="173"/>
    </row>
    <row r="182" spans="1:31" s="356" customFormat="1" ht="65.25" customHeight="1" x14ac:dyDescent="0.3">
      <c r="A182" s="274">
        <f>'Unit Data from Audit Worksheet'!A235</f>
        <v>1076</v>
      </c>
      <c r="B182" s="224" t="str">
        <f>'Unit Data from Audit Worksheet'!C235</f>
        <v>Transfer Note</v>
      </c>
      <c r="C182" s="275" t="str">
        <f>'Unit Data from Audit Worksheet'!D235</f>
        <v>Transfers from Water and Sewer to General Fund.  (Enter as positive)</v>
      </c>
      <c r="D182" s="225"/>
      <c r="E182" s="226">
        <f>'Unit Data from Audit Worksheet'!F235</f>
        <v>0</v>
      </c>
      <c r="F182" s="219"/>
      <c r="G182" s="221"/>
      <c r="H182" s="218"/>
      <c r="I182" s="31"/>
      <c r="J182" s="781">
        <v>1076</v>
      </c>
      <c r="K182" s="116" t="s">
        <v>1643</v>
      </c>
      <c r="L182" s="276">
        <f t="shared" si="9"/>
        <v>0</v>
      </c>
      <c r="M182" s="173"/>
      <c r="P182" s="195"/>
      <c r="Q182" s="250"/>
      <c r="W182" s="173"/>
      <c r="X182" s="173"/>
      <c r="Y182" s="173"/>
      <c r="Z182" s="173"/>
      <c r="AA182" s="173"/>
      <c r="AB182" s="173"/>
      <c r="AC182" s="173"/>
      <c r="AD182" s="173"/>
      <c r="AE182" s="173"/>
    </row>
    <row r="183" spans="1:31" s="356" customFormat="1" ht="65.25" customHeight="1" x14ac:dyDescent="0.3">
      <c r="A183" s="274">
        <f>'Unit Data from Audit Worksheet'!A236</f>
        <v>1077</v>
      </c>
      <c r="B183" s="224" t="str">
        <f>'Unit Data from Audit Worksheet'!C236</f>
        <v>Water and Sewer - Fund Revenue, Expenses &amp; Changes in Fund Net Position or Notes to Financial Statements</v>
      </c>
      <c r="C183" s="275" t="str">
        <f>'Unit Data from Audit Worksheet'!D236</f>
        <v>Amount transferred from the Water and Sewer Fund to a Water and Sewer Capital Project Fund</v>
      </c>
      <c r="D183" s="225"/>
      <c r="E183" s="226">
        <f>'Unit Data from Audit Worksheet'!F236</f>
        <v>0</v>
      </c>
      <c r="F183" s="219"/>
      <c r="G183" s="221"/>
      <c r="H183" s="218"/>
      <c r="I183" s="31"/>
      <c r="J183" s="781">
        <v>1077</v>
      </c>
      <c r="K183" s="116" t="s">
        <v>1645</v>
      </c>
      <c r="L183" s="276">
        <f t="shared" si="9"/>
        <v>0</v>
      </c>
      <c r="M183" s="173"/>
      <c r="P183" s="195"/>
      <c r="Q183" s="250"/>
      <c r="W183" s="173"/>
      <c r="X183" s="173"/>
      <c r="Y183" s="173"/>
      <c r="Z183" s="173"/>
      <c r="AA183" s="173"/>
      <c r="AB183" s="173"/>
      <c r="AC183" s="173"/>
      <c r="AD183" s="173"/>
      <c r="AE183" s="173"/>
    </row>
    <row r="184" spans="1:31" ht="63" customHeight="1" x14ac:dyDescent="0.3">
      <c r="A184" s="207">
        <f>'Unit Data from Audit Worksheet'!A237</f>
        <v>513</v>
      </c>
      <c r="B184" s="220" t="str">
        <f>'Unit Data from Audit Worksheet'!C237</f>
        <v>Transfer Note</v>
      </c>
      <c r="C184" s="206" t="str">
        <f>'Unit Data from Audit Worksheet'!D237</f>
        <v>Amount of Transfers from the General Fund to the Electric Fund  (Enter as positive)</v>
      </c>
      <c r="D184" s="225"/>
      <c r="E184" s="226">
        <f>'Unit Data from Audit Worksheet'!F237</f>
        <v>0</v>
      </c>
      <c r="F184" s="219">
        <f>IF(L184&lt;0,"Error: Enter as a positive.",)</f>
        <v>0</v>
      </c>
      <c r="G184" s="221"/>
      <c r="H184" s="218"/>
      <c r="I184" s="31"/>
      <c r="J184" s="217">
        <v>513</v>
      </c>
      <c r="K184" s="216" t="s">
        <v>225</v>
      </c>
      <c r="L184" s="259">
        <f t="shared" si="9"/>
        <v>0</v>
      </c>
      <c r="P184" s="195"/>
    </row>
    <row r="185" spans="1:31" ht="89.25" customHeight="1" x14ac:dyDescent="0.3">
      <c r="A185" s="207">
        <f>'Unit Data from Audit Worksheet'!A238</f>
        <v>514</v>
      </c>
      <c r="B185" s="220" t="str">
        <f>'Unit Data from Audit Worksheet'!C238</f>
        <v>Transfer Note</v>
      </c>
      <c r="C185" s="206" t="str">
        <f>'Unit Data from Audit Worksheet'!D238</f>
        <v>Amount of Transfers from the Electric Fund to the General Fund  (Enter as positive)
Include:  Payment in Lieu of Taxes (PILOT)</v>
      </c>
      <c r="D185" s="225"/>
      <c r="E185" s="226">
        <f>'Unit Data from Audit Worksheet'!F238</f>
        <v>0</v>
      </c>
      <c r="F185" s="219">
        <f>IF(L185&lt;0,"Error: Enter as a positive.",)</f>
        <v>0</v>
      </c>
      <c r="G185" s="221"/>
      <c r="H185" s="218"/>
      <c r="I185" s="31"/>
      <c r="J185" s="217">
        <v>514</v>
      </c>
      <c r="K185" s="216" t="s">
        <v>226</v>
      </c>
      <c r="L185" s="259">
        <f t="shared" si="9"/>
        <v>0</v>
      </c>
      <c r="P185" s="195"/>
    </row>
    <row r="186" spans="1:31" ht="89.25" customHeight="1" x14ac:dyDescent="0.3">
      <c r="A186" s="207">
        <f>'Unit Data from Audit Worksheet'!A239</f>
        <v>990</v>
      </c>
      <c r="B186" s="220" t="str">
        <f>'Unit Data from Audit Worksheet'!C239</f>
        <v>Transfer Note</v>
      </c>
      <c r="C186" s="206" t="str">
        <f>'Unit Data from Audit Worksheet'!D239</f>
        <v>Amount of transfer out of the Electric to the General Fund that is for Payment in Lieu of Taxes (PILOT)</v>
      </c>
      <c r="D186" s="225"/>
      <c r="E186" s="226">
        <f>'Unit Data from Audit Worksheet'!F239</f>
        <v>0</v>
      </c>
      <c r="F186" s="219"/>
      <c r="G186" s="221"/>
      <c r="H186" s="218"/>
      <c r="I186" s="31"/>
      <c r="J186" s="217">
        <v>990</v>
      </c>
      <c r="K186" s="216" t="s">
        <v>537</v>
      </c>
      <c r="L186" s="259">
        <f t="shared" si="9"/>
        <v>0</v>
      </c>
      <c r="P186" s="195"/>
    </row>
    <row r="187" spans="1:31" s="356" customFormat="1" ht="89.25" customHeight="1" x14ac:dyDescent="0.3">
      <c r="A187" s="207">
        <f>'Unit Data from Audit Worksheet'!A240</f>
        <v>1051</v>
      </c>
      <c r="B187" s="220" t="str">
        <f>'Unit Data from Audit Worksheet'!C240</f>
        <v>Electric Fund Revenue, Expenses &amp; Changes in Fund Net Position or Notes to Financial Statements</v>
      </c>
      <c r="C187" s="206" t="str">
        <f>'Unit Data from Audit Worksheet'!D240</f>
        <v>Transfers to Electric Capital Projects</v>
      </c>
      <c r="D187" s="225"/>
      <c r="E187" s="226">
        <f>'Unit Data from Audit Worksheet'!F240</f>
        <v>0</v>
      </c>
      <c r="F187" s="219"/>
      <c r="G187" s="221"/>
      <c r="H187" s="218"/>
      <c r="I187" s="31"/>
      <c r="J187" s="217">
        <v>1051</v>
      </c>
      <c r="K187" s="216" t="s">
        <v>1027</v>
      </c>
      <c r="L187" s="265">
        <f t="shared" si="9"/>
        <v>0</v>
      </c>
      <c r="M187"/>
      <c r="P187" s="195"/>
      <c r="Q187" s="250"/>
      <c r="W187"/>
      <c r="X187"/>
      <c r="Y187"/>
      <c r="Z187"/>
      <c r="AA187"/>
      <c r="AB187"/>
      <c r="AC187"/>
      <c r="AD187"/>
      <c r="AE187"/>
    </row>
    <row r="188" spans="1:31" ht="84.75" customHeight="1" x14ac:dyDescent="0.3">
      <c r="A188" s="293">
        <f>'Unit Data from Audit Worksheet'!A242</f>
        <v>6</v>
      </c>
      <c r="B188" s="46" t="str">
        <f>'Unit Data from Audit Worksheet'!C242</f>
        <v>Fund Balance Note</v>
      </c>
      <c r="C188" s="268" t="str">
        <f>'Unit Data from Audit Worksheet'!D242</f>
        <v>General Fund -  Total Encumbrances.  You will probably have to refer to the note disclosure where the amount of encumbrances is listed.</v>
      </c>
      <c r="D188" s="225"/>
      <c r="E188" s="138">
        <f>'Unit Data from Audit Worksheet'!F242</f>
        <v>0</v>
      </c>
      <c r="F188" s="30">
        <f>IF(L188&lt;0,"Error: Enter as a positive.",)</f>
        <v>0</v>
      </c>
      <c r="G188" s="65"/>
      <c r="H188" s="218"/>
      <c r="I188" s="31"/>
      <c r="J188" s="34">
        <v>6</v>
      </c>
      <c r="K188" s="121" t="s">
        <v>227</v>
      </c>
      <c r="L188" s="259">
        <f t="shared" si="9"/>
        <v>0</v>
      </c>
      <c r="P188" s="195"/>
    </row>
    <row r="189" spans="1:31" ht="117.75" customHeight="1" x14ac:dyDescent="0.3">
      <c r="A189" s="207">
        <f>'Unit Data from Audit Worksheet'!A244</f>
        <v>541</v>
      </c>
      <c r="B189" s="220" t="str">
        <f>'Unit Data from Audit Worksheet'!C244</f>
        <v>Water Sewer - Budget Actual Statement</v>
      </c>
      <c r="C189" s="220" t="str">
        <f>'Unit Data from Audit Worksheet'!D244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89" s="225"/>
      <c r="E189" s="226">
        <f>'Unit Data from Audit Worksheet'!F244</f>
        <v>0</v>
      </c>
      <c r="F189" s="219"/>
      <c r="G189" s="221"/>
      <c r="H189" s="218"/>
      <c r="I189" s="31"/>
      <c r="J189" s="217">
        <v>541</v>
      </c>
      <c r="K189" s="79" t="s">
        <v>286</v>
      </c>
      <c r="L189" s="259">
        <f t="shared" si="9"/>
        <v>0</v>
      </c>
      <c r="P189" s="195"/>
    </row>
    <row r="190" spans="1:31" ht="94.5" customHeight="1" x14ac:dyDescent="0.3">
      <c r="A190" s="207">
        <f>'Unit Data from Audit Worksheet'!A246</f>
        <v>542</v>
      </c>
      <c r="B190" s="220" t="str">
        <f>'Unit Data from Audit Worksheet'!C246</f>
        <v>Water Sewer - Disclosed in the Notes or in the recently approved Budget for next year.</v>
      </c>
      <c r="C190" s="206" t="str">
        <f>'Unit Data from Audit Worksheet'!D246</f>
        <v>Amount of the Water Sewer Fund Balance appropriated in next year's budget?</v>
      </c>
      <c r="D190" s="225"/>
      <c r="E190" s="226">
        <f>'Unit Data from Audit Worksheet'!F246</f>
        <v>0</v>
      </c>
      <c r="F190" s="219"/>
      <c r="G190" s="221"/>
      <c r="H190" s="218"/>
      <c r="I190" s="31"/>
      <c r="J190" s="217">
        <v>542</v>
      </c>
      <c r="K190" s="216" t="s">
        <v>228</v>
      </c>
      <c r="L190" s="259">
        <f t="shared" si="9"/>
        <v>0</v>
      </c>
      <c r="N190" s="53" t="s">
        <v>277</v>
      </c>
      <c r="P190" s="195"/>
    </row>
    <row r="191" spans="1:31" ht="93.75" customHeight="1" x14ac:dyDescent="0.3">
      <c r="A191" s="207">
        <f>'Unit Data from Audit Worksheet'!A249</f>
        <v>528</v>
      </c>
      <c r="B191" s="220" t="str">
        <f>'Unit Data from Audit Worksheet'!C249</f>
        <v>Analysis of Current Tax Levy Schedule</v>
      </c>
      <c r="C191" s="206" t="str">
        <f>'Unit Data from Audit Worksheet'!D249</f>
        <v>Please enter the Net Current year's levy for property excluding registered motor vehicles-- (after adjusting for discoveries and abatements)
Exclude Supplemental Taxes</v>
      </c>
      <c r="D191" s="225"/>
      <c r="E191" s="226">
        <f>'Unit Data from Audit Worksheet'!F249</f>
        <v>0</v>
      </c>
      <c r="F191" s="73" t="str">
        <f>IF(L191=0,"Must be completed if unit levys taxes","")</f>
        <v>Must be completed if unit levys taxes</v>
      </c>
      <c r="G191" s="221"/>
      <c r="H191" s="218"/>
      <c r="I191" s="31"/>
      <c r="J191" s="217">
        <v>528</v>
      </c>
      <c r="K191" s="294" t="s">
        <v>233</v>
      </c>
      <c r="L191" s="259">
        <f t="shared" si="9"/>
        <v>0</v>
      </c>
      <c r="N191" s="74"/>
      <c r="P191" s="195"/>
    </row>
    <row r="192" spans="1:31" s="18" customFormat="1" ht="79.5" customHeight="1" x14ac:dyDescent="0.3">
      <c r="A192" s="207">
        <f>'Unit Data from Audit Worksheet'!A250</f>
        <v>529</v>
      </c>
      <c r="B192" s="220" t="str">
        <f>'Unit Data from Audit Worksheet'!C250</f>
        <v>Analysis of Current Tax Levy Schedule</v>
      </c>
      <c r="C192" s="206" t="str">
        <f>'Unit Data from Audit Worksheet'!D250</f>
        <v>Please enter the Net Current year's levy -- Motor vehicles (only) (after adjusting for discoveries and abatements)
Exclude supplemental taxes</v>
      </c>
      <c r="D192" s="225"/>
      <c r="E192" s="226">
        <f>'Unit Data from Audit Worksheet'!F250</f>
        <v>0</v>
      </c>
      <c r="F192" s="73" t="str">
        <f>IF(L192=0,"Must be completed if unit levys taxes","")</f>
        <v>Must be completed if unit levys taxes</v>
      </c>
      <c r="G192" s="221"/>
      <c r="H192" s="218"/>
      <c r="I192" s="31"/>
      <c r="J192" s="217">
        <v>529</v>
      </c>
      <c r="K192" s="294" t="s">
        <v>234</v>
      </c>
      <c r="L192" s="259">
        <f t="shared" si="9"/>
        <v>0</v>
      </c>
      <c r="M192"/>
      <c r="N192" s="74"/>
      <c r="P192" s="195"/>
      <c r="Q192" s="250"/>
      <c r="R192" s="3"/>
      <c r="S192" s="3"/>
      <c r="T192" s="3"/>
      <c r="U192" s="3"/>
      <c r="V192" s="3"/>
      <c r="W192"/>
      <c r="X192"/>
      <c r="Y192"/>
      <c r="Z192"/>
      <c r="AA192"/>
      <c r="AB192"/>
      <c r="AC192"/>
      <c r="AD192"/>
      <c r="AE192"/>
    </row>
    <row r="193" spans="1:31" s="18" customFormat="1" ht="75" customHeight="1" x14ac:dyDescent="0.3">
      <c r="A193" s="207">
        <f>'Unit Data from Audit Worksheet'!A251</f>
        <v>530</v>
      </c>
      <c r="B193" s="220" t="str">
        <f>'Unit Data from Audit Worksheet'!C251</f>
        <v>Analysis of Current Tax Levy Schedule</v>
      </c>
      <c r="C193" s="206" t="str">
        <f>'Unit Data from Audit Worksheet'!D251</f>
        <v>Uncollected Taxes - Curr Year's Levy Exclude Motor Vehicles
Exclude supplemental taxes</v>
      </c>
      <c r="D193" s="225"/>
      <c r="E193" s="226">
        <f>'Unit Data from Audit Worksheet'!F251</f>
        <v>0</v>
      </c>
      <c r="F193" s="73" t="str">
        <f>IF(L193=0,"Must be completed if unit levys taxes","")</f>
        <v>Must be completed if unit levys taxes</v>
      </c>
      <c r="G193" s="221"/>
      <c r="H193" s="218"/>
      <c r="I193" s="31"/>
      <c r="J193" s="217">
        <v>530</v>
      </c>
      <c r="K193" s="294" t="s">
        <v>235</v>
      </c>
      <c r="L193" s="259">
        <f t="shared" ref="L193:L199" si="10">IF(D193="",E193,D193)</f>
        <v>0</v>
      </c>
      <c r="M193"/>
      <c r="N193" s="74"/>
      <c r="P193" s="195"/>
      <c r="Q193" s="250"/>
      <c r="R193" s="3"/>
      <c r="S193" s="3"/>
      <c r="T193" s="3"/>
      <c r="U193" s="3"/>
      <c r="V193" s="3"/>
      <c r="W193"/>
      <c r="X193"/>
      <c r="Y193"/>
      <c r="Z193"/>
      <c r="AA193"/>
      <c r="AB193"/>
      <c r="AC193"/>
      <c r="AD193"/>
      <c r="AE193"/>
    </row>
    <row r="194" spans="1:31" s="18" customFormat="1" ht="68.25" customHeight="1" x14ac:dyDescent="0.3">
      <c r="A194" s="207">
        <f>'Unit Data from Audit Worksheet'!A252</f>
        <v>531</v>
      </c>
      <c r="B194" s="220" t="str">
        <f>'Unit Data from Audit Worksheet'!C252</f>
        <v>Analysis of Current Tax Levy Schedule</v>
      </c>
      <c r="C194" s="206" t="str">
        <f>'Unit Data from Audit Worksheet'!D252</f>
        <v>Uncollected Taxes - Curr Year's Levy Motor Vehicles
Exclude supplemental taxes</v>
      </c>
      <c r="D194" s="225"/>
      <c r="E194" s="226">
        <f>'Unit Data from Audit Worksheet'!F252</f>
        <v>0</v>
      </c>
      <c r="F194" s="73" t="str">
        <f>IF(L194=0,"Must be completed if unit levys taxes","")</f>
        <v>Must be completed if unit levys taxes</v>
      </c>
      <c r="G194" s="221"/>
      <c r="H194" s="218"/>
      <c r="I194" s="31"/>
      <c r="J194" s="217">
        <v>531</v>
      </c>
      <c r="K194" s="294" t="s">
        <v>236</v>
      </c>
      <c r="L194" s="259">
        <f t="shared" si="10"/>
        <v>0</v>
      </c>
      <c r="M194"/>
      <c r="N194" s="74" t="str">
        <f>IF(T175=0,"Must be completed if unit levys taxes, zero acceptable if Motor Vehicle collection rate is 100%","")</f>
        <v>Must be completed if unit levys taxes, zero acceptable if Motor Vehicle collection rate is 100%</v>
      </c>
      <c r="P194" s="195"/>
      <c r="Q194" s="250"/>
      <c r="R194" s="3"/>
      <c r="S194" s="3"/>
      <c r="T194" s="3"/>
      <c r="U194" s="3"/>
      <c r="V194" s="3"/>
      <c r="W194"/>
      <c r="X194"/>
      <c r="Y194"/>
      <c r="Z194"/>
      <c r="AA194"/>
      <c r="AB194"/>
      <c r="AC194"/>
      <c r="AD194"/>
      <c r="AE194"/>
    </row>
    <row r="195" spans="1:31" ht="90.75" customHeight="1" x14ac:dyDescent="0.3">
      <c r="A195" s="207">
        <f>'Unit Data from Audit Worksheet'!A253</f>
        <v>61</v>
      </c>
      <c r="B195" s="220" t="str">
        <f>'Unit Data from Audit Worksheet'!C253</f>
        <v>Analysis of Current Tax Levy Schedule</v>
      </c>
      <c r="C195" s="206" t="str">
        <f>'Unit Data from Audit Worksheet'!D253</f>
        <v>Tax collection rate- Total Levy UNIT-WIDE
Exclude supplemental taxes
(Enter as a percentage with two decimal places)</v>
      </c>
      <c r="D195" s="80"/>
      <c r="E195" s="826">
        <f>'Unit Data from Audit Worksheet'!F253</f>
        <v>0</v>
      </c>
      <c r="F195" s="669" t="e">
        <f>ROUND((L191+L192-L193-L194)/(L191+L192)*100,2)</f>
        <v>#DIV/0!</v>
      </c>
      <c r="G195" s="221" t="str">
        <f>IF(Q172=1," Included in error count"," ")</f>
        <v xml:space="preserve"> </v>
      </c>
      <c r="H195" s="221">
        <f>ROUND(IFERROR(((L191+L192)-(L193+L194))/(L191+L192)*100,0),2)</f>
        <v>0</v>
      </c>
      <c r="I195" s="31"/>
      <c r="J195" s="217">
        <v>61</v>
      </c>
      <c r="K195" s="51" t="s">
        <v>230</v>
      </c>
      <c r="L195" s="674">
        <f t="shared" si="10"/>
        <v>0</v>
      </c>
      <c r="N195" s="74"/>
      <c r="P195" s="195"/>
    </row>
    <row r="196" spans="1:31" ht="89.25" customHeight="1" x14ac:dyDescent="0.3">
      <c r="A196" s="207">
        <f>'Unit Data from Audit Worksheet'!A254</f>
        <v>102</v>
      </c>
      <c r="B196" s="220" t="str">
        <f>'Unit Data from Audit Worksheet'!C254</f>
        <v>Analysis of Current Tax Levy Schedule</v>
      </c>
      <c r="C196" s="206" t="str">
        <f>'Unit Data from Audit Worksheet'!D254</f>
        <v>Tax collection rate - Excluding Registered motor vehicles
Exclude supplemental taxes
(Enter as a percentage with two decimal places)</v>
      </c>
      <c r="D196" s="80"/>
      <c r="E196" s="826">
        <f>'Unit Data from Audit Worksheet'!F254</f>
        <v>0</v>
      </c>
      <c r="F196" s="669" t="e">
        <f>ROUND((L191-L193)/(L191)*100,2)</f>
        <v>#DIV/0!</v>
      </c>
      <c r="G196" s="221" t="str">
        <f>IF(Q173=1," Included in error count"," ")</f>
        <v xml:space="preserve"> </v>
      </c>
      <c r="H196" s="221">
        <f>ROUND(IFERROR(((L191)-(L193))/(L191)*100,0),2)</f>
        <v>0</v>
      </c>
      <c r="I196" s="31"/>
      <c r="J196" s="217">
        <v>102</v>
      </c>
      <c r="K196" s="51" t="s">
        <v>231</v>
      </c>
      <c r="L196" s="674">
        <f t="shared" si="10"/>
        <v>0</v>
      </c>
      <c r="N196" s="74"/>
      <c r="P196" s="195"/>
    </row>
    <row r="197" spans="1:31" ht="87.75" customHeight="1" x14ac:dyDescent="0.3">
      <c r="A197" s="207">
        <f>'Unit Data from Audit Worksheet'!A255</f>
        <v>103</v>
      </c>
      <c r="B197" s="220" t="str">
        <f>'Unit Data from Audit Worksheet'!C255</f>
        <v>Analysis of Current Tax Levy Schedule</v>
      </c>
      <c r="C197" s="206" t="str">
        <f>'Unit Data from Audit Worksheet'!D255</f>
        <v>Tax collection rate - Registered motor vehicles
Exclude supplemental taxes
(Enter as a percentage with two decimal places)</v>
      </c>
      <c r="D197" s="80"/>
      <c r="E197" s="826">
        <f>'Unit Data from Audit Worksheet'!F255</f>
        <v>0</v>
      </c>
      <c r="F197" s="669" t="e">
        <f>ROUND((L192-L194)/(L192)*100,2)</f>
        <v>#DIV/0!</v>
      </c>
      <c r="G197" s="221" t="str">
        <f>IF(Q174=1," Included in error count"," ")</f>
        <v xml:space="preserve"> </v>
      </c>
      <c r="H197" s="221">
        <f>ROUND(IFERROR(((L192)-(L194))/(L192)*100,0),2)</f>
        <v>0</v>
      </c>
      <c r="I197" s="31"/>
      <c r="J197" s="217">
        <v>103</v>
      </c>
      <c r="K197" s="51" t="s">
        <v>232</v>
      </c>
      <c r="L197" s="674">
        <f t="shared" si="10"/>
        <v>0</v>
      </c>
      <c r="N197" s="74"/>
      <c r="P197" s="195"/>
    </row>
    <row r="198" spans="1:31" ht="86.25" customHeight="1" x14ac:dyDescent="0.3">
      <c r="A198" s="207">
        <f>'Unit Data from Audit Worksheet'!A256</f>
        <v>544</v>
      </c>
      <c r="B198" s="220" t="str">
        <f>'Unit Data from Audit Worksheet'!C256</f>
        <v>Analysis of Current Tax Levy Schedule</v>
      </c>
      <c r="C198" s="206" t="str">
        <f>'Unit Data from Audit Worksheet'!D256</f>
        <v>Property Tax Increase for Year Audited- enter amount of  increase in cents per $100 - leave blank if no increase 
Exclude supplemental taxes</v>
      </c>
      <c r="D198" s="225"/>
      <c r="E198" s="133">
        <f>'Unit Data from Audit Worksheet'!F256</f>
        <v>0</v>
      </c>
      <c r="F198" s="94"/>
      <c r="G198" s="221"/>
      <c r="H198" s="218">
        <f>'Unit Data from Audit Worksheet'!I256</f>
        <v>0</v>
      </c>
      <c r="I198" s="31"/>
      <c r="J198" s="217">
        <v>544</v>
      </c>
      <c r="K198" s="51" t="s">
        <v>52</v>
      </c>
      <c r="L198" s="295">
        <f t="shared" si="10"/>
        <v>0</v>
      </c>
      <c r="N198" s="53" t="s">
        <v>277</v>
      </c>
      <c r="P198" s="195"/>
    </row>
    <row r="199" spans="1:31" ht="93.75" customHeight="1" x14ac:dyDescent="0.3">
      <c r="A199" s="207">
        <f>'Unit Data from Audit Worksheet'!A257</f>
        <v>545</v>
      </c>
      <c r="B199" s="220" t="str">
        <f>'Unit Data from Audit Worksheet'!C257</f>
        <v>Analysis of Current Tax Levy Schedule</v>
      </c>
      <c r="C199" s="206" t="str">
        <f>'Unit Data from Audit Worksheet'!D257</f>
        <v>Property Tax Increase for budget year after fiscal year being reported - enter amount of increase in cents per $100- leave blank if no increase
Exclude supplemental taxes</v>
      </c>
      <c r="D199" s="225"/>
      <c r="E199" s="133">
        <f>'Unit Data from Audit Worksheet'!F257</f>
        <v>0</v>
      </c>
      <c r="F199" s="219"/>
      <c r="G199" s="221"/>
      <c r="H199" s="218">
        <f>'Unit Data from Audit Worksheet'!I257</f>
        <v>0</v>
      </c>
      <c r="I199" s="31"/>
      <c r="J199" s="95">
        <v>545</v>
      </c>
      <c r="K199" s="51" t="s">
        <v>53</v>
      </c>
      <c r="L199" s="295">
        <f t="shared" si="10"/>
        <v>0</v>
      </c>
      <c r="N199" s="53" t="s">
        <v>277</v>
      </c>
      <c r="O199" s="267"/>
      <c r="P199" s="195"/>
    </row>
    <row r="200" spans="1:31" ht="87.75" customHeight="1" x14ac:dyDescent="0.3">
      <c r="A200" s="207">
        <f>'Unit Data from Audit Worksheet'!A259</f>
        <v>620</v>
      </c>
      <c r="B200" s="220"/>
      <c r="C200" s="206" t="str">
        <f>'Unit Data from Audit Worksheet'!D259</f>
        <v>Do you expect to issue debt requiring LGC approval within 12 months from the date that the audit is submitted - select "1" for yes and "2" for no</v>
      </c>
      <c r="D200" s="225"/>
      <c r="E200" s="140">
        <f>'Unit Data from Audit Worksheet'!F259</f>
        <v>0</v>
      </c>
      <c r="F200" s="219"/>
      <c r="G200" s="221"/>
      <c r="H200" s="218"/>
      <c r="I200" s="31"/>
      <c r="J200" s="95">
        <v>620</v>
      </c>
      <c r="K200" s="51" t="s">
        <v>549</v>
      </c>
      <c r="L200" s="259">
        <f t="shared" ref="L200:L215" si="11">IF(D200="",E200,D200)</f>
        <v>0</v>
      </c>
      <c r="N200" s="123"/>
      <c r="P200" s="195"/>
    </row>
    <row r="201" spans="1:31" ht="87.75" customHeight="1" x14ac:dyDescent="0.3">
      <c r="A201" s="207">
        <f>'TD Info Completed by Auditor'!A11</f>
        <v>906</v>
      </c>
      <c r="B201" s="120" t="s">
        <v>548</v>
      </c>
      <c r="C201" s="207" t="str">
        <f>'TD Info Completed by Auditor'!B11</f>
        <v>Is the Independent Auditor's Report Opinion Unmodified?</v>
      </c>
      <c r="D201" s="225"/>
      <c r="E201" s="209">
        <f>IF(+'TD Info Completed by Auditor'!C11="Yes",1,IF(+'TD Info Completed by Auditor'!C11="No",2,IF(+'TD Info Completed by Auditor'!C11="N/A",3,0)))</f>
        <v>0</v>
      </c>
      <c r="F201" s="219"/>
      <c r="G201" s="221"/>
      <c r="H201" s="218"/>
      <c r="I201" s="31"/>
      <c r="J201" s="176">
        <v>906</v>
      </c>
      <c r="K201" s="51" t="s">
        <v>439</v>
      </c>
      <c r="L201" s="265">
        <f t="shared" si="11"/>
        <v>0</v>
      </c>
      <c r="N201" s="240" t="s">
        <v>588</v>
      </c>
      <c r="P201" s="191"/>
    </row>
    <row r="202" spans="1:31" ht="87.75" customHeight="1" x14ac:dyDescent="0.3">
      <c r="A202" s="207">
        <f>'TD Info Completed by Auditor'!A12</f>
        <v>907</v>
      </c>
      <c r="B202" s="120" t="s">
        <v>548</v>
      </c>
      <c r="C202" s="207" t="str">
        <f>'TD Info Completed by Auditor'!B12</f>
        <v xml:space="preserve">Is there a finding for lack of segregation of duties at this unit? </v>
      </c>
      <c r="D202" s="225"/>
      <c r="E202" s="209">
        <f>IF(+'TD Info Completed by Auditor'!C12="Yes",1,IF(+'TD Info Completed by Auditor'!C12="No",2,IF(+'TD Info Completed by Auditor'!C12="N/A",3,0)))</f>
        <v>0</v>
      </c>
      <c r="F202" s="219"/>
      <c r="G202" s="221"/>
      <c r="H202" s="218"/>
      <c r="I202" s="31"/>
      <c r="J202" s="176">
        <v>907</v>
      </c>
      <c r="K202" s="51" t="s">
        <v>440</v>
      </c>
      <c r="L202" s="265">
        <f t="shared" si="11"/>
        <v>0</v>
      </c>
      <c r="N202" s="240" t="s">
        <v>588</v>
      </c>
      <c r="P202" s="192"/>
    </row>
    <row r="203" spans="1:31" s="356" customFormat="1" ht="87.75" customHeight="1" x14ac:dyDescent="0.3">
      <c r="A203" s="207">
        <f>'TD Info Completed by Auditor'!A13</f>
        <v>1055</v>
      </c>
      <c r="B203" s="120"/>
      <c r="C203" s="207" t="str">
        <f>'TD Info Completed by Auditor'!B13</f>
        <v xml:space="preserve"> Did your audit disclose as a finding bank reconciliations or subsidiary ledger reconciliations not performed timely? (Yes or No)</v>
      </c>
      <c r="D203" s="225"/>
      <c r="E203" s="209">
        <f>IF(+'TD Info Completed by Auditor'!C13="Yes",1,IF(+'TD Info Completed by Auditor'!C13="No",2,IF(+'TD Info Completed by Auditor'!C13="N/A",3,0)))</f>
        <v>0</v>
      </c>
      <c r="F203" s="219"/>
      <c r="G203" s="221"/>
      <c r="H203" s="218"/>
      <c r="I203" s="31"/>
      <c r="J203" s="176">
        <v>1055</v>
      </c>
      <c r="K203" s="207" t="s">
        <v>1349</v>
      </c>
      <c r="L203" s="265">
        <f t="shared" si="11"/>
        <v>0</v>
      </c>
      <c r="M203"/>
      <c r="N203" s="553"/>
      <c r="P203" s="193"/>
      <c r="Q203" s="250"/>
      <c r="W203"/>
      <c r="X203"/>
      <c r="Y203"/>
      <c r="Z203"/>
      <c r="AA203"/>
      <c r="AB203"/>
      <c r="AC203"/>
      <c r="AD203"/>
      <c r="AE203"/>
    </row>
    <row r="204" spans="1:31" s="356" customFormat="1" ht="87.75" customHeight="1" x14ac:dyDescent="0.3">
      <c r="A204" s="207">
        <f>'TD Info Completed by Auditor'!A14</f>
        <v>1056</v>
      </c>
      <c r="B204" s="120"/>
      <c r="C204" s="207" t="str">
        <f>'TD Info Completed by Auditor'!B14</f>
        <v>Did your audit disclose as a finding that the unit’s records were not completed by the agreed upon time? (Yes or No)</v>
      </c>
      <c r="D204" s="225"/>
      <c r="E204" s="209">
        <f>IF(+'TD Info Completed by Auditor'!C14="Yes",1,IF(+'TD Info Completed by Auditor'!C14="No",2,IF(+'TD Info Completed by Auditor'!C14="N/A",3,0)))</f>
        <v>0</v>
      </c>
      <c r="F204" s="219"/>
      <c r="G204" s="221"/>
      <c r="H204" s="218"/>
      <c r="I204" s="31"/>
      <c r="J204" s="176">
        <v>1056</v>
      </c>
      <c r="K204" s="207" t="s">
        <v>1350</v>
      </c>
      <c r="L204" s="265">
        <f t="shared" si="11"/>
        <v>0</v>
      </c>
      <c r="M204"/>
      <c r="N204" s="553"/>
      <c r="P204" s="193"/>
      <c r="Q204" s="250"/>
      <c r="W204"/>
      <c r="X204"/>
      <c r="Y204"/>
      <c r="Z204"/>
      <c r="AA204"/>
      <c r="AB204"/>
      <c r="AC204"/>
      <c r="AD204"/>
      <c r="AE204"/>
    </row>
    <row r="205" spans="1:31" s="356" customFormat="1" ht="87.75" customHeight="1" x14ac:dyDescent="0.3">
      <c r="A205" s="207">
        <f>'TD Info Completed by Auditor'!A15</f>
        <v>1057</v>
      </c>
      <c r="B205" s="120"/>
      <c r="C205" s="207" t="str">
        <f>'TD Info Completed by Auditor'!B15</f>
        <v>Did your audit disclose any budget violations at the adopted ordinance level? (Yes or No)</v>
      </c>
      <c r="D205" s="225"/>
      <c r="E205" s="209">
        <f>IF(+'TD Info Completed by Auditor'!C15="Yes",1,IF(+'TD Info Completed by Auditor'!C15="No",2,IF(+'TD Info Completed by Auditor'!C15="N/A",3,0)))</f>
        <v>0</v>
      </c>
      <c r="F205" s="219"/>
      <c r="G205" s="221"/>
      <c r="H205" s="218"/>
      <c r="I205" s="31"/>
      <c r="J205" s="176">
        <v>1057</v>
      </c>
      <c r="K205" s="782" t="s">
        <v>1653</v>
      </c>
      <c r="L205" s="265">
        <f t="shared" si="11"/>
        <v>0</v>
      </c>
      <c r="M205"/>
      <c r="N205" s="553"/>
      <c r="P205" s="193"/>
      <c r="Q205" s="250"/>
      <c r="W205"/>
      <c r="X205"/>
      <c r="Y205"/>
      <c r="Z205"/>
      <c r="AA205"/>
      <c r="AB205"/>
      <c r="AC205"/>
      <c r="AD205"/>
      <c r="AE205"/>
    </row>
    <row r="206" spans="1:31" s="356" customFormat="1" ht="87.75" customHeight="1" x14ac:dyDescent="0.3">
      <c r="A206" s="207">
        <f>'TD Info Completed by Auditor'!A16</f>
        <v>1058</v>
      </c>
      <c r="B206" s="120"/>
      <c r="C206" s="207" t="str">
        <f>'TD Info Completed by Auditor'!B16</f>
        <v>Did your audit disclose as a finding any statutory violations? (not including budget violations) (Yes or No)</v>
      </c>
      <c r="D206" s="225"/>
      <c r="E206" s="209">
        <f>IF(+'TD Info Completed by Auditor'!C16="Yes",1,IF(+'TD Info Completed by Auditor'!C16="No",2,IF(+'TD Info Completed by Auditor'!C16="N/A",3,0)))</f>
        <v>0</v>
      </c>
      <c r="F206" s="219"/>
      <c r="G206" s="221"/>
      <c r="H206" s="218"/>
      <c r="I206" s="31"/>
      <c r="J206" s="176">
        <v>1058</v>
      </c>
      <c r="K206" s="782" t="s">
        <v>1351</v>
      </c>
      <c r="L206" s="265">
        <f t="shared" si="11"/>
        <v>0</v>
      </c>
      <c r="M206"/>
      <c r="N206" s="553"/>
      <c r="P206" s="193"/>
      <c r="Q206" s="250"/>
      <c r="W206"/>
      <c r="X206"/>
      <c r="Y206"/>
      <c r="Z206"/>
      <c r="AA206"/>
      <c r="AB206"/>
      <c r="AC206"/>
      <c r="AD206"/>
      <c r="AE206"/>
    </row>
    <row r="207" spans="1:31" s="356" customFormat="1" ht="168" customHeight="1" x14ac:dyDescent="0.3">
      <c r="A207" s="207">
        <f>'TD Info Completed by Auditor'!A17</f>
        <v>1059</v>
      </c>
      <c r="B207" s="120"/>
      <c r="C207" s="207" t="str">
        <f>'TD Info Completed by Auditor'!B17</f>
        <v xml:space="preserve"> Did the unit have a board-appointed finance officer or board-appointed interim finance officer the entire fiscal year as required pursuant to G.S. 159-24 which requires that "each local government and public authority shall, at all times, have a finance officer appointed by the local government, public authority, or designated official to hold office at the pleasurer of the appointing board or official?" (Yes or No)</v>
      </c>
      <c r="D207" s="225"/>
      <c r="E207" s="209">
        <f>IF(+'TD Info Completed by Auditor'!C17="Yes",1,IF(+'TD Info Completed by Auditor'!C17="No",2,IF(+'TD Info Completed by Auditor'!C17="N/A",3,0)))</f>
        <v>0</v>
      </c>
      <c r="F207" s="219"/>
      <c r="G207" s="221"/>
      <c r="H207" s="218"/>
      <c r="I207" s="31"/>
      <c r="J207" s="176">
        <v>1059</v>
      </c>
      <c r="K207" s="782" t="s">
        <v>1655</v>
      </c>
      <c r="L207" s="265">
        <f t="shared" si="11"/>
        <v>0</v>
      </c>
      <c r="M207"/>
      <c r="N207" s="553"/>
      <c r="P207" s="193"/>
      <c r="Q207" s="250"/>
      <c r="W207"/>
      <c r="X207"/>
      <c r="Y207"/>
      <c r="Z207"/>
      <c r="AA207"/>
      <c r="AB207"/>
      <c r="AC207"/>
      <c r="AD207"/>
      <c r="AE207"/>
    </row>
    <row r="208" spans="1:31" s="356" customFormat="1" ht="172.2" customHeight="1" x14ac:dyDescent="0.3">
      <c r="A208" s="274">
        <f>'TD Info Completed by Auditor'!A18</f>
        <v>1078</v>
      </c>
      <c r="B208" s="205"/>
      <c r="C208" s="274" t="str">
        <f>'TD Info Completed by Auditor'!B18</f>
        <v>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v>
      </c>
      <c r="D208" s="225"/>
      <c r="E208" s="209">
        <f>IF(+'TD Info Completed by Auditor'!C18="Yes",1,IF(+'TD Info Completed by Auditor'!C18="No",2,IF(+'TD Info Completed by Auditor'!C18="N/A",3,0)))</f>
        <v>0</v>
      </c>
      <c r="F208" s="219"/>
      <c r="G208" s="221"/>
      <c r="H208" s="218"/>
      <c r="I208" s="31"/>
      <c r="J208" s="783">
        <v>1078</v>
      </c>
      <c r="K208" s="752" t="s">
        <v>1656</v>
      </c>
      <c r="L208" s="265">
        <f t="shared" si="11"/>
        <v>0</v>
      </c>
      <c r="M208" s="173"/>
      <c r="N208" s="553"/>
      <c r="P208" s="193"/>
      <c r="Q208" s="250"/>
      <c r="W208" s="173"/>
      <c r="X208" s="173"/>
      <c r="Y208" s="173"/>
      <c r="Z208" s="173"/>
      <c r="AA208" s="173"/>
      <c r="AB208" s="173"/>
      <c r="AC208" s="173"/>
      <c r="AD208" s="173"/>
      <c r="AE208" s="173"/>
    </row>
    <row r="209" spans="1:31" s="356" customFormat="1" ht="140.4" customHeight="1" x14ac:dyDescent="0.3">
      <c r="A209" s="274">
        <f>'TD Info Completed by Auditor'!A19</f>
        <v>1067</v>
      </c>
      <c r="B209" s="205"/>
      <c r="C209" s="274" t="str">
        <f>'TD Info Completed by Auditor'!B19</f>
        <v>Was the finance officer or interium finance officer appropriately bonded pursuant to G.S. 159-29 which requires that the finance officer give a true accounting and faithful performance bond in an amount not less than the greater of (1) $50,000 or (2) an amount equal to 10% of the unit's annually budgeted funds, up to $1,000,000? (Yes or No)</v>
      </c>
      <c r="D209" s="225"/>
      <c r="E209" s="209">
        <f>IF(+'TD Info Completed by Auditor'!C19="Yes",1,IF(+'TD Info Completed by Auditor'!C19="No",2,IF(+'TD Info Completed by Auditor'!C19="N/A",3,0)))</f>
        <v>0</v>
      </c>
      <c r="F209" s="219"/>
      <c r="G209" s="221"/>
      <c r="H209" s="218"/>
      <c r="I209" s="31"/>
      <c r="J209" s="783">
        <v>1067</v>
      </c>
      <c r="K209" s="752" t="s">
        <v>1657</v>
      </c>
      <c r="L209" s="265">
        <f t="shared" si="11"/>
        <v>0</v>
      </c>
      <c r="M209" s="173"/>
      <c r="N209" s="553"/>
      <c r="P209" s="193"/>
      <c r="Q209" s="250"/>
      <c r="W209" s="173"/>
      <c r="X209" s="173"/>
      <c r="Y209" s="173"/>
      <c r="Z209" s="173"/>
      <c r="AA209" s="173"/>
      <c r="AB209" s="173"/>
      <c r="AC209" s="173"/>
      <c r="AD209" s="173"/>
      <c r="AE209" s="173"/>
    </row>
    <row r="210" spans="1:31" s="356" customFormat="1" ht="87.75" customHeight="1" x14ac:dyDescent="0.3">
      <c r="A210" s="207">
        <f>'TD Info Completed by Auditor'!A20</f>
        <v>951</v>
      </c>
      <c r="B210" s="120" t="s">
        <v>548</v>
      </c>
      <c r="C210" s="207" t="str">
        <f>'TD Info Completed by Auditor'!B20</f>
        <v>Is there a finding for lack of technical skills, knowledge and experience (SKE) at this unit?</v>
      </c>
      <c r="D210" s="225"/>
      <c r="E210" s="209">
        <f>IF(+'TD Info Completed by Auditor'!C20="Yes",1,IF(+'TD Info Completed by Auditor'!C20="No",2,IF(+'TD Info Completed by Auditor'!C20="N/A",3,0)))</f>
        <v>0</v>
      </c>
      <c r="F210" s="219"/>
      <c r="G210" s="221"/>
      <c r="H210" s="218"/>
      <c r="I210" s="31"/>
      <c r="J210" s="176">
        <v>951</v>
      </c>
      <c r="K210" s="51" t="s">
        <v>441</v>
      </c>
      <c r="L210" s="265">
        <f>IF(D210="",E210,D210)</f>
        <v>0</v>
      </c>
      <c r="M210"/>
      <c r="N210" s="553"/>
      <c r="P210" s="193"/>
      <c r="Q210" s="250"/>
      <c r="W210"/>
      <c r="X210"/>
      <c r="Y210"/>
      <c r="Z210"/>
      <c r="AA210"/>
      <c r="AB210"/>
      <c r="AC210"/>
      <c r="AD210"/>
      <c r="AE210"/>
    </row>
    <row r="211" spans="1:31" ht="87.75" customHeight="1" x14ac:dyDescent="0.3">
      <c r="A211" s="207">
        <f>'TD Info Completed by Auditor'!A21</f>
        <v>953</v>
      </c>
      <c r="B211" s="120" t="s">
        <v>548</v>
      </c>
      <c r="C211" s="207" t="str">
        <f>'TD Info Completed by Auditor'!B21</f>
        <v xml:space="preserve">Is there is a going concern noted in the audit report? </v>
      </c>
      <c r="D211" s="225"/>
      <c r="E211" s="209">
        <f>IF(+'TD Info Completed by Auditor'!C21="Yes",1,IF(+'TD Info Completed by Auditor'!C21="No",2,IF(+'TD Info Completed by Auditor'!C21="N/A",3,0)))</f>
        <v>0</v>
      </c>
      <c r="F211" s="219"/>
      <c r="G211" s="221"/>
      <c r="H211" s="218"/>
      <c r="I211" s="31"/>
      <c r="J211" s="176">
        <v>953</v>
      </c>
      <c r="K211" s="51" t="s">
        <v>1678</v>
      </c>
      <c r="L211" s="265">
        <f t="shared" si="11"/>
        <v>0</v>
      </c>
      <c r="N211" s="240" t="s">
        <v>588</v>
      </c>
      <c r="P211" s="193"/>
    </row>
    <row r="212" spans="1:31" ht="87.75" customHeight="1" x14ac:dyDescent="0.3">
      <c r="A212" s="207">
        <f>'TD Info Completed by Auditor'!A22</f>
        <v>955</v>
      </c>
      <c r="B212" s="120" t="s">
        <v>548</v>
      </c>
      <c r="C212" s="207" t="str">
        <f>'TD Info Completed by Auditor'!B22</f>
        <v>Number of significant deficiency findings (financial statement findings only)
Exclude findings reported in questions 907, 951</v>
      </c>
      <c r="D212" s="225"/>
      <c r="E212" s="209">
        <f>'TD Info Completed by Auditor'!C22</f>
        <v>0</v>
      </c>
      <c r="F212" s="219"/>
      <c r="G212" s="221"/>
      <c r="H212" s="218"/>
      <c r="I212" s="31"/>
      <c r="J212" s="176">
        <v>955</v>
      </c>
      <c r="K212" s="51" t="s">
        <v>1347</v>
      </c>
      <c r="L212" s="265">
        <f t="shared" si="11"/>
        <v>0</v>
      </c>
      <c r="N212" s="240" t="s">
        <v>588</v>
      </c>
      <c r="P212" s="193"/>
    </row>
    <row r="213" spans="1:31" ht="87.75" customHeight="1" x14ac:dyDescent="0.3">
      <c r="A213" s="207">
        <f>'TD Info Completed by Auditor'!A23</f>
        <v>957</v>
      </c>
      <c r="B213" s="120" t="s">
        <v>548</v>
      </c>
      <c r="C213" s="207" t="str">
        <f>'TD Info Completed by Auditor'!B23</f>
        <v>Number of material weaknesses findings (financial statements findings only)
Exclude findings reported in questions  907, 951</v>
      </c>
      <c r="D213" s="225"/>
      <c r="E213" s="209">
        <f>'TD Info Completed by Auditor'!C23</f>
        <v>0</v>
      </c>
      <c r="F213" s="219"/>
      <c r="G213" s="221"/>
      <c r="H213" s="218"/>
      <c r="I213" s="31"/>
      <c r="J213" s="176">
        <v>957</v>
      </c>
      <c r="K213" s="51" t="s">
        <v>1346</v>
      </c>
      <c r="L213" s="265">
        <f t="shared" si="11"/>
        <v>0</v>
      </c>
      <c r="N213" s="240" t="s">
        <v>588</v>
      </c>
      <c r="P213" s="193"/>
    </row>
    <row r="214" spans="1:31" ht="162.6" customHeight="1" x14ac:dyDescent="0.3">
      <c r="A214" s="207">
        <f>'TD Info Completed by Auditor'!A24</f>
        <v>973</v>
      </c>
      <c r="B214" s="120" t="s">
        <v>548</v>
      </c>
      <c r="C214" s="120" t="str">
        <f>'TD Info Completed by Auditor'!B24</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214" s="225"/>
      <c r="E214" s="209">
        <f>'TD Info Completed by Auditor'!C24</f>
        <v>0</v>
      </c>
      <c r="F214" s="219"/>
      <c r="G214" s="221"/>
      <c r="H214" s="218"/>
      <c r="I214" s="31"/>
      <c r="J214" s="176">
        <v>973</v>
      </c>
      <c r="K214" s="51" t="s">
        <v>1342</v>
      </c>
      <c r="L214" s="265">
        <f>IF(D214="",E214,D214)</f>
        <v>0</v>
      </c>
      <c r="N214" s="240" t="s">
        <v>588</v>
      </c>
      <c r="P214" s="199"/>
    </row>
    <row r="215" spans="1:31" ht="87.75" customHeight="1" x14ac:dyDescent="0.3">
      <c r="A215" s="207">
        <f>'TD Info Completed by Auditor'!A25</f>
        <v>959</v>
      </c>
      <c r="B215" s="120" t="s">
        <v>548</v>
      </c>
      <c r="C215" s="207" t="str">
        <f>'TD Info Completed by Auditor'!B25</f>
        <v>Did the Unit have debt service payments deferred or restructured in this fiscal year? (does not include refinancings designed to take advantage of lower interest rates)  Select Yes, No, or NA</v>
      </c>
      <c r="D215" s="225"/>
      <c r="E215" s="209">
        <f>IF(+'TD Info Completed by Auditor'!C25="Yes",1,IF(+'TD Info Completed by Auditor'!C25="No",2,IF(+'TD Info Completed by Auditor'!C25="N/A",3,0)))</f>
        <v>0</v>
      </c>
      <c r="F215" s="219"/>
      <c r="G215" s="221"/>
      <c r="H215" s="218"/>
      <c r="I215" s="31"/>
      <c r="J215" s="176">
        <v>959</v>
      </c>
      <c r="K215" s="51" t="s">
        <v>590</v>
      </c>
      <c r="L215" s="265">
        <f t="shared" si="11"/>
        <v>0</v>
      </c>
      <c r="N215" s="240" t="s">
        <v>588</v>
      </c>
      <c r="P215" s="193"/>
    </row>
    <row r="216" spans="1:31" s="356" customFormat="1" ht="135.6" customHeight="1" x14ac:dyDescent="0.3">
      <c r="A216" s="207">
        <f>'TD Info Completed by Auditor'!A26</f>
        <v>974</v>
      </c>
      <c r="B216" s="120" t="s">
        <v>548</v>
      </c>
      <c r="C216" s="207" t="str">
        <f>'TD Info Completed by Auditor'!B26</f>
        <v>Did the Unit have any of the following occur:
1.  Bond covenants were not met
2.  Debt service payments made late?  Deferred payments authorized by LGC or other state
     agencies should not be counted as late for purposes of this question.</v>
      </c>
      <c r="D216" s="225"/>
      <c r="E216" s="209">
        <f>IF(+'TD Info Completed by Auditor'!C26="Yes",1,IF(+'TD Info Completed by Auditor'!C26="No",2,IF(+'TD Info Completed by Auditor'!C26="N/A",3,0)))</f>
        <v>0</v>
      </c>
      <c r="F216" s="219"/>
      <c r="G216" s="221"/>
      <c r="H216" s="218"/>
      <c r="I216" s="31"/>
      <c r="J216" s="176">
        <v>974</v>
      </c>
      <c r="K216" s="51" t="s">
        <v>735</v>
      </c>
      <c r="L216" s="265">
        <f t="shared" ref="L216" si="12">IF(D216="",E216,D216)</f>
        <v>0</v>
      </c>
      <c r="M216"/>
      <c r="N216" s="240" t="s">
        <v>588</v>
      </c>
      <c r="P216" s="199"/>
      <c r="Q216" s="250"/>
      <c r="W216"/>
      <c r="X216"/>
      <c r="Y216"/>
      <c r="Z216"/>
      <c r="AA216"/>
      <c r="AB216"/>
      <c r="AC216"/>
      <c r="AD216"/>
      <c r="AE216"/>
    </row>
    <row r="217" spans="1:31" ht="87.75" customHeight="1" x14ac:dyDescent="0.3">
      <c r="A217" s="207">
        <f>'TD Info Completed by Auditor'!A33</f>
        <v>975</v>
      </c>
      <c r="B217" s="120" t="s">
        <v>548</v>
      </c>
      <c r="C217" s="206" t="str">
        <f>'TD Info Completed by Auditor'!B33</f>
        <v>Does the Performance Indicator Print worksheet in this workbook have a red shaded cell?</v>
      </c>
      <c r="D217" s="225"/>
      <c r="E217" s="209">
        <f>IF(+'TD Info Completed by Auditor'!C33="Yes",1,IF(+'TD Info Completed by Auditor'!C33="No",2,IF(+'TD Info Completed by Auditor'!C33="N/A",3,0)))</f>
        <v>0</v>
      </c>
      <c r="F217" s="219"/>
      <c r="G217" s="221"/>
      <c r="H217" s="218"/>
      <c r="I217" s="31"/>
      <c r="J217" s="176">
        <v>975</v>
      </c>
      <c r="K217" s="51" t="s">
        <v>1651</v>
      </c>
      <c r="L217" s="265">
        <f>IF(D217="",E217,D217)</f>
        <v>0</v>
      </c>
      <c r="N217" s="240" t="s">
        <v>588</v>
      </c>
      <c r="P217" s="199"/>
      <c r="Q217" s="288"/>
    </row>
    <row r="218" spans="1:31" s="356" customFormat="1" ht="87.75" customHeight="1" x14ac:dyDescent="0.3">
      <c r="A218" s="752">
        <f>'TD Info Completed by Auditor'!A35</f>
        <v>1068</v>
      </c>
      <c r="B218" s="752" t="s">
        <v>548</v>
      </c>
      <c r="C218" s="752" t="str">
        <f>'TD Info Completed by Auditor'!B35</f>
        <v xml:space="preserve">Does the unit have a self-insurance fund? </v>
      </c>
      <c r="D218" s="225"/>
      <c r="E218" s="751">
        <f>IF(+'TD Info Completed by Auditor'!C35="Yes",1,IF(+'TD Info Completed by Auditor'!C35="No",2,IF(+'TD Info Completed by Auditor'!C35="N/A",3,0)))</f>
        <v>0</v>
      </c>
      <c r="F218" s="219"/>
      <c r="G218" s="221"/>
      <c r="H218" s="218"/>
      <c r="I218" s="31"/>
      <c r="J218" s="785">
        <v>1068</v>
      </c>
      <c r="K218" s="752" t="s">
        <v>1413</v>
      </c>
      <c r="L218" s="265">
        <f t="shared" ref="L218:L221" si="13">IF(D218="",E218,D218)</f>
        <v>0</v>
      </c>
      <c r="M218" s="173"/>
      <c r="N218" s="240"/>
      <c r="P218" s="199"/>
      <c r="Q218" s="288"/>
      <c r="W218" s="173"/>
      <c r="X218" s="173"/>
      <c r="Y218" s="173"/>
      <c r="Z218" s="173"/>
      <c r="AA218" s="173"/>
      <c r="AB218" s="173"/>
      <c r="AC218" s="173"/>
      <c r="AD218" s="173"/>
      <c r="AE218" s="173"/>
    </row>
    <row r="219" spans="1:31" s="356" customFormat="1" ht="87.75" customHeight="1" x14ac:dyDescent="0.3">
      <c r="A219" s="752">
        <v>1069</v>
      </c>
      <c r="B219" s="752" t="s">
        <v>548</v>
      </c>
      <c r="C219" s="634" t="s">
        <v>1648</v>
      </c>
      <c r="D219" s="225"/>
      <c r="E219" s="751">
        <f>IF(+'TD Info Completed by Auditor'!C36="Yes",1,IF(+'TD Info Completed by Auditor'!C36="No",2,IF(+'TD Info Completed by Auditor'!C36="N/A",3,0)))</f>
        <v>0</v>
      </c>
      <c r="F219" s="219"/>
      <c r="G219" s="221"/>
      <c r="H219" s="218"/>
      <c r="I219" s="31"/>
      <c r="J219" s="785">
        <v>1069</v>
      </c>
      <c r="K219" s="634" t="s">
        <v>1649</v>
      </c>
      <c r="L219" s="265">
        <f t="shared" si="13"/>
        <v>0</v>
      </c>
      <c r="M219" s="173"/>
      <c r="N219" s="240"/>
      <c r="P219" s="199"/>
      <c r="Q219" s="288"/>
      <c r="W219" s="173"/>
      <c r="X219" s="173"/>
      <c r="Y219" s="173"/>
      <c r="Z219" s="173"/>
      <c r="AA219" s="173"/>
      <c r="AB219" s="173"/>
      <c r="AC219" s="173"/>
      <c r="AD219" s="173"/>
      <c r="AE219" s="173"/>
    </row>
    <row r="220" spans="1:31" s="356" customFormat="1" ht="87.75" customHeight="1" x14ac:dyDescent="0.3">
      <c r="A220" s="752">
        <v>1070</v>
      </c>
      <c r="B220" s="752" t="s">
        <v>548</v>
      </c>
      <c r="C220" s="752" t="str">
        <f>'TD Info Completed by Auditor'!B37</f>
        <v>Does the Unit have a non-state administrered pension plan?</v>
      </c>
      <c r="D220" s="225"/>
      <c r="E220" s="751">
        <f>IF(+'TD Info Completed by Auditor'!C37="Yes",1,IF(+'TD Info Completed by Auditor'!C37="No",2,IF(+'TD Info Completed by Auditor'!C37="N/A",3,0)))</f>
        <v>0</v>
      </c>
      <c r="F220" s="219"/>
      <c r="G220" s="221"/>
      <c r="H220" s="218"/>
      <c r="I220" s="31"/>
      <c r="J220" s="785">
        <v>1070</v>
      </c>
      <c r="K220" s="752" t="s">
        <v>1710</v>
      </c>
      <c r="L220" s="265">
        <f t="shared" si="13"/>
        <v>0</v>
      </c>
      <c r="M220" s="173"/>
      <c r="N220" s="240"/>
      <c r="P220" s="199"/>
      <c r="Q220" s="288"/>
      <c r="W220" s="173"/>
      <c r="X220" s="173"/>
      <c r="Y220" s="173"/>
      <c r="Z220" s="173"/>
      <c r="AA220" s="173"/>
      <c r="AB220" s="173"/>
      <c r="AC220" s="173"/>
      <c r="AD220" s="173"/>
      <c r="AE220" s="173"/>
    </row>
    <row r="221" spans="1:31" s="356" customFormat="1" ht="87.75" customHeight="1" x14ac:dyDescent="0.3">
      <c r="A221" s="752">
        <v>1071</v>
      </c>
      <c r="B221" s="752" t="s">
        <v>548</v>
      </c>
      <c r="C221" s="752" t="str">
        <f>'TD Info Completed by Auditor'!B38</f>
        <v>Please list the amount of ARPA funds expended in total this fiscal year for non-capital purposes.  Enter "0" if no ARPA funds expended for this fiscal year for non-capital purposes.</v>
      </c>
      <c r="D221" s="225"/>
      <c r="E221" s="753">
        <f>'TD Info Completed by Auditor'!C38</f>
        <v>0</v>
      </c>
      <c r="F221" s="219"/>
      <c r="G221" s="221"/>
      <c r="H221" s="218"/>
      <c r="I221" s="31"/>
      <c r="J221" s="785">
        <v>1071</v>
      </c>
      <c r="K221" s="752" t="s">
        <v>1650</v>
      </c>
      <c r="L221" s="265">
        <f t="shared" si="13"/>
        <v>0</v>
      </c>
      <c r="M221" s="173"/>
      <c r="N221" s="240"/>
      <c r="P221" s="199"/>
      <c r="Q221" s="288"/>
      <c r="W221" s="173"/>
      <c r="X221" s="173"/>
      <c r="Y221" s="173"/>
      <c r="Z221" s="173"/>
      <c r="AA221" s="173"/>
      <c r="AB221" s="173"/>
      <c r="AC221" s="173"/>
      <c r="AD221" s="173"/>
      <c r="AE221" s="173"/>
    </row>
    <row r="222" spans="1:31" ht="109.95" customHeight="1" x14ac:dyDescent="0.3">
      <c r="A222" s="296">
        <v>336</v>
      </c>
      <c r="B222" s="232"/>
      <c r="C222" s="297" t="s">
        <v>596</v>
      </c>
      <c r="D222" s="298" t="s">
        <v>568</v>
      </c>
      <c r="E222" s="299" t="s">
        <v>569</v>
      </c>
      <c r="F222" s="233" t="s">
        <v>995</v>
      </c>
      <c r="G222" s="221"/>
      <c r="H222" s="218"/>
      <c r="I222" s="31"/>
      <c r="J222" s="234">
        <v>336</v>
      </c>
      <c r="K222" s="300" t="s">
        <v>572</v>
      </c>
      <c r="L222" s="301">
        <f>L10-L11-L12-L13-L14-L15-L16</f>
        <v>0</v>
      </c>
      <c r="N222" s="241" t="s">
        <v>570</v>
      </c>
      <c r="P222" s="199"/>
      <c r="Q222" s="288"/>
    </row>
    <row r="223" spans="1:31" ht="129" customHeight="1" x14ac:dyDescent="0.3">
      <c r="A223" s="296">
        <v>44</v>
      </c>
      <c r="B223" s="232"/>
      <c r="C223" s="302" t="s">
        <v>597</v>
      </c>
      <c r="D223" s="298" t="s">
        <v>560</v>
      </c>
      <c r="E223" s="303" t="s">
        <v>561</v>
      </c>
      <c r="F223" s="233" t="s">
        <v>996</v>
      </c>
      <c r="G223" s="221"/>
      <c r="H223" s="218"/>
      <c r="I223" s="31"/>
      <c r="J223" s="234">
        <v>44</v>
      </c>
      <c r="K223" s="300" t="s">
        <v>573</v>
      </c>
      <c r="L223" s="301">
        <f>L75-L76-L73</f>
        <v>0</v>
      </c>
      <c r="N223" s="241" t="s">
        <v>571</v>
      </c>
      <c r="P223" s="199"/>
      <c r="Q223" s="288"/>
    </row>
    <row r="224" spans="1:31" ht="169.5" customHeight="1" x14ac:dyDescent="0.3">
      <c r="A224" s="296">
        <v>45</v>
      </c>
      <c r="B224" s="232"/>
      <c r="C224" s="304" t="s">
        <v>598</v>
      </c>
      <c r="D224" s="298" t="s">
        <v>562</v>
      </c>
      <c r="E224" s="299" t="s">
        <v>563</v>
      </c>
      <c r="F224" s="233" t="s">
        <v>995</v>
      </c>
      <c r="G224" s="221"/>
      <c r="H224" s="218"/>
      <c r="I224" s="31"/>
      <c r="J224" s="234">
        <v>45</v>
      </c>
      <c r="K224" s="300" t="s">
        <v>574</v>
      </c>
      <c r="L224" s="301">
        <f>L79-L80-L81-L82-L83-L84-L78</f>
        <v>0</v>
      </c>
      <c r="N224" s="241" t="s">
        <v>581</v>
      </c>
      <c r="P224" s="199"/>
      <c r="Q224" s="288"/>
    </row>
    <row r="225" spans="1:31" ht="87.75" customHeight="1" x14ac:dyDescent="0.3">
      <c r="A225" s="296">
        <v>47</v>
      </c>
      <c r="B225" s="232"/>
      <c r="C225" s="233" t="s">
        <v>576</v>
      </c>
      <c r="D225" s="298" t="s">
        <v>564</v>
      </c>
      <c r="E225" s="299" t="s">
        <v>566</v>
      </c>
      <c r="F225" s="233" t="s">
        <v>995</v>
      </c>
      <c r="G225" s="221"/>
      <c r="H225" s="218"/>
      <c r="I225" s="31"/>
      <c r="J225" s="234">
        <v>47</v>
      </c>
      <c r="K225" s="300" t="s">
        <v>575</v>
      </c>
      <c r="L225" s="301">
        <f>L93-L94-L91</f>
        <v>0</v>
      </c>
      <c r="N225" s="241" t="s">
        <v>582</v>
      </c>
      <c r="P225" s="199"/>
      <c r="Q225" s="288"/>
    </row>
    <row r="226" spans="1:31" ht="152.25" customHeight="1" x14ac:dyDescent="0.3">
      <c r="A226" s="296">
        <v>48</v>
      </c>
      <c r="B226" s="232"/>
      <c r="C226" s="233" t="s">
        <v>577</v>
      </c>
      <c r="D226" s="298" t="s">
        <v>565</v>
      </c>
      <c r="E226" s="299" t="s">
        <v>567</v>
      </c>
      <c r="F226" s="233" t="s">
        <v>995</v>
      </c>
      <c r="G226" s="221"/>
      <c r="H226" s="218"/>
      <c r="I226" s="31"/>
      <c r="J226" s="234">
        <v>48</v>
      </c>
      <c r="K226" s="300" t="s">
        <v>93</v>
      </c>
      <c r="L226" s="301">
        <f>L98-L99-L100-L101-L102-L103-L97</f>
        <v>0</v>
      </c>
      <c r="N226" s="241" t="s">
        <v>583</v>
      </c>
      <c r="P226" s="199"/>
      <c r="Q226" s="288"/>
    </row>
    <row r="227" spans="1:31" ht="113.4" customHeight="1" x14ac:dyDescent="0.3">
      <c r="A227" s="305"/>
      <c r="B227" s="88"/>
      <c r="C227" s="306"/>
      <c r="D227" s="124"/>
      <c r="E227" s="132"/>
      <c r="F227" s="58"/>
      <c r="G227" s="126"/>
      <c r="H227" s="127"/>
      <c r="I227" s="31"/>
      <c r="J227" s="235">
        <v>998</v>
      </c>
      <c r="K227" s="236" t="s">
        <v>253</v>
      </c>
      <c r="L227" s="307" t="e">
        <f>VLOOKUP('Unit Data from Audit Worksheet'!D2,'Unit Names(H)'!$A$2:$C$94,3,FALSE)</f>
        <v>#N/A</v>
      </c>
      <c r="N227" s="241" t="s">
        <v>578</v>
      </c>
      <c r="P227" s="199"/>
      <c r="Q227" s="288"/>
    </row>
    <row r="228" spans="1:31" ht="119.4" customHeight="1" x14ac:dyDescent="0.3">
      <c r="A228" s="305"/>
      <c r="B228" s="88"/>
      <c r="C228" s="306"/>
      <c r="D228" s="308"/>
      <c r="E228" s="309"/>
      <c r="F228" s="310"/>
      <c r="G228" s="311"/>
      <c r="H228" s="312"/>
      <c r="I228" s="31"/>
      <c r="J228" s="237">
        <v>995</v>
      </c>
      <c r="K228" s="238" t="s">
        <v>251</v>
      </c>
      <c r="L228" s="313" t="e">
        <f>INDEX('PY1 Data(H)'!$A$1:$DA$285,MATCH('PY1 Data(H)'!$A227,'PY1 Data(H)'!$A$1:$A$262,0),MATCH('Unit Data from Audit Worksheet'!$D$2,'PY1 Data(H)'!$A$1:$DA$1,0))</f>
        <v>#N/A</v>
      </c>
      <c r="N228" s="241" t="s">
        <v>584</v>
      </c>
      <c r="P228" s="199"/>
      <c r="Q228" s="288"/>
    </row>
    <row r="229" spans="1:31" ht="104.4" customHeight="1" x14ac:dyDescent="0.3">
      <c r="A229" s="305"/>
      <c r="B229" s="88"/>
      <c r="C229" s="306"/>
      <c r="D229" s="308"/>
      <c r="E229" s="309"/>
      <c r="F229" s="310"/>
      <c r="G229" s="311"/>
      <c r="H229" s="312"/>
      <c r="I229" s="31"/>
      <c r="J229" s="237">
        <v>996</v>
      </c>
      <c r="K229" s="238" t="s">
        <v>252</v>
      </c>
      <c r="L229" s="313" t="e">
        <f>INDEX('PY1 Data(H)'!$A$1:$DA$285,MATCH('PY1 Data(H)'!$A228,'PY1 Data(H)'!$A$1:$A$262,0),MATCH('Unit Data from Audit Worksheet'!$D$2,'PY1 Data(H)'!$A$1:$DA$1,0))</f>
        <v>#N/A</v>
      </c>
      <c r="N229" s="241" t="s">
        <v>585</v>
      </c>
      <c r="P229" s="199"/>
      <c r="Q229" s="288"/>
    </row>
    <row r="230" spans="1:31" ht="52.8" customHeight="1" x14ac:dyDescent="0.3">
      <c r="A230" s="305"/>
      <c r="B230" s="88"/>
      <c r="C230" s="306"/>
      <c r="D230" s="308"/>
      <c r="E230" s="309"/>
      <c r="F230" s="310"/>
      <c r="G230" s="311"/>
      <c r="H230" s="314"/>
      <c r="I230" s="31"/>
      <c r="J230" s="152">
        <v>554</v>
      </c>
      <c r="K230" s="315" t="s">
        <v>297</v>
      </c>
      <c r="L230" s="283"/>
      <c r="N230" s="316"/>
      <c r="P230" s="199"/>
      <c r="Q230" s="288"/>
    </row>
    <row r="231" spans="1:31" ht="52.8" customHeight="1" x14ac:dyDescent="0.3">
      <c r="A231" s="305"/>
      <c r="B231" s="88"/>
      <c r="C231" s="306"/>
      <c r="D231" s="308"/>
      <c r="E231" s="309"/>
      <c r="F231" s="310"/>
      <c r="G231" s="311"/>
      <c r="H231" s="314"/>
      <c r="I231" s="31"/>
      <c r="J231" s="152">
        <v>555</v>
      </c>
      <c r="K231" s="315" t="s">
        <v>298</v>
      </c>
      <c r="L231" s="283"/>
      <c r="N231" s="316"/>
      <c r="P231" s="199"/>
      <c r="Q231" s="288"/>
    </row>
    <row r="232" spans="1:31" ht="52.8" customHeight="1" x14ac:dyDescent="0.3">
      <c r="A232" s="305"/>
      <c r="B232" s="88"/>
      <c r="C232" s="306"/>
      <c r="D232" s="308"/>
      <c r="E232" s="309"/>
      <c r="F232" s="310"/>
      <c r="G232" s="311"/>
      <c r="H232" s="314"/>
      <c r="I232" s="31"/>
      <c r="J232" s="152">
        <v>556</v>
      </c>
      <c r="K232" s="315" t="s">
        <v>299</v>
      </c>
      <c r="L232" s="283"/>
      <c r="N232" s="316"/>
      <c r="P232" s="199"/>
      <c r="Q232" s="288"/>
    </row>
    <row r="233" spans="1:31" ht="52.8" customHeight="1" x14ac:dyDescent="0.3">
      <c r="A233" s="305"/>
      <c r="B233" s="88"/>
      <c r="C233" s="306"/>
      <c r="D233" s="308"/>
      <c r="E233" s="309"/>
      <c r="F233" s="310"/>
      <c r="G233" s="311"/>
      <c r="H233" s="314"/>
      <c r="I233" s="31"/>
      <c r="J233" s="152">
        <v>557</v>
      </c>
      <c r="K233" s="315" t="s">
        <v>300</v>
      </c>
      <c r="L233" s="283"/>
      <c r="N233" s="316"/>
      <c r="P233" s="200"/>
    </row>
    <row r="234" spans="1:31" ht="52.8" customHeight="1" x14ac:dyDescent="0.3">
      <c r="A234" s="305"/>
      <c r="B234" s="88"/>
      <c r="C234" s="306"/>
      <c r="D234" s="308"/>
      <c r="E234" s="309"/>
      <c r="F234" s="310"/>
      <c r="G234" s="311"/>
      <c r="H234" s="314"/>
      <c r="I234" s="31"/>
      <c r="J234" s="152">
        <v>606</v>
      </c>
      <c r="K234" s="315" t="s">
        <v>417</v>
      </c>
      <c r="L234" s="283"/>
      <c r="N234" s="316"/>
      <c r="P234" s="200"/>
    </row>
    <row r="235" spans="1:31" s="18" customFormat="1" ht="52.8" customHeight="1" x14ac:dyDescent="0.3">
      <c r="A235" s="305"/>
      <c r="B235" s="88"/>
      <c r="C235" s="306"/>
      <c r="D235" s="124"/>
      <c r="E235" s="125"/>
      <c r="F235" s="58"/>
      <c r="G235" s="126"/>
      <c r="H235" s="127"/>
      <c r="I235" s="31"/>
      <c r="J235" s="128"/>
      <c r="K235" s="318"/>
      <c r="L235" s="319"/>
      <c r="M235"/>
      <c r="N235" s="240"/>
      <c r="P235" s="200"/>
      <c r="Q235" s="250"/>
      <c r="R235" s="3"/>
      <c r="S235" s="3"/>
      <c r="T235" s="3"/>
      <c r="U235" s="3"/>
      <c r="V235" s="3"/>
      <c r="W235"/>
      <c r="X235"/>
      <c r="Y235"/>
      <c r="Z235"/>
      <c r="AA235"/>
      <c r="AB235"/>
      <c r="AC235"/>
      <c r="AD235"/>
      <c r="AE235"/>
    </row>
    <row r="236" spans="1:31" ht="99" customHeight="1" x14ac:dyDescent="0.3">
      <c r="A236" s="207">
        <f>'Unit Data from Audit Worksheet'!A261</f>
        <v>947</v>
      </c>
      <c r="B236" s="120"/>
      <c r="C236" s="206" t="str">
        <f>'Unit Data from Audit Worksheet'!D261</f>
        <v>First name of finance officer or interim finance officer (please enter “vacant” for first name if the position is currently vacant)</v>
      </c>
      <c r="D236" s="227"/>
      <c r="E236" s="166">
        <f>'Unit Data from Audit Worksheet'!F261</f>
        <v>0</v>
      </c>
      <c r="F236" s="219" t="str">
        <f>'Unit Data from Audit Worksheet'!G261</f>
        <v>Please do not leave blank</v>
      </c>
      <c r="G236" s="221"/>
      <c r="H236" s="218"/>
      <c r="I236" s="31"/>
      <c r="J236" s="155">
        <v>947</v>
      </c>
      <c r="K236" s="320" t="s">
        <v>376</v>
      </c>
      <c r="L236" s="321">
        <f t="shared" ref="L236:L247" si="14">IF(D236="",E236,D236)</f>
        <v>0</v>
      </c>
      <c r="N236" s="316"/>
      <c r="P236" s="200"/>
      <c r="Q236" s="76"/>
    </row>
    <row r="237" spans="1:31" ht="128.25" customHeight="1" x14ac:dyDescent="0.3">
      <c r="A237" s="207">
        <f>'Unit Data from Audit Worksheet'!A262</f>
        <v>948</v>
      </c>
      <c r="B237" s="120"/>
      <c r="C237" s="206" t="str">
        <f>'Unit Data from Audit Worksheet'!D262</f>
        <v>Last name of finance officer or interim finance officer (please enter “vacant” for last name if the position is currently vacant)</v>
      </c>
      <c r="D237" s="227"/>
      <c r="E237" s="322">
        <f>'Unit Data from Audit Worksheet'!F262</f>
        <v>0</v>
      </c>
      <c r="F237" s="219" t="str">
        <f>'Unit Data from Audit Worksheet'!G262</f>
        <v>Please do not leave blank</v>
      </c>
      <c r="G237" s="221"/>
      <c r="H237" s="218"/>
      <c r="I237" s="31"/>
      <c r="J237" s="155">
        <v>948</v>
      </c>
      <c r="K237" s="320" t="s">
        <v>377</v>
      </c>
      <c r="L237" s="321">
        <f t="shared" si="14"/>
        <v>0</v>
      </c>
      <c r="N237" s="316"/>
      <c r="P237" s="200"/>
    </row>
    <row r="238" spans="1:31" ht="61.5" customHeight="1" x14ac:dyDescent="0.3">
      <c r="A238" s="207">
        <f>'Unit Data from Audit Worksheet'!A263</f>
        <v>949</v>
      </c>
      <c r="B238" s="120"/>
      <c r="C238" s="206" t="str">
        <f>'Unit Data from Audit Worksheet'!D263</f>
        <v>Is the finance officer serving in a permanent role or an interim role? (select permanent/interim/vacant)</v>
      </c>
      <c r="D238" s="227"/>
      <c r="E238" s="166">
        <f>'Unit Data from Audit Worksheet'!F263</f>
        <v>0</v>
      </c>
      <c r="F238" s="219" t="str">
        <f>'Unit Data from Audit Worksheet'!G263</f>
        <v>Please do not leave blank</v>
      </c>
      <c r="G238" s="221"/>
      <c r="H238" s="218"/>
      <c r="I238" s="31"/>
      <c r="J238" s="155">
        <v>949</v>
      </c>
      <c r="K238" s="320" t="s">
        <v>400</v>
      </c>
      <c r="L238" s="321">
        <f t="shared" si="14"/>
        <v>0</v>
      </c>
      <c r="N238" s="316"/>
      <c r="P238" s="200"/>
    </row>
    <row r="239" spans="1:31" ht="93.75" customHeight="1" x14ac:dyDescent="0.3">
      <c r="A239" s="207">
        <f>'Unit Data from Audit Worksheet'!A264</f>
        <v>950</v>
      </c>
      <c r="B239" s="120"/>
      <c r="C239" s="206" t="str">
        <f>'Unit Data from Audit Worksheet'!D264</f>
        <v>Has the finance officer been formally appointed by the local government, public authority, or designated official?  (Y/N)</v>
      </c>
      <c r="D239" s="227"/>
      <c r="E239" s="166">
        <f>'Unit Data from Audit Worksheet'!F264</f>
        <v>0</v>
      </c>
      <c r="F239" s="219" t="str">
        <f>'Unit Data from Audit Worksheet'!G264</f>
        <v>Please do not leave blank</v>
      </c>
      <c r="G239" s="221"/>
      <c r="H239" s="218"/>
      <c r="I239" s="31"/>
      <c r="J239" s="155">
        <v>950</v>
      </c>
      <c r="K239" s="320" t="s">
        <v>401</v>
      </c>
      <c r="L239" s="321">
        <f t="shared" si="14"/>
        <v>0</v>
      </c>
      <c r="N239" s="316"/>
      <c r="P239" s="200"/>
    </row>
    <row r="240" spans="1:31" ht="153.75" customHeight="1" x14ac:dyDescent="0.3">
      <c r="A240" s="207">
        <f>'Unit Data from Audit Worksheet'!A265</f>
        <v>952</v>
      </c>
      <c r="B240" s="120"/>
      <c r="C240" s="206" t="str">
        <f>'Unit Data from Audit Worksheet'!D265</f>
        <v>Date on which the local government, public authority, or designated official appointed the finance officer?    Date Format  MM/DD/YYYY</v>
      </c>
      <c r="D240" s="227"/>
      <c r="E240" s="742" t="str">
        <f>IF('Unit Data from Audit Worksheet'!F265&gt;0,'Unit Data from Audit Worksheet'!F265," ")</f>
        <v xml:space="preserve"> </v>
      </c>
      <c r="F240" s="219" t="str">
        <f>'Unit Data from Audit Worksheet'!G265</f>
        <v>Leave blank if data not available</v>
      </c>
      <c r="G240" s="221"/>
      <c r="H240" s="218"/>
      <c r="I240" s="31"/>
      <c r="J240" s="155">
        <v>952</v>
      </c>
      <c r="K240" s="320" t="s">
        <v>402</v>
      </c>
      <c r="L240" s="323" t="str">
        <f t="shared" si="14"/>
        <v xml:space="preserve"> </v>
      </c>
      <c r="N240" s="316"/>
      <c r="P240" s="200"/>
    </row>
    <row r="241" spans="1:31" ht="30.75" customHeight="1" x14ac:dyDescent="0.3">
      <c r="A241" s="692">
        <f>'Unit Data from Audit Worksheet'!A273</f>
        <v>960</v>
      </c>
      <c r="B241" s="162"/>
      <c r="C241" s="163" t="str">
        <f>'Unit Data from Audit Worksheet'!B273</f>
        <v>Name of Finance Officer</v>
      </c>
      <c r="D241" s="227"/>
      <c r="E241" s="324">
        <f>'Unit Data from Audit Worksheet'!D273</f>
        <v>0</v>
      </c>
      <c r="F241" s="325" t="str">
        <f>'Unit Data from Audit Worksheet'!F273</f>
        <v>Required</v>
      </c>
      <c r="G241" s="221"/>
      <c r="H241" s="218"/>
      <c r="I241" s="31"/>
      <c r="J241" s="165">
        <v>960</v>
      </c>
      <c r="K241" s="326" t="s">
        <v>396</v>
      </c>
      <c r="L241" s="327">
        <f t="shared" si="14"/>
        <v>0</v>
      </c>
      <c r="N241" s="281"/>
      <c r="P241" s="200"/>
    </row>
    <row r="242" spans="1:31" ht="30.75" customHeight="1" x14ac:dyDescent="0.3">
      <c r="A242" s="692">
        <f>'Unit Data from Audit Worksheet'!A274</f>
        <v>962</v>
      </c>
      <c r="B242" s="162"/>
      <c r="C242" s="163" t="str">
        <f>'Unit Data from Audit Worksheet'!B274</f>
        <v>Title of Official</v>
      </c>
      <c r="D242" s="227"/>
      <c r="E242" s="324">
        <f>'Unit Data from Audit Worksheet'!D274</f>
        <v>0</v>
      </c>
      <c r="F242" s="325" t="str">
        <f>'Unit Data from Audit Worksheet'!F274</f>
        <v>Required</v>
      </c>
      <c r="G242" s="221"/>
      <c r="H242" s="218"/>
      <c r="I242" s="31"/>
      <c r="J242" s="165">
        <v>962</v>
      </c>
      <c r="K242" s="326" t="s">
        <v>372</v>
      </c>
      <c r="L242" s="327">
        <f t="shared" si="14"/>
        <v>0</v>
      </c>
      <c r="N242" s="281"/>
      <c r="P242" s="200"/>
    </row>
    <row r="243" spans="1:31" ht="30.75" customHeight="1" x14ac:dyDescent="0.3">
      <c r="A243" s="692">
        <f>'Unit Data from Audit Worksheet'!A275</f>
        <v>964</v>
      </c>
      <c r="B243" s="162"/>
      <c r="C243" s="164" t="str">
        <f>'Unit Data from Audit Worksheet'!B275</f>
        <v>Date                        (Enter as "MM/DD/YYYY")</v>
      </c>
      <c r="D243" s="227"/>
      <c r="E243" s="328">
        <f>'Unit Data from Audit Worksheet'!D275</f>
        <v>0</v>
      </c>
      <c r="F243" s="325" t="str">
        <f>'Unit Data from Audit Worksheet'!F275</f>
        <v>Required</v>
      </c>
      <c r="G243" s="572"/>
      <c r="H243" s="218"/>
      <c r="I243" s="31"/>
      <c r="J243" s="165">
        <v>964</v>
      </c>
      <c r="K243" s="326" t="s">
        <v>427</v>
      </c>
      <c r="L243" s="329">
        <f t="shared" si="14"/>
        <v>0</v>
      </c>
      <c r="N243" s="281"/>
      <c r="P243" s="200"/>
    </row>
    <row r="244" spans="1:31" ht="30.75" customHeight="1" x14ac:dyDescent="0.3">
      <c r="A244" s="692">
        <f>'Unit Data from Audit Worksheet'!A276</f>
        <v>966</v>
      </c>
      <c r="B244" s="162"/>
      <c r="C244" s="163" t="s">
        <v>997</v>
      </c>
      <c r="D244" s="227"/>
      <c r="E244" s="571" t="str">
        <f>_xlfn.TEXTJOIN(",",,TEXT('Unit Data from Audit Worksheet'!D276,"###-###-####")," "&amp;'Unit Data from Audit Worksheet'!D277)</f>
        <v xml:space="preserve">--, </v>
      </c>
      <c r="F244" s="325" t="str">
        <f>'Unit Data from Audit Worksheet'!F276</f>
        <v>Required</v>
      </c>
      <c r="G244" s="221"/>
      <c r="H244" s="218"/>
      <c r="I244" s="31"/>
      <c r="J244" s="165">
        <v>966</v>
      </c>
      <c r="K244" s="326" t="s">
        <v>374</v>
      </c>
      <c r="L244" s="327" t="str">
        <f t="shared" si="14"/>
        <v xml:space="preserve">--, </v>
      </c>
      <c r="N244" s="281"/>
      <c r="P244" s="200"/>
    </row>
    <row r="245" spans="1:31" ht="30.75" customHeight="1" x14ac:dyDescent="0.3">
      <c r="A245" s="692">
        <f>'Unit Data from Audit Worksheet'!A278</f>
        <v>968</v>
      </c>
      <c r="B245" s="162"/>
      <c r="C245" s="163" t="str">
        <f>'Unit Data from Audit Worksheet'!B278</f>
        <v>E-mail address</v>
      </c>
      <c r="D245" s="227"/>
      <c r="E245" s="324">
        <f>'Unit Data from Audit Worksheet'!D278</f>
        <v>0</v>
      </c>
      <c r="F245" s="325" t="str">
        <f>'Unit Data from Audit Worksheet'!F278</f>
        <v>Required</v>
      </c>
      <c r="G245" s="221"/>
      <c r="H245" s="218"/>
      <c r="I245" s="31"/>
      <c r="J245" s="165">
        <v>968</v>
      </c>
      <c r="K245" s="326" t="s">
        <v>375</v>
      </c>
      <c r="L245" s="327">
        <f t="shared" si="14"/>
        <v>0</v>
      </c>
      <c r="N245" s="281"/>
      <c r="P245" s="200"/>
    </row>
    <row r="246" spans="1:31" ht="75.599999999999994" customHeight="1" x14ac:dyDescent="0.3">
      <c r="A246" s="693">
        <v>980</v>
      </c>
      <c r="B246" s="232" t="s">
        <v>548</v>
      </c>
      <c r="C246" s="242" t="str">
        <f>'TD Info Completed by Auditor'!B32</f>
        <v>Date the auditor presented or plans to present Financial Performance Indicators of Concern (FPIC) to the Governing Board.  If there are no FPICs to present to the governing board,  enter "7/1/2023" to indicate that an FPIC response is not required.</v>
      </c>
      <c r="D246" s="690"/>
      <c r="E246" s="691" t="str">
        <f>IF('TD Info Completed by Auditor'!C32&gt;0,'TD Info Completed by Auditor'!C32," ")</f>
        <v xml:space="preserve"> </v>
      </c>
      <c r="F246" s="330" t="s">
        <v>587</v>
      </c>
      <c r="G246" s="221"/>
      <c r="H246" s="218"/>
      <c r="I246" s="31"/>
      <c r="J246" s="243">
        <v>980</v>
      </c>
      <c r="K246" s="244" t="s">
        <v>544</v>
      </c>
      <c r="L246" s="331" t="str">
        <f t="shared" si="14"/>
        <v xml:space="preserve"> </v>
      </c>
      <c r="N246" s="359" t="s">
        <v>588</v>
      </c>
      <c r="P246" s="200"/>
    </row>
    <row r="247" spans="1:31" s="356" customFormat="1" ht="135.6" customHeight="1" x14ac:dyDescent="0.3">
      <c r="A247" s="207">
        <f>'Unit Data from Audit Worksheet'!A81</f>
        <v>590</v>
      </c>
      <c r="B247" s="207" t="str">
        <f>'Unit Data from Audit Worksheet'!B81</f>
        <v>Fiscal Review</v>
      </c>
      <c r="C247" s="72" t="str">
        <f>'Unit Data from Audit Worksheet'!D81</f>
        <v>If you appropriated General Fund Balance in your 2023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47" s="227"/>
      <c r="E247" s="654" t="str">
        <f>CONCATENATE('Unit Data from Audit Worksheet'!F81," - ",'Unit Data from Audit Worksheet'!G81)</f>
        <v xml:space="preserve"> - </v>
      </c>
      <c r="F247" s="330"/>
      <c r="G247" s="221"/>
      <c r="H247" s="218"/>
      <c r="I247" s="31"/>
      <c r="J247" s="243">
        <v>590</v>
      </c>
      <c r="K247" s="244" t="s">
        <v>1045</v>
      </c>
      <c r="L247" s="655" t="str">
        <f t="shared" si="14"/>
        <v xml:space="preserve"> - </v>
      </c>
      <c r="M247"/>
      <c r="N247" s="359"/>
      <c r="P247" s="200"/>
      <c r="Q247" s="250"/>
      <c r="W247"/>
      <c r="X247"/>
      <c r="Y247"/>
      <c r="Z247"/>
      <c r="AA247"/>
      <c r="AB247"/>
      <c r="AC247"/>
      <c r="AD247"/>
      <c r="AE247"/>
    </row>
    <row r="248" spans="1:31" s="356" customFormat="1" ht="135.6" customHeight="1" x14ac:dyDescent="0.3">
      <c r="A248" s="752">
        <f>'TD Info Completed by Auditor'!A31</f>
        <v>1079</v>
      </c>
      <c r="B248" s="752"/>
      <c r="C248" s="818" t="str">
        <f>'TD Info Completed by Auditor'!B31</f>
        <v>What date was the audit report submitted to the LGC?  (Note audit reports are due four months after fiscal year end regardless of the contract submission date.)   Enter as "MM/DD/YYYY"</v>
      </c>
      <c r="D248" s="227"/>
      <c r="E248" s="819">
        <f>'TD Info Completed by Auditor'!C31</f>
        <v>0</v>
      </c>
      <c r="F248" s="820"/>
      <c r="G248" s="221"/>
      <c r="H248" s="218"/>
      <c r="I248" s="821"/>
      <c r="J248" s="822">
        <v>1079</v>
      </c>
      <c r="K248" s="823" t="s">
        <v>1693</v>
      </c>
      <c r="L248" s="824">
        <f>E248</f>
        <v>0</v>
      </c>
      <c r="M248" s="173"/>
      <c r="N248" s="359"/>
      <c r="P248" s="200"/>
      <c r="Q248" s="250"/>
      <c r="W248" s="173"/>
      <c r="X248" s="173"/>
      <c r="Y248" s="173"/>
      <c r="Z248" s="173"/>
      <c r="AA248" s="173"/>
      <c r="AB248" s="173"/>
      <c r="AC248" s="173"/>
      <c r="AD248" s="173"/>
      <c r="AE248" s="173"/>
    </row>
    <row r="249" spans="1:31" ht="83.4" customHeight="1" x14ac:dyDescent="0.3">
      <c r="A249" s="305"/>
      <c r="B249" s="88"/>
      <c r="C249" s="306"/>
      <c r="D249" s="308"/>
      <c r="E249" s="309"/>
      <c r="F249" s="310"/>
      <c r="G249" s="311"/>
      <c r="H249" s="312"/>
      <c r="I249" s="31"/>
      <c r="J249" s="155">
        <v>999</v>
      </c>
      <c r="K249" s="320" t="s">
        <v>254</v>
      </c>
      <c r="L249" s="332" t="e">
        <f>'Unit Data from Audit Worksheet'!D3</f>
        <v>#N/A</v>
      </c>
      <c r="N249" s="333" t="s">
        <v>1711</v>
      </c>
      <c r="O249" s="333" t="s">
        <v>586</v>
      </c>
      <c r="P249" s="200"/>
    </row>
    <row r="250" spans="1:31" x14ac:dyDescent="0.3">
      <c r="A250" s="183"/>
      <c r="B250" s="183"/>
      <c r="C250" s="183"/>
      <c r="D250" s="183"/>
      <c r="E250" s="183"/>
      <c r="F250" s="183"/>
      <c r="G250" s="183"/>
      <c r="H250" s="183"/>
      <c r="I250" s="183"/>
      <c r="J250" s="3"/>
      <c r="K250" s="3"/>
      <c r="L250" s="3"/>
      <c r="N250" s="4"/>
      <c r="P250" s="200"/>
    </row>
    <row r="251" spans="1:31" s="356" customFormat="1" x14ac:dyDescent="0.3">
      <c r="A251" s="183"/>
      <c r="B251" s="183"/>
      <c r="C251" s="183"/>
      <c r="D251" s="183"/>
      <c r="E251" s="183"/>
      <c r="F251" s="183"/>
      <c r="G251" s="183"/>
      <c r="H251" s="183"/>
      <c r="I251" s="183"/>
      <c r="M251"/>
      <c r="N251" s="4"/>
      <c r="P251" s="200"/>
      <c r="Q251" s="250"/>
      <c r="W251"/>
      <c r="X251"/>
      <c r="Y251"/>
      <c r="Z251"/>
      <c r="AA251"/>
      <c r="AB251"/>
      <c r="AC251"/>
      <c r="AD251"/>
      <c r="AE251"/>
    </row>
    <row r="252" spans="1:31" ht="18" customHeight="1" x14ac:dyDescent="0.3">
      <c r="C252" s="643"/>
      <c r="D252" s="335"/>
      <c r="E252" s="336"/>
      <c r="F252" s="336"/>
      <c r="G252" s="337"/>
      <c r="H252" s="336"/>
      <c r="I252" s="338"/>
      <c r="K252" s="676" t="s">
        <v>1343</v>
      </c>
      <c r="L252" s="677" t="e">
        <f>SUM(L4:L234)</f>
        <v>#N/A</v>
      </c>
      <c r="N252" s="4"/>
      <c r="P252" s="200"/>
    </row>
    <row r="253" spans="1:31" ht="18" customHeight="1" x14ac:dyDescent="0.3">
      <c r="A253"/>
      <c r="B253"/>
      <c r="C253"/>
      <c r="D253"/>
      <c r="E253"/>
      <c r="F253"/>
      <c r="G253" s="337"/>
      <c r="H253" s="336"/>
      <c r="I253" s="338"/>
      <c r="K253" s="675" t="s">
        <v>1041</v>
      </c>
      <c r="L253" s="677"/>
      <c r="N253" s="4"/>
      <c r="P253" s="200"/>
    </row>
    <row r="254" spans="1:31" ht="18" customHeight="1" x14ac:dyDescent="0.7">
      <c r="A254"/>
      <c r="B254"/>
      <c r="C254"/>
      <c r="D254"/>
      <c r="E254"/>
      <c r="F254"/>
      <c r="G254" s="337"/>
      <c r="H254" s="336"/>
      <c r="I254" s="338"/>
      <c r="J254" s="142"/>
      <c r="K254" s="141"/>
      <c r="L254" s="677" t="e">
        <f>L252-L253</f>
        <v>#N/A</v>
      </c>
      <c r="N254" s="4"/>
      <c r="P254" s="200"/>
    </row>
    <row r="255" spans="1:31" ht="25.2" customHeight="1" x14ac:dyDescent="0.3">
      <c r="A255" s="183"/>
      <c r="B255" s="183"/>
      <c r="C255" s="183"/>
      <c r="D255" s="183"/>
      <c r="E255" s="183"/>
      <c r="F255" s="336"/>
      <c r="G255" s="337"/>
      <c r="H255" s="336"/>
      <c r="I255" s="338"/>
      <c r="K255" s="10"/>
      <c r="L255" s="339"/>
      <c r="P255" s="200"/>
    </row>
    <row r="256" spans="1:31" x14ac:dyDescent="0.3">
      <c r="A256" s="183"/>
      <c r="B256" s="183"/>
      <c r="C256" s="183"/>
      <c r="D256" s="183"/>
      <c r="E256" s="183"/>
      <c r="F256" s="336"/>
      <c r="G256" s="337"/>
      <c r="H256" s="336"/>
      <c r="I256" s="338"/>
      <c r="K256" s="10"/>
      <c r="L256" s="339"/>
      <c r="P256" s="200"/>
    </row>
    <row r="257" spans="1:16" ht="18.75" customHeight="1" x14ac:dyDescent="0.3">
      <c r="A257" s="183"/>
      <c r="B257" s="183"/>
      <c r="C257" s="183"/>
      <c r="D257" s="183"/>
      <c r="E257" s="183"/>
      <c r="F257" s="336"/>
      <c r="G257" s="337"/>
      <c r="H257" s="336"/>
      <c r="I257" s="338"/>
      <c r="K257" s="10"/>
      <c r="L257" s="339"/>
      <c r="P257" s="200"/>
    </row>
    <row r="258" spans="1:16" ht="30.75" customHeight="1" x14ac:dyDescent="0.3">
      <c r="A258" s="183"/>
      <c r="B258" s="183"/>
      <c r="C258" s="183"/>
      <c r="D258" s="183"/>
      <c r="E258" s="183"/>
      <c r="F258" s="336"/>
      <c r="G258" s="337"/>
      <c r="H258" s="336"/>
      <c r="I258" s="338"/>
      <c r="K258" s="10"/>
      <c r="L258" s="339"/>
      <c r="P258" s="200"/>
    </row>
    <row r="259" spans="1:16" ht="30.75" customHeight="1" x14ac:dyDescent="0.3">
      <c r="A259" s="183"/>
      <c r="B259" s="183"/>
      <c r="C259" s="183"/>
      <c r="D259" s="183"/>
      <c r="E259" s="183"/>
      <c r="F259" s="336"/>
      <c r="G259" s="337"/>
      <c r="H259" s="336"/>
      <c r="I259" s="338"/>
      <c r="K259" s="10"/>
      <c r="L259" s="339"/>
      <c r="P259" s="200"/>
    </row>
    <row r="260" spans="1:16" ht="30.75" customHeight="1" x14ac:dyDescent="0.3">
      <c r="A260" s="183"/>
      <c r="B260" s="183"/>
      <c r="C260" s="183"/>
      <c r="D260" s="183"/>
      <c r="E260" s="183"/>
      <c r="F260" s="336"/>
      <c r="G260" s="337"/>
      <c r="H260" s="336"/>
      <c r="I260" s="338"/>
      <c r="K260" s="10"/>
      <c r="L260" s="339"/>
      <c r="P260" s="200"/>
    </row>
    <row r="261" spans="1:16" ht="30.75" customHeight="1" x14ac:dyDescent="0.3">
      <c r="A261" s="183"/>
      <c r="B261" s="183"/>
      <c r="C261" s="183"/>
      <c r="D261" s="183"/>
      <c r="E261" s="183"/>
      <c r="F261" s="336"/>
      <c r="G261" s="337"/>
      <c r="H261" s="336"/>
      <c r="I261" s="338"/>
      <c r="K261" s="10"/>
      <c r="L261" s="339"/>
      <c r="P261" s="200"/>
    </row>
    <row r="262" spans="1:16" ht="30.75" customHeight="1" x14ac:dyDescent="0.3">
      <c r="A262" s="183"/>
      <c r="B262" s="183"/>
      <c r="C262" s="183"/>
      <c r="D262" s="183"/>
      <c r="E262" s="183"/>
      <c r="F262" s="336"/>
      <c r="G262" s="337"/>
      <c r="H262" s="336"/>
      <c r="I262" s="338"/>
      <c r="K262" s="10"/>
      <c r="L262" s="339"/>
      <c r="P262" s="200"/>
    </row>
    <row r="263" spans="1:16" x14ac:dyDescent="0.3">
      <c r="A263" s="183"/>
      <c r="B263" s="183"/>
      <c r="C263" s="183"/>
      <c r="D263" s="183"/>
      <c r="E263" s="183"/>
      <c r="I263" s="338"/>
      <c r="K263" s="10"/>
      <c r="L263" s="339"/>
      <c r="P263" s="200"/>
    </row>
    <row r="264" spans="1:16" x14ac:dyDescent="0.3">
      <c r="A264" s="183"/>
      <c r="B264" s="183"/>
      <c r="C264" s="183"/>
      <c r="D264" s="183"/>
      <c r="E264" s="183"/>
      <c r="I264" s="338"/>
      <c r="L264" s="339"/>
      <c r="P264" s="200"/>
    </row>
    <row r="265" spans="1:16" x14ac:dyDescent="0.3">
      <c r="A265" s="5"/>
      <c r="B265" s="340"/>
      <c r="C265" s="21"/>
      <c r="D265" s="71"/>
      <c r="I265" s="338"/>
      <c r="L265" s="339"/>
      <c r="P265" s="200"/>
    </row>
    <row r="266" spans="1:16" x14ac:dyDescent="0.3">
      <c r="A266" s="5"/>
      <c r="B266" s="340"/>
      <c r="C266" s="21"/>
      <c r="D266" s="71"/>
      <c r="L266" s="339"/>
      <c r="P266" s="200"/>
    </row>
    <row r="267" spans="1:16" x14ac:dyDescent="0.3">
      <c r="D267" s="71"/>
      <c r="P267" s="200"/>
    </row>
    <row r="268" spans="1:16" x14ac:dyDescent="0.3">
      <c r="D268" s="71"/>
      <c r="P268" s="200"/>
    </row>
    <row r="269" spans="1:16" x14ac:dyDescent="0.3">
      <c r="D269" s="71"/>
      <c r="P269" s="200"/>
    </row>
    <row r="270" spans="1:16" x14ac:dyDescent="0.3">
      <c r="D270" s="71"/>
      <c r="P270" s="200"/>
    </row>
    <row r="271" spans="1:16" x14ac:dyDescent="0.3">
      <c r="A271" s="5"/>
      <c r="B271" s="340"/>
      <c r="C271" s="21"/>
      <c r="D271" s="71"/>
      <c r="P271" s="200"/>
    </row>
    <row r="272" spans="1:16" x14ac:dyDescent="0.3">
      <c r="A272" s="5"/>
      <c r="B272" s="340"/>
      <c r="C272" s="21"/>
      <c r="D272" s="71"/>
      <c r="P272" s="200"/>
    </row>
    <row r="273" spans="1:16" x14ac:dyDescent="0.3">
      <c r="D273" s="71"/>
      <c r="P273" s="200"/>
    </row>
    <row r="274" spans="1:16" x14ac:dyDescent="0.3">
      <c r="D274" s="71"/>
      <c r="P274" s="200"/>
    </row>
    <row r="275" spans="1:16" x14ac:dyDescent="0.3">
      <c r="D275" s="71"/>
      <c r="P275" s="200"/>
    </row>
    <row r="276" spans="1:16" x14ac:dyDescent="0.3">
      <c r="D276" s="71"/>
      <c r="P276" s="200"/>
    </row>
    <row r="277" spans="1:16" x14ac:dyDescent="0.3">
      <c r="A277" s="5"/>
      <c r="B277" s="340"/>
      <c r="C277" s="21"/>
      <c r="D277" s="71"/>
      <c r="P277" s="200"/>
    </row>
    <row r="278" spans="1:16" x14ac:dyDescent="0.3">
      <c r="A278" s="5"/>
      <c r="B278" s="340"/>
      <c r="C278" s="21"/>
      <c r="D278" s="71"/>
      <c r="P278" s="200"/>
    </row>
    <row r="279" spans="1:16" x14ac:dyDescent="0.3">
      <c r="D279" s="71"/>
      <c r="P279" s="200"/>
    </row>
    <row r="280" spans="1:16" x14ac:dyDescent="0.3">
      <c r="D280" s="71"/>
      <c r="P280" s="200"/>
    </row>
    <row r="281" spans="1:16" x14ac:dyDescent="0.3">
      <c r="D281" s="71"/>
      <c r="P281" s="200"/>
    </row>
    <row r="282" spans="1:16" x14ac:dyDescent="0.3">
      <c r="D282" s="71"/>
      <c r="P282" s="200"/>
    </row>
    <row r="283" spans="1:16" x14ac:dyDescent="0.3">
      <c r="A283" s="5"/>
      <c r="B283" s="340"/>
      <c r="C283" s="21"/>
      <c r="D283" s="71"/>
      <c r="P283" s="200"/>
    </row>
    <row r="284" spans="1:16" x14ac:dyDescent="0.3">
      <c r="A284" s="5"/>
      <c r="B284" s="340"/>
      <c r="C284" s="21"/>
      <c r="D284" s="71"/>
      <c r="P284" s="200"/>
    </row>
    <row r="285" spans="1:16" x14ac:dyDescent="0.3">
      <c r="A285" s="5"/>
      <c r="B285" s="340"/>
      <c r="C285" s="21"/>
      <c r="D285" s="71"/>
      <c r="P285" s="200"/>
    </row>
    <row r="286" spans="1:16" x14ac:dyDescent="0.3">
      <c r="A286" s="5"/>
      <c r="B286" s="340"/>
      <c r="C286" s="21"/>
      <c r="D286" s="71"/>
      <c r="P286" s="200"/>
    </row>
    <row r="287" spans="1:16" x14ac:dyDescent="0.3">
      <c r="D287" s="71"/>
      <c r="P287" s="200"/>
    </row>
    <row r="288" spans="1:16" x14ac:dyDescent="0.3">
      <c r="D288" s="71"/>
      <c r="P288" s="200"/>
    </row>
    <row r="289" spans="1:16" x14ac:dyDescent="0.3">
      <c r="D289" s="71"/>
      <c r="P289" s="200"/>
    </row>
    <row r="290" spans="1:16" x14ac:dyDescent="0.3">
      <c r="A290" s="5"/>
      <c r="B290" s="340"/>
      <c r="C290" s="21"/>
      <c r="D290" s="71"/>
      <c r="P290" s="200"/>
    </row>
    <row r="291" spans="1:16" x14ac:dyDescent="0.3">
      <c r="A291" s="5"/>
      <c r="B291" s="340"/>
      <c r="C291" s="21"/>
      <c r="D291" s="71"/>
      <c r="P291" s="200"/>
    </row>
    <row r="292" spans="1:16" x14ac:dyDescent="0.3">
      <c r="A292" s="5"/>
      <c r="B292" s="340"/>
      <c r="C292" s="21"/>
      <c r="D292" s="71"/>
      <c r="P292" s="200"/>
    </row>
    <row r="293" spans="1:16" x14ac:dyDescent="0.3">
      <c r="A293" s="5"/>
      <c r="B293" s="340"/>
      <c r="C293" s="21"/>
      <c r="D293" s="71"/>
      <c r="P293" s="200"/>
    </row>
    <row r="294" spans="1:16" x14ac:dyDescent="0.3">
      <c r="A294" s="5"/>
      <c r="B294" s="340"/>
      <c r="C294" s="21"/>
      <c r="D294" s="71"/>
      <c r="P294" s="200"/>
    </row>
    <row r="295" spans="1:16" x14ac:dyDescent="0.3">
      <c r="A295" s="5"/>
      <c r="B295" s="340"/>
      <c r="C295" s="21"/>
      <c r="D295" s="71"/>
      <c r="P295" s="200"/>
    </row>
    <row r="296" spans="1:16" x14ac:dyDescent="0.3">
      <c r="A296" s="5"/>
      <c r="B296" s="340"/>
      <c r="C296" s="21"/>
      <c r="D296" s="71"/>
      <c r="P296" s="200"/>
    </row>
    <row r="297" spans="1:16" x14ac:dyDescent="0.3">
      <c r="A297" s="5"/>
      <c r="B297" s="340"/>
      <c r="C297" s="21"/>
      <c r="D297" s="71"/>
      <c r="P297" s="200"/>
    </row>
    <row r="298" spans="1:16" x14ac:dyDescent="0.3">
      <c r="A298" s="5"/>
      <c r="B298" s="340"/>
      <c r="C298" s="21"/>
      <c r="D298" s="71"/>
      <c r="P298" s="200"/>
    </row>
    <row r="299" spans="1:16" x14ac:dyDescent="0.3">
      <c r="A299" s="5"/>
      <c r="B299" s="340"/>
      <c r="C299" s="21"/>
      <c r="D299" s="71"/>
      <c r="P299" s="200"/>
    </row>
    <row r="300" spans="1:16" x14ac:dyDescent="0.3">
      <c r="A300" s="5"/>
      <c r="B300" s="340"/>
      <c r="C300" s="21"/>
      <c r="D300" s="71"/>
      <c r="P300" s="200"/>
    </row>
    <row r="301" spans="1:16" x14ac:dyDescent="0.3">
      <c r="A301" s="5"/>
      <c r="B301" s="340"/>
      <c r="C301" s="21"/>
      <c r="D301" s="71"/>
      <c r="P301" s="200"/>
    </row>
    <row r="302" spans="1:16" x14ac:dyDescent="0.3">
      <c r="A302" s="5"/>
      <c r="B302" s="340"/>
      <c r="C302" s="21"/>
      <c r="D302" s="71"/>
      <c r="P302" s="200"/>
    </row>
    <row r="303" spans="1:16" x14ac:dyDescent="0.3">
      <c r="A303" s="5"/>
      <c r="B303" s="340"/>
      <c r="C303" s="21"/>
      <c r="D303" s="71"/>
      <c r="P303" s="200"/>
    </row>
    <row r="304" spans="1:16" x14ac:dyDescent="0.3">
      <c r="A304" s="5"/>
      <c r="B304" s="340"/>
      <c r="C304" s="21"/>
      <c r="D304" s="71"/>
      <c r="P304" s="200"/>
    </row>
    <row r="305" spans="1:16" x14ac:dyDescent="0.3">
      <c r="A305" s="5"/>
      <c r="B305" s="340"/>
      <c r="C305" s="21"/>
      <c r="D305" s="71"/>
      <c r="P305" s="200"/>
    </row>
    <row r="306" spans="1:16" x14ac:dyDescent="0.3">
      <c r="A306" s="5"/>
      <c r="B306" s="340"/>
      <c r="C306" s="21"/>
      <c r="D306" s="71"/>
      <c r="P306" s="200"/>
    </row>
    <row r="307" spans="1:16" x14ac:dyDescent="0.3">
      <c r="A307" s="5"/>
      <c r="B307" s="340"/>
      <c r="C307" s="21"/>
      <c r="D307" s="71"/>
      <c r="P307" s="200"/>
    </row>
    <row r="308" spans="1:16" x14ac:dyDescent="0.3">
      <c r="A308" s="5"/>
      <c r="B308" s="340"/>
      <c r="C308" s="21"/>
      <c r="D308" s="71"/>
      <c r="P308" s="200"/>
    </row>
    <row r="309" spans="1:16" x14ac:dyDescent="0.3">
      <c r="A309" s="5"/>
      <c r="B309" s="340"/>
      <c r="C309" s="21"/>
      <c r="D309" s="71"/>
      <c r="P309" s="200"/>
    </row>
    <row r="310" spans="1:16" x14ac:dyDescent="0.3">
      <c r="A310" s="5"/>
      <c r="B310" s="340"/>
      <c r="C310" s="21"/>
      <c r="D310" s="71"/>
      <c r="P310" s="200"/>
    </row>
    <row r="311" spans="1:16" x14ac:dyDescent="0.3">
      <c r="A311" s="5"/>
      <c r="B311" s="340"/>
      <c r="C311" s="21"/>
      <c r="D311" s="71"/>
      <c r="P311" s="200"/>
    </row>
    <row r="312" spans="1:16" x14ac:dyDescent="0.3">
      <c r="A312" s="5"/>
      <c r="B312" s="340"/>
      <c r="C312" s="21"/>
      <c r="D312" s="71"/>
      <c r="P312" s="200"/>
    </row>
    <row r="313" spans="1:16" x14ac:dyDescent="0.3">
      <c r="A313" s="5"/>
      <c r="B313" s="340"/>
      <c r="C313" s="21"/>
      <c r="D313" s="71"/>
      <c r="P313" s="200"/>
    </row>
    <row r="314" spans="1:16" x14ac:dyDescent="0.3">
      <c r="A314" s="5"/>
      <c r="B314" s="340"/>
      <c r="C314" s="21"/>
      <c r="D314" s="71"/>
      <c r="P314" s="200"/>
    </row>
    <row r="315" spans="1:16" x14ac:dyDescent="0.3">
      <c r="A315" s="5"/>
      <c r="B315" s="340"/>
      <c r="C315" s="21"/>
      <c r="D315" s="71"/>
      <c r="P315" s="200"/>
    </row>
    <row r="316" spans="1:16" x14ac:dyDescent="0.3">
      <c r="A316" s="5"/>
      <c r="B316" s="340"/>
      <c r="C316" s="21"/>
      <c r="D316" s="71"/>
      <c r="P316" s="200"/>
    </row>
    <row r="317" spans="1:16" x14ac:dyDescent="0.3">
      <c r="A317" s="5"/>
      <c r="B317" s="340"/>
      <c r="C317" s="21"/>
      <c r="D317" s="71"/>
      <c r="P317" s="200"/>
    </row>
    <row r="318" spans="1:16" x14ac:dyDescent="0.3">
      <c r="A318" s="5"/>
      <c r="B318" s="340"/>
      <c r="C318" s="21"/>
      <c r="D318" s="71"/>
      <c r="P318" s="200"/>
    </row>
    <row r="319" spans="1:16" x14ac:dyDescent="0.3">
      <c r="A319" s="5"/>
      <c r="B319" s="340"/>
      <c r="C319" s="21"/>
      <c r="D319" s="71"/>
      <c r="P319" s="200"/>
    </row>
    <row r="320" spans="1:16" x14ac:dyDescent="0.3">
      <c r="A320" s="5"/>
      <c r="B320" s="340"/>
      <c r="C320" s="21"/>
      <c r="D320" s="71"/>
      <c r="P320" s="200"/>
    </row>
    <row r="321" spans="1:16" x14ac:dyDescent="0.3">
      <c r="A321" s="5"/>
      <c r="B321" s="340"/>
      <c r="C321" s="21"/>
      <c r="D321" s="71"/>
      <c r="P321" s="200"/>
    </row>
    <row r="322" spans="1:16" x14ac:dyDescent="0.3">
      <c r="A322" s="5"/>
      <c r="B322" s="340"/>
      <c r="C322" s="21"/>
      <c r="D322" s="71"/>
      <c r="P322" s="200"/>
    </row>
    <row r="323" spans="1:16" x14ac:dyDescent="0.3">
      <c r="A323" s="5"/>
      <c r="B323" s="340"/>
      <c r="C323" s="21"/>
      <c r="D323" s="71"/>
      <c r="P323" s="200"/>
    </row>
    <row r="324" spans="1:16" x14ac:dyDescent="0.3">
      <c r="A324" s="5"/>
      <c r="B324" s="340"/>
      <c r="C324" s="21"/>
      <c r="D324" s="71"/>
      <c r="P324" s="200"/>
    </row>
    <row r="325" spans="1:16" x14ac:dyDescent="0.3">
      <c r="A325" s="5"/>
      <c r="B325" s="340"/>
      <c r="C325" s="21"/>
      <c r="D325" s="71"/>
      <c r="P325" s="200"/>
    </row>
    <row r="326" spans="1:16" x14ac:dyDescent="0.3">
      <c r="A326" s="5"/>
      <c r="B326" s="340"/>
      <c r="C326" s="21"/>
      <c r="D326" s="71"/>
      <c r="P326" s="200"/>
    </row>
    <row r="327" spans="1:16" x14ac:dyDescent="0.3">
      <c r="A327" s="5"/>
      <c r="B327" s="340"/>
      <c r="C327" s="21"/>
      <c r="D327" s="71"/>
      <c r="P327" s="200"/>
    </row>
    <row r="328" spans="1:16" x14ac:dyDescent="0.3">
      <c r="A328" s="5"/>
      <c r="B328" s="340"/>
      <c r="C328" s="21"/>
      <c r="D328" s="71"/>
      <c r="P328" s="200"/>
    </row>
    <row r="329" spans="1:16" x14ac:dyDescent="0.3">
      <c r="A329" s="5"/>
      <c r="B329" s="340"/>
      <c r="C329" s="21"/>
      <c r="D329" s="71"/>
      <c r="P329" s="200"/>
    </row>
    <row r="330" spans="1:16" x14ac:dyDescent="0.3">
      <c r="A330" s="5"/>
      <c r="B330" s="340"/>
      <c r="C330" s="21"/>
      <c r="D330" s="71"/>
      <c r="P330" s="200"/>
    </row>
    <row r="331" spans="1:16" x14ac:dyDescent="0.3">
      <c r="A331" s="5"/>
      <c r="B331" s="340"/>
      <c r="C331" s="21"/>
      <c r="D331" s="71"/>
      <c r="P331" s="200"/>
    </row>
    <row r="332" spans="1:16" x14ac:dyDescent="0.3">
      <c r="A332" s="5"/>
      <c r="B332" s="340"/>
      <c r="C332" s="21"/>
      <c r="D332" s="71"/>
      <c r="P332" s="200"/>
    </row>
    <row r="333" spans="1:16" x14ac:dyDescent="0.3">
      <c r="A333" s="5"/>
      <c r="B333" s="340"/>
      <c r="C333" s="21"/>
      <c r="D333" s="71"/>
      <c r="P333" s="200"/>
    </row>
    <row r="334" spans="1:16" x14ac:dyDescent="0.3">
      <c r="A334" s="5"/>
      <c r="B334" s="340"/>
      <c r="C334" s="21"/>
      <c r="D334" s="71"/>
      <c r="P334" s="200"/>
    </row>
    <row r="335" spans="1:16" x14ac:dyDescent="0.3">
      <c r="A335" s="5"/>
      <c r="B335" s="340"/>
      <c r="C335" s="21"/>
      <c r="D335" s="71"/>
      <c r="P335" s="200"/>
    </row>
    <row r="336" spans="1:16" x14ac:dyDescent="0.3">
      <c r="A336" s="5"/>
      <c r="B336" s="340"/>
      <c r="C336" s="21"/>
      <c r="D336" s="71"/>
      <c r="P336" s="200"/>
    </row>
    <row r="337" spans="1:16" x14ac:dyDescent="0.3">
      <c r="A337" s="5"/>
      <c r="B337" s="340"/>
      <c r="C337" s="21"/>
      <c r="D337" s="71"/>
      <c r="P337" s="200"/>
    </row>
    <row r="338" spans="1:16" x14ac:dyDescent="0.3">
      <c r="A338" s="5"/>
      <c r="B338" s="340"/>
      <c r="C338" s="21"/>
      <c r="D338" s="71"/>
      <c r="P338" s="200"/>
    </row>
    <row r="339" spans="1:16" x14ac:dyDescent="0.3">
      <c r="A339" s="5"/>
      <c r="B339" s="340"/>
      <c r="C339" s="21"/>
      <c r="D339" s="71"/>
      <c r="P339" s="200"/>
    </row>
    <row r="340" spans="1:16" x14ac:dyDescent="0.3">
      <c r="A340" s="5"/>
      <c r="B340" s="340"/>
      <c r="C340" s="21"/>
      <c r="D340" s="71"/>
      <c r="P340" s="200"/>
    </row>
    <row r="341" spans="1:16" x14ac:dyDescent="0.3">
      <c r="A341" s="5"/>
      <c r="B341" s="340"/>
      <c r="C341" s="21"/>
      <c r="D341" s="71"/>
      <c r="P341" s="200"/>
    </row>
    <row r="342" spans="1:16" x14ac:dyDescent="0.3">
      <c r="A342" s="5"/>
      <c r="B342" s="340"/>
      <c r="C342" s="21"/>
      <c r="D342" s="71"/>
      <c r="P342" s="200"/>
    </row>
    <row r="343" spans="1:16" x14ac:dyDescent="0.3">
      <c r="A343" s="5"/>
      <c r="B343" s="340"/>
      <c r="C343" s="21"/>
      <c r="D343" s="71"/>
      <c r="P343" s="200"/>
    </row>
    <row r="344" spans="1:16" x14ac:dyDescent="0.3">
      <c r="A344" s="5"/>
      <c r="B344" s="340"/>
      <c r="C344" s="21"/>
      <c r="D344" s="71"/>
      <c r="P344" s="200"/>
    </row>
    <row r="345" spans="1:16" x14ac:dyDescent="0.3">
      <c r="A345" s="5"/>
      <c r="B345" s="340"/>
      <c r="C345" s="21"/>
      <c r="D345" s="71"/>
      <c r="P345" s="200"/>
    </row>
    <row r="346" spans="1:16" x14ac:dyDescent="0.3">
      <c r="A346" s="5"/>
      <c r="B346" s="340"/>
      <c r="C346" s="21"/>
      <c r="D346" s="71"/>
      <c r="P346" s="200"/>
    </row>
    <row r="347" spans="1:16" x14ac:dyDescent="0.3">
      <c r="A347" s="5"/>
      <c r="B347" s="340"/>
      <c r="C347" s="21"/>
      <c r="D347" s="71"/>
      <c r="P347" s="200"/>
    </row>
    <row r="348" spans="1:16" x14ac:dyDescent="0.3">
      <c r="A348" s="5"/>
      <c r="B348" s="340"/>
      <c r="C348" s="21"/>
      <c r="D348" s="71"/>
      <c r="P348" s="200"/>
    </row>
    <row r="349" spans="1:16" x14ac:dyDescent="0.3">
      <c r="A349" s="5"/>
      <c r="B349" s="340"/>
      <c r="C349" s="21"/>
      <c r="D349" s="71"/>
      <c r="P349" s="200"/>
    </row>
    <row r="350" spans="1:16" x14ac:dyDescent="0.3">
      <c r="A350" s="5"/>
      <c r="B350" s="340"/>
      <c r="C350" s="21"/>
      <c r="D350" s="71"/>
      <c r="P350" s="200"/>
    </row>
    <row r="351" spans="1:16" x14ac:dyDescent="0.3">
      <c r="A351" s="5"/>
      <c r="B351" s="340"/>
      <c r="C351" s="21"/>
      <c r="D351" s="71"/>
      <c r="P351" s="200"/>
    </row>
    <row r="352" spans="1:16" x14ac:dyDescent="0.3">
      <c r="A352" s="5"/>
      <c r="B352" s="340"/>
      <c r="C352" s="21"/>
      <c r="D352" s="71"/>
      <c r="P352" s="200"/>
    </row>
    <row r="353" spans="1:16" x14ac:dyDescent="0.3">
      <c r="A353" s="5"/>
      <c r="B353" s="340"/>
      <c r="C353" s="21"/>
      <c r="D353" s="71"/>
      <c r="P353" s="200"/>
    </row>
    <row r="354" spans="1:16" x14ac:dyDescent="0.3">
      <c r="A354" s="5"/>
      <c r="B354" s="340"/>
      <c r="C354" s="21"/>
      <c r="D354" s="71"/>
      <c r="P354" s="200"/>
    </row>
    <row r="355" spans="1:16" x14ac:dyDescent="0.3">
      <c r="A355" s="5"/>
      <c r="B355" s="340"/>
      <c r="C355" s="21"/>
      <c r="D355" s="71"/>
      <c r="P355" s="200"/>
    </row>
    <row r="356" spans="1:16" x14ac:dyDescent="0.3">
      <c r="A356" s="5"/>
      <c r="B356" s="340"/>
      <c r="C356" s="21"/>
      <c r="D356" s="71"/>
      <c r="P356" s="200"/>
    </row>
    <row r="357" spans="1:16" x14ac:dyDescent="0.3">
      <c r="A357" s="5"/>
      <c r="B357" s="340"/>
      <c r="C357" s="21"/>
      <c r="D357" s="71"/>
      <c r="P357" s="200"/>
    </row>
    <row r="358" spans="1:16" x14ac:dyDescent="0.3">
      <c r="A358" s="5"/>
      <c r="B358" s="340"/>
      <c r="C358" s="21"/>
      <c r="D358" s="71"/>
      <c r="P358" s="200"/>
    </row>
    <row r="359" spans="1:16" x14ac:dyDescent="0.3">
      <c r="A359" s="5"/>
      <c r="B359" s="340"/>
      <c r="C359" s="21"/>
      <c r="D359" s="71"/>
      <c r="P359" s="200"/>
    </row>
    <row r="360" spans="1:16" x14ac:dyDescent="0.3">
      <c r="A360" s="5"/>
      <c r="B360" s="340"/>
      <c r="C360" s="21"/>
      <c r="D360" s="71"/>
      <c r="P360" s="200"/>
    </row>
    <row r="361" spans="1:16" x14ac:dyDescent="0.3">
      <c r="A361" s="5"/>
      <c r="B361" s="340"/>
      <c r="C361" s="21"/>
      <c r="D361" s="71"/>
      <c r="P361" s="200"/>
    </row>
    <row r="362" spans="1:16" x14ac:dyDescent="0.3">
      <c r="A362" s="5"/>
      <c r="B362" s="340"/>
      <c r="C362" s="21"/>
      <c r="D362" s="71"/>
      <c r="P362" s="200"/>
    </row>
    <row r="363" spans="1:16" x14ac:dyDescent="0.3">
      <c r="A363" s="5"/>
      <c r="B363" s="340"/>
      <c r="C363" s="21"/>
      <c r="D363" s="71"/>
      <c r="P363" s="200"/>
    </row>
    <row r="364" spans="1:16" x14ac:dyDescent="0.3">
      <c r="A364" s="5"/>
      <c r="B364" s="340"/>
      <c r="C364" s="21"/>
      <c r="D364" s="71"/>
      <c r="P364" s="200"/>
    </row>
    <row r="365" spans="1:16" x14ac:dyDescent="0.3">
      <c r="A365" s="5"/>
      <c r="B365" s="340"/>
      <c r="C365" s="21"/>
      <c r="D365" s="71"/>
      <c r="P365" s="200"/>
    </row>
    <row r="366" spans="1:16" x14ac:dyDescent="0.3">
      <c r="A366" s="5"/>
      <c r="B366" s="340"/>
      <c r="C366" s="21"/>
      <c r="D366" s="71"/>
      <c r="P366" s="200"/>
    </row>
    <row r="367" spans="1:16" x14ac:dyDescent="0.3">
      <c r="A367" s="5"/>
      <c r="B367" s="340"/>
      <c r="C367" s="21"/>
      <c r="D367" s="71"/>
      <c r="P367" s="200"/>
    </row>
    <row r="368" spans="1:16" x14ac:dyDescent="0.3">
      <c r="A368" s="5"/>
      <c r="B368" s="340"/>
      <c r="C368" s="21"/>
      <c r="D368" s="71"/>
    </row>
    <row r="369" spans="1:16" x14ac:dyDescent="0.3">
      <c r="A369" s="5"/>
      <c r="B369" s="340"/>
      <c r="C369" s="21"/>
      <c r="D369" s="71"/>
      <c r="P369" s="200"/>
    </row>
    <row r="370" spans="1:16" x14ac:dyDescent="0.3">
      <c r="A370" s="5"/>
      <c r="B370" s="340"/>
      <c r="C370" s="21"/>
      <c r="D370" s="71"/>
    </row>
    <row r="371" spans="1:16" x14ac:dyDescent="0.3">
      <c r="A371" s="5"/>
      <c r="B371" s="340"/>
      <c r="C371" s="21"/>
      <c r="D371" s="71"/>
    </row>
    <row r="372" spans="1:16" x14ac:dyDescent="0.3">
      <c r="A372" s="5"/>
      <c r="B372" s="340"/>
      <c r="C372" s="21"/>
      <c r="D372" s="71"/>
    </row>
    <row r="373" spans="1:16" x14ac:dyDescent="0.3">
      <c r="A373" s="5"/>
      <c r="B373" s="340"/>
      <c r="C373" s="21"/>
      <c r="D373" s="71"/>
    </row>
    <row r="374" spans="1:16" x14ac:dyDescent="0.3">
      <c r="A374" s="5"/>
      <c r="B374" s="340"/>
      <c r="C374" s="21"/>
      <c r="D374" s="71"/>
    </row>
    <row r="375" spans="1:16" x14ac:dyDescent="0.3">
      <c r="A375" s="5"/>
      <c r="B375" s="340"/>
      <c r="C375" s="21"/>
      <c r="D375" s="71"/>
    </row>
    <row r="376" spans="1:16" x14ac:dyDescent="0.3">
      <c r="A376" s="5"/>
      <c r="B376" s="340"/>
      <c r="C376" s="21"/>
      <c r="D376" s="71"/>
    </row>
    <row r="377" spans="1:16" x14ac:dyDescent="0.3">
      <c r="A377" s="5"/>
      <c r="B377" s="340"/>
      <c r="C377" s="21"/>
      <c r="D377" s="71"/>
    </row>
    <row r="378" spans="1:16" x14ac:dyDescent="0.3">
      <c r="A378" s="5"/>
      <c r="B378" s="340"/>
      <c r="C378" s="21"/>
      <c r="D378" s="71"/>
    </row>
    <row r="379" spans="1:16" x14ac:dyDescent="0.3">
      <c r="A379" s="5"/>
      <c r="B379" s="340"/>
      <c r="C379" s="21"/>
      <c r="D379" s="71"/>
    </row>
    <row r="380" spans="1:16" x14ac:dyDescent="0.3">
      <c r="A380" s="5"/>
      <c r="B380" s="340"/>
      <c r="C380" s="21"/>
      <c r="D380" s="71"/>
    </row>
    <row r="381" spans="1:16" x14ac:dyDescent="0.3">
      <c r="A381" s="5"/>
      <c r="B381" s="340"/>
      <c r="C381" s="21"/>
      <c r="D381" s="71"/>
    </row>
    <row r="382" spans="1:16" x14ac:dyDescent="0.3">
      <c r="A382" s="5"/>
      <c r="B382" s="340"/>
      <c r="C382" s="21"/>
      <c r="D382" s="71"/>
    </row>
    <row r="383" spans="1:16" x14ac:dyDescent="0.3">
      <c r="A383" s="5"/>
      <c r="B383" s="340"/>
      <c r="C383" s="21"/>
      <c r="D383" s="71"/>
    </row>
    <row r="384" spans="1:16" x14ac:dyDescent="0.3">
      <c r="A384" s="5"/>
      <c r="B384" s="340"/>
      <c r="C384" s="21"/>
      <c r="D384" s="71"/>
    </row>
    <row r="385" spans="1:4" x14ac:dyDescent="0.3">
      <c r="A385" s="5"/>
      <c r="B385" s="340"/>
      <c r="C385" s="21"/>
      <c r="D385" s="71"/>
    </row>
    <row r="386" spans="1:4" x14ac:dyDescent="0.3">
      <c r="A386" s="5"/>
      <c r="B386" s="340"/>
      <c r="C386" s="21"/>
      <c r="D386" s="71"/>
    </row>
    <row r="387" spans="1:4" x14ac:dyDescent="0.3">
      <c r="A387" s="5"/>
      <c r="B387" s="340"/>
      <c r="C387" s="21"/>
      <c r="D387" s="71"/>
    </row>
    <row r="388" spans="1:4" x14ac:dyDescent="0.3">
      <c r="A388" s="5"/>
      <c r="B388" s="340"/>
      <c r="C388" s="21"/>
      <c r="D388" s="71"/>
    </row>
    <row r="389" spans="1:4" x14ac:dyDescent="0.3">
      <c r="A389" s="5"/>
      <c r="B389" s="340"/>
      <c r="C389" s="21"/>
      <c r="D389" s="71"/>
    </row>
    <row r="390" spans="1:4" x14ac:dyDescent="0.3">
      <c r="A390" s="5"/>
      <c r="B390" s="340"/>
      <c r="C390" s="21"/>
      <c r="D390" s="71"/>
    </row>
    <row r="391" spans="1:4" x14ac:dyDescent="0.3">
      <c r="A391" s="5"/>
      <c r="B391" s="340"/>
      <c r="C391" s="21"/>
      <c r="D391" s="71"/>
    </row>
    <row r="392" spans="1:4" x14ac:dyDescent="0.3">
      <c r="A392" s="5"/>
      <c r="B392" s="340"/>
      <c r="C392" s="21"/>
      <c r="D392" s="71"/>
    </row>
    <row r="393" spans="1:4" x14ac:dyDescent="0.3">
      <c r="A393" s="5"/>
      <c r="B393" s="340"/>
      <c r="C393" s="21"/>
      <c r="D393" s="71"/>
    </row>
    <row r="394" spans="1:4" x14ac:dyDescent="0.3">
      <c r="A394" s="5"/>
      <c r="B394" s="340"/>
      <c r="C394" s="21"/>
      <c r="D394" s="71"/>
    </row>
    <row r="395" spans="1:4" x14ac:dyDescent="0.3">
      <c r="A395" s="5"/>
      <c r="B395" s="340"/>
      <c r="C395" s="21"/>
      <c r="D395" s="71"/>
    </row>
    <row r="396" spans="1:4" x14ac:dyDescent="0.3">
      <c r="A396" s="5"/>
      <c r="B396" s="340"/>
      <c r="C396" s="21"/>
      <c r="D396" s="71"/>
    </row>
    <row r="397" spans="1:4" x14ac:dyDescent="0.3">
      <c r="A397" s="5"/>
      <c r="B397" s="340"/>
      <c r="C397" s="21"/>
      <c r="D397" s="71"/>
    </row>
    <row r="398" spans="1:4" x14ac:dyDescent="0.3">
      <c r="A398" s="5"/>
      <c r="B398" s="340"/>
      <c r="C398" s="21"/>
      <c r="D398" s="71"/>
    </row>
    <row r="399" spans="1:4" x14ac:dyDescent="0.3">
      <c r="A399" s="5"/>
      <c r="B399" s="340"/>
      <c r="C399" s="21"/>
      <c r="D399" s="71"/>
    </row>
    <row r="400" spans="1:4" x14ac:dyDescent="0.3">
      <c r="A400" s="5"/>
      <c r="B400" s="340"/>
      <c r="C400" s="21"/>
      <c r="D400" s="71"/>
    </row>
    <row r="401" spans="1:4" x14ac:dyDescent="0.3">
      <c r="A401" s="5"/>
      <c r="B401" s="340"/>
      <c r="C401" s="21"/>
      <c r="D401" s="71"/>
    </row>
    <row r="402" spans="1:4" x14ac:dyDescent="0.3">
      <c r="D402" s="71"/>
    </row>
    <row r="403" spans="1:4" x14ac:dyDescent="0.3">
      <c r="D403" s="71"/>
    </row>
    <row r="404" spans="1:4" x14ac:dyDescent="0.3">
      <c r="D404" s="71"/>
    </row>
    <row r="405" spans="1:4" x14ac:dyDescent="0.3">
      <c r="D405" s="71"/>
    </row>
    <row r="406" spans="1:4" x14ac:dyDescent="0.3">
      <c r="D406" s="71"/>
    </row>
    <row r="407" spans="1:4" x14ac:dyDescent="0.3">
      <c r="D407" s="71"/>
    </row>
    <row r="408" spans="1:4" x14ac:dyDescent="0.3">
      <c r="D408" s="71"/>
    </row>
    <row r="409" spans="1:4" x14ac:dyDescent="0.3">
      <c r="D409" s="71"/>
    </row>
    <row r="410" spans="1:4" x14ac:dyDescent="0.3">
      <c r="D410" s="71"/>
    </row>
    <row r="411" spans="1:4" x14ac:dyDescent="0.3">
      <c r="D411" s="71"/>
    </row>
    <row r="412" spans="1:4" x14ac:dyDescent="0.3">
      <c r="D412" s="71"/>
    </row>
    <row r="413" spans="1:4" x14ac:dyDescent="0.3">
      <c r="D413" s="71"/>
    </row>
    <row r="414" spans="1:4" x14ac:dyDescent="0.3">
      <c r="D414" s="71"/>
    </row>
    <row r="415" spans="1:4" x14ac:dyDescent="0.3">
      <c r="D415" s="71"/>
    </row>
    <row r="416" spans="1:4" x14ac:dyDescent="0.3">
      <c r="D416" s="71"/>
    </row>
    <row r="417" spans="4:4" x14ac:dyDescent="0.3">
      <c r="D417" s="71"/>
    </row>
    <row r="418" spans="4:4" x14ac:dyDescent="0.3">
      <c r="D418" s="71"/>
    </row>
    <row r="419" spans="4:4" x14ac:dyDescent="0.3">
      <c r="D419" s="71"/>
    </row>
    <row r="420" spans="4:4" x14ac:dyDescent="0.3">
      <c r="D420" s="71"/>
    </row>
    <row r="421" spans="4:4" x14ac:dyDescent="0.3">
      <c r="D421" s="71"/>
    </row>
    <row r="422" spans="4:4" x14ac:dyDescent="0.3">
      <c r="D422" s="71"/>
    </row>
    <row r="423" spans="4:4" x14ac:dyDescent="0.3">
      <c r="D423" s="71"/>
    </row>
    <row r="424" spans="4:4" x14ac:dyDescent="0.3">
      <c r="D424" s="71"/>
    </row>
    <row r="425" spans="4:4" x14ac:dyDescent="0.3">
      <c r="D425" s="71"/>
    </row>
    <row r="426" spans="4:4" x14ac:dyDescent="0.3">
      <c r="D426" s="71"/>
    </row>
    <row r="427" spans="4:4" x14ac:dyDescent="0.3">
      <c r="D427" s="71"/>
    </row>
    <row r="428" spans="4:4" x14ac:dyDescent="0.3">
      <c r="D428" s="71"/>
    </row>
    <row r="429" spans="4:4" x14ac:dyDescent="0.3">
      <c r="D429" s="71"/>
    </row>
    <row r="430" spans="4:4" x14ac:dyDescent="0.3">
      <c r="D430" s="71"/>
    </row>
    <row r="431" spans="4:4" x14ac:dyDescent="0.3">
      <c r="D431" s="71"/>
    </row>
    <row r="432" spans="4:4" x14ac:dyDescent="0.3">
      <c r="D432" s="71"/>
    </row>
    <row r="433" spans="4:4" x14ac:dyDescent="0.3">
      <c r="D433" s="71"/>
    </row>
    <row r="434" spans="4:4" x14ac:dyDescent="0.3">
      <c r="D434" s="71"/>
    </row>
    <row r="435" spans="4:4" x14ac:dyDescent="0.3">
      <c r="D435" s="71"/>
    </row>
    <row r="436" spans="4:4" x14ac:dyDescent="0.3">
      <c r="D436" s="71"/>
    </row>
    <row r="437" spans="4:4" x14ac:dyDescent="0.3">
      <c r="D437" s="71"/>
    </row>
    <row r="438" spans="4:4" x14ac:dyDescent="0.3">
      <c r="D438" s="71"/>
    </row>
    <row r="439" spans="4:4" x14ac:dyDescent="0.3">
      <c r="D439" s="71"/>
    </row>
    <row r="440" spans="4:4" x14ac:dyDescent="0.3">
      <c r="D440" s="71"/>
    </row>
    <row r="441" spans="4:4" x14ac:dyDescent="0.3">
      <c r="D441" s="71"/>
    </row>
    <row r="442" spans="4:4" x14ac:dyDescent="0.3">
      <c r="D442" s="71"/>
    </row>
    <row r="443" spans="4:4" x14ac:dyDescent="0.3">
      <c r="D443" s="71"/>
    </row>
    <row r="444" spans="4:4" x14ac:dyDescent="0.3">
      <c r="D444" s="71"/>
    </row>
    <row r="445" spans="4:4" x14ac:dyDescent="0.3">
      <c r="D445" s="71"/>
    </row>
    <row r="446" spans="4:4" x14ac:dyDescent="0.3">
      <c r="D446" s="71"/>
    </row>
    <row r="447" spans="4:4" x14ac:dyDescent="0.3">
      <c r="D447" s="71"/>
    </row>
    <row r="448" spans="4:4" x14ac:dyDescent="0.3">
      <c r="D448" s="71"/>
    </row>
    <row r="449" spans="4:4" x14ac:dyDescent="0.3">
      <c r="D449" s="71"/>
    </row>
    <row r="450" spans="4:4" x14ac:dyDescent="0.3">
      <c r="D450" s="71"/>
    </row>
    <row r="451" spans="4:4" x14ac:dyDescent="0.3">
      <c r="D451" s="71"/>
    </row>
    <row r="452" spans="4:4" x14ac:dyDescent="0.3">
      <c r="D452" s="71"/>
    </row>
    <row r="453" spans="4:4" x14ac:dyDescent="0.3">
      <c r="D453" s="71"/>
    </row>
    <row r="454" spans="4:4" x14ac:dyDescent="0.3">
      <c r="D454" s="71"/>
    </row>
    <row r="455" spans="4:4" x14ac:dyDescent="0.3">
      <c r="D455" s="71"/>
    </row>
    <row r="456" spans="4:4" x14ac:dyDescent="0.3">
      <c r="D456" s="71"/>
    </row>
    <row r="457" spans="4:4" x14ac:dyDescent="0.3">
      <c r="D457" s="71"/>
    </row>
    <row r="458" spans="4:4" x14ac:dyDescent="0.3">
      <c r="D458" s="71"/>
    </row>
    <row r="459" spans="4:4" x14ac:dyDescent="0.3">
      <c r="D459" s="71"/>
    </row>
    <row r="460" spans="4:4" x14ac:dyDescent="0.3">
      <c r="D460" s="71"/>
    </row>
    <row r="461" spans="4:4" x14ac:dyDescent="0.3">
      <c r="D461" s="71"/>
    </row>
    <row r="462" spans="4:4" x14ac:dyDescent="0.3">
      <c r="D462" s="71"/>
    </row>
    <row r="463" spans="4:4" x14ac:dyDescent="0.3">
      <c r="D463" s="71"/>
    </row>
    <row r="464" spans="4:4" x14ac:dyDescent="0.3">
      <c r="D464" s="71"/>
    </row>
    <row r="465" spans="4:4" x14ac:dyDescent="0.3">
      <c r="D465" s="71"/>
    </row>
    <row r="466" spans="4:4" x14ac:dyDescent="0.3">
      <c r="D466" s="71"/>
    </row>
    <row r="467" spans="4:4" x14ac:dyDescent="0.3">
      <c r="D467" s="71"/>
    </row>
    <row r="468" spans="4:4" x14ac:dyDescent="0.3">
      <c r="D468" s="71"/>
    </row>
    <row r="469" spans="4:4" x14ac:dyDescent="0.3">
      <c r="D469" s="71"/>
    </row>
    <row r="470" spans="4:4" x14ac:dyDescent="0.3">
      <c r="D470" s="71"/>
    </row>
    <row r="471" spans="4:4" x14ac:dyDescent="0.3">
      <c r="D471" s="71"/>
    </row>
    <row r="472" spans="4:4" x14ac:dyDescent="0.3">
      <c r="D472" s="71"/>
    </row>
    <row r="473" spans="4:4" x14ac:dyDescent="0.3">
      <c r="D473" s="71"/>
    </row>
    <row r="474" spans="4:4" x14ac:dyDescent="0.3">
      <c r="D474" s="71"/>
    </row>
    <row r="475" spans="4:4" x14ac:dyDescent="0.3">
      <c r="D475" s="71"/>
    </row>
    <row r="476" spans="4:4" x14ac:dyDescent="0.3">
      <c r="D476" s="71"/>
    </row>
    <row r="477" spans="4:4" x14ac:dyDescent="0.3">
      <c r="D477" s="71"/>
    </row>
    <row r="478" spans="4:4" x14ac:dyDescent="0.3">
      <c r="D478" s="71"/>
    </row>
    <row r="479" spans="4:4" x14ac:dyDescent="0.3">
      <c r="D479" s="71"/>
    </row>
    <row r="480" spans="4:4" x14ac:dyDescent="0.3">
      <c r="D480" s="71"/>
    </row>
    <row r="481" spans="4:4" x14ac:dyDescent="0.3">
      <c r="D481" s="71"/>
    </row>
    <row r="482" spans="4:4" x14ac:dyDescent="0.3">
      <c r="D482" s="71"/>
    </row>
    <row r="483" spans="4:4" x14ac:dyDescent="0.3">
      <c r="D483" s="71"/>
    </row>
    <row r="484" spans="4:4" x14ac:dyDescent="0.3">
      <c r="D484" s="71"/>
    </row>
    <row r="485" spans="4:4" x14ac:dyDescent="0.3">
      <c r="D485" s="71"/>
    </row>
    <row r="486" spans="4:4" x14ac:dyDescent="0.3">
      <c r="D486" s="71"/>
    </row>
    <row r="487" spans="4:4" x14ac:dyDescent="0.3">
      <c r="D487" s="71"/>
    </row>
    <row r="488" spans="4:4" x14ac:dyDescent="0.3">
      <c r="D488" s="71"/>
    </row>
    <row r="489" spans="4:4" x14ac:dyDescent="0.3">
      <c r="D489" s="71"/>
    </row>
    <row r="490" spans="4:4" x14ac:dyDescent="0.3">
      <c r="D490" s="71"/>
    </row>
    <row r="491" spans="4:4" x14ac:dyDescent="0.3">
      <c r="D491" s="71"/>
    </row>
    <row r="492" spans="4:4" x14ac:dyDescent="0.3">
      <c r="D492" s="71"/>
    </row>
    <row r="493" spans="4:4" x14ac:dyDescent="0.3">
      <c r="D493" s="71"/>
    </row>
    <row r="494" spans="4:4" x14ac:dyDescent="0.3">
      <c r="D494" s="71"/>
    </row>
    <row r="495" spans="4:4" x14ac:dyDescent="0.3">
      <c r="D495" s="71"/>
    </row>
    <row r="496" spans="4:4" x14ac:dyDescent="0.3">
      <c r="D496" s="71"/>
    </row>
    <row r="497" spans="4:4" x14ac:dyDescent="0.3">
      <c r="D497" s="71"/>
    </row>
    <row r="498" spans="4:4" x14ac:dyDescent="0.3">
      <c r="D498" s="71"/>
    </row>
    <row r="499" spans="4:4" x14ac:dyDescent="0.3">
      <c r="D499" s="71"/>
    </row>
    <row r="500" spans="4:4" x14ac:dyDescent="0.3">
      <c r="D500" s="71"/>
    </row>
    <row r="501" spans="4:4" x14ac:dyDescent="0.3">
      <c r="D501" s="71"/>
    </row>
    <row r="502" spans="4:4" x14ac:dyDescent="0.3">
      <c r="D502" s="71"/>
    </row>
    <row r="503" spans="4:4" x14ac:dyDescent="0.3">
      <c r="D503" s="71"/>
    </row>
    <row r="504" spans="4:4" x14ac:dyDescent="0.3">
      <c r="D504" s="71"/>
    </row>
    <row r="505" spans="4:4" x14ac:dyDescent="0.3">
      <c r="D505" s="71"/>
    </row>
    <row r="506" spans="4:4" x14ac:dyDescent="0.3">
      <c r="D506" s="71"/>
    </row>
    <row r="507" spans="4:4" x14ac:dyDescent="0.3">
      <c r="D507" s="71"/>
    </row>
    <row r="508" spans="4:4" x14ac:dyDescent="0.3">
      <c r="D508" s="71"/>
    </row>
    <row r="509" spans="4:4" x14ac:dyDescent="0.3">
      <c r="D509" s="71"/>
    </row>
    <row r="510" spans="4:4" x14ac:dyDescent="0.3">
      <c r="D510" s="71"/>
    </row>
    <row r="511" spans="4:4" x14ac:dyDescent="0.3">
      <c r="D511" s="71"/>
    </row>
    <row r="512" spans="4:4" x14ac:dyDescent="0.3">
      <c r="D512" s="71"/>
    </row>
    <row r="513" spans="4:4" x14ac:dyDescent="0.3">
      <c r="D513" s="71"/>
    </row>
    <row r="514" spans="4:4" x14ac:dyDescent="0.3">
      <c r="D514" s="71"/>
    </row>
    <row r="515" spans="4:4" x14ac:dyDescent="0.3">
      <c r="D515" s="71"/>
    </row>
    <row r="516" spans="4:4" x14ac:dyDescent="0.3">
      <c r="D516" s="71"/>
    </row>
    <row r="517" spans="4:4" x14ac:dyDescent="0.3">
      <c r="D517" s="71"/>
    </row>
    <row r="518" spans="4:4" x14ac:dyDescent="0.3">
      <c r="D518" s="71"/>
    </row>
    <row r="519" spans="4:4" x14ac:dyDescent="0.3">
      <c r="D519" s="71"/>
    </row>
    <row r="520" spans="4:4" x14ac:dyDescent="0.3">
      <c r="D520" s="71"/>
    </row>
    <row r="521" spans="4:4" x14ac:dyDescent="0.3">
      <c r="D521" s="71"/>
    </row>
    <row r="522" spans="4:4" x14ac:dyDescent="0.3">
      <c r="D522" s="71"/>
    </row>
    <row r="523" spans="4:4" x14ac:dyDescent="0.3">
      <c r="D523" s="71"/>
    </row>
    <row r="524" spans="4:4" x14ac:dyDescent="0.3">
      <c r="D524" s="71"/>
    </row>
    <row r="525" spans="4:4" x14ac:dyDescent="0.3">
      <c r="D525" s="71"/>
    </row>
    <row r="526" spans="4:4" x14ac:dyDescent="0.3">
      <c r="D526" s="71"/>
    </row>
    <row r="527" spans="4:4" x14ac:dyDescent="0.3">
      <c r="D527" s="71"/>
    </row>
    <row r="528" spans="4:4" x14ac:dyDescent="0.3">
      <c r="D528" s="71"/>
    </row>
    <row r="529" spans="4:4" x14ac:dyDescent="0.3">
      <c r="D529" s="71"/>
    </row>
    <row r="530" spans="4:4" x14ac:dyDescent="0.3">
      <c r="D530" s="71"/>
    </row>
    <row r="531" spans="4:4" x14ac:dyDescent="0.3">
      <c r="D531" s="71"/>
    </row>
    <row r="532" spans="4:4" x14ac:dyDescent="0.3">
      <c r="D532" s="71"/>
    </row>
    <row r="533" spans="4:4" x14ac:dyDescent="0.3">
      <c r="D533" s="71"/>
    </row>
    <row r="534" spans="4:4" x14ac:dyDescent="0.3">
      <c r="D534" s="71"/>
    </row>
    <row r="535" spans="4:4" x14ac:dyDescent="0.3">
      <c r="D535" s="71"/>
    </row>
    <row r="536" spans="4:4" x14ac:dyDescent="0.3">
      <c r="D536" s="71"/>
    </row>
    <row r="537" spans="4:4" x14ac:dyDescent="0.3">
      <c r="D537" s="71"/>
    </row>
    <row r="538" spans="4:4" x14ac:dyDescent="0.3">
      <c r="D538" s="71"/>
    </row>
    <row r="539" spans="4:4" x14ac:dyDescent="0.3">
      <c r="D539" s="71"/>
    </row>
    <row r="540" spans="4:4" x14ac:dyDescent="0.3">
      <c r="D540" s="71"/>
    </row>
    <row r="541" spans="4:4" x14ac:dyDescent="0.3">
      <c r="D541" s="71"/>
    </row>
    <row r="542" spans="4:4" x14ac:dyDescent="0.3">
      <c r="D542" s="71"/>
    </row>
    <row r="543" spans="4:4" x14ac:dyDescent="0.3">
      <c r="D543" s="71"/>
    </row>
    <row r="544" spans="4:4" x14ac:dyDescent="0.3">
      <c r="D544" s="71"/>
    </row>
    <row r="545" spans="4:4" x14ac:dyDescent="0.3">
      <c r="D545" s="71"/>
    </row>
    <row r="546" spans="4:4" x14ac:dyDescent="0.3">
      <c r="D546" s="71"/>
    </row>
    <row r="547" spans="4:4" x14ac:dyDescent="0.3">
      <c r="D547" s="71"/>
    </row>
    <row r="548" spans="4:4" x14ac:dyDescent="0.3">
      <c r="D548" s="71"/>
    </row>
    <row r="549" spans="4:4" x14ac:dyDescent="0.3">
      <c r="D549" s="71"/>
    </row>
    <row r="550" spans="4:4" x14ac:dyDescent="0.3">
      <c r="D550" s="71"/>
    </row>
    <row r="551" spans="4:4" x14ac:dyDescent="0.3">
      <c r="D551" s="71"/>
    </row>
    <row r="552" spans="4:4" x14ac:dyDescent="0.3">
      <c r="D552" s="71"/>
    </row>
    <row r="553" spans="4:4" x14ac:dyDescent="0.3">
      <c r="D553" s="71"/>
    </row>
    <row r="554" spans="4:4" x14ac:dyDescent="0.3">
      <c r="D554" s="71"/>
    </row>
    <row r="555" spans="4:4" x14ac:dyDescent="0.3">
      <c r="D555" s="71"/>
    </row>
    <row r="556" spans="4:4" x14ac:dyDescent="0.3">
      <c r="D556" s="71"/>
    </row>
    <row r="557" spans="4:4" x14ac:dyDescent="0.3">
      <c r="D557" s="71"/>
    </row>
    <row r="558" spans="4:4" x14ac:dyDescent="0.3">
      <c r="D558" s="71"/>
    </row>
    <row r="559" spans="4:4" x14ac:dyDescent="0.3">
      <c r="D559" s="71"/>
    </row>
    <row r="560" spans="4:4" x14ac:dyDescent="0.3">
      <c r="D560" s="71"/>
    </row>
    <row r="561" spans="4:4" x14ac:dyDescent="0.3">
      <c r="D561" s="71"/>
    </row>
    <row r="562" spans="4:4" x14ac:dyDescent="0.3">
      <c r="D562" s="71"/>
    </row>
    <row r="563" spans="4:4" x14ac:dyDescent="0.3">
      <c r="D563" s="71"/>
    </row>
    <row r="564" spans="4:4" x14ac:dyDescent="0.3">
      <c r="D564" s="71"/>
    </row>
    <row r="565" spans="4:4" x14ac:dyDescent="0.3">
      <c r="D565" s="71"/>
    </row>
    <row r="566" spans="4:4" x14ac:dyDescent="0.3">
      <c r="D566" s="71"/>
    </row>
    <row r="567" spans="4:4" x14ac:dyDescent="0.3">
      <c r="D567" s="71"/>
    </row>
    <row r="568" spans="4:4" x14ac:dyDescent="0.3">
      <c r="D568" s="71"/>
    </row>
    <row r="569" spans="4:4" x14ac:dyDescent="0.3">
      <c r="D569" s="71"/>
    </row>
    <row r="570" spans="4:4" x14ac:dyDescent="0.3">
      <c r="D570" s="71"/>
    </row>
    <row r="571" spans="4:4" x14ac:dyDescent="0.3">
      <c r="D571" s="71"/>
    </row>
    <row r="572" spans="4:4" x14ac:dyDescent="0.3">
      <c r="D572" s="71"/>
    </row>
    <row r="573" spans="4:4" x14ac:dyDescent="0.3">
      <c r="D573" s="71"/>
    </row>
    <row r="574" spans="4:4" x14ac:dyDescent="0.3">
      <c r="D574" s="71"/>
    </row>
    <row r="575" spans="4:4" x14ac:dyDescent="0.3">
      <c r="D575" s="71"/>
    </row>
    <row r="576" spans="4:4" x14ac:dyDescent="0.3">
      <c r="D576" s="71"/>
    </row>
    <row r="577" spans="4:4" x14ac:dyDescent="0.3">
      <c r="D577" s="71"/>
    </row>
    <row r="578" spans="4:4" x14ac:dyDescent="0.3">
      <c r="D578" s="71"/>
    </row>
    <row r="579" spans="4:4" x14ac:dyDescent="0.3">
      <c r="D579" s="71"/>
    </row>
    <row r="580" spans="4:4" x14ac:dyDescent="0.3">
      <c r="D580" s="71"/>
    </row>
    <row r="581" spans="4:4" x14ac:dyDescent="0.3">
      <c r="D581" s="71"/>
    </row>
    <row r="582" spans="4:4" x14ac:dyDescent="0.3">
      <c r="D582" s="71"/>
    </row>
    <row r="583" spans="4:4" x14ac:dyDescent="0.3">
      <c r="D583" s="71"/>
    </row>
    <row r="584" spans="4:4" x14ac:dyDescent="0.3">
      <c r="D584" s="71"/>
    </row>
    <row r="585" spans="4:4" x14ac:dyDescent="0.3">
      <c r="D585" s="71"/>
    </row>
    <row r="586" spans="4:4" x14ac:dyDescent="0.3">
      <c r="D586" s="71"/>
    </row>
    <row r="587" spans="4:4" x14ac:dyDescent="0.3">
      <c r="D587" s="71"/>
    </row>
    <row r="588" spans="4:4" x14ac:dyDescent="0.3">
      <c r="D588" s="71"/>
    </row>
    <row r="589" spans="4:4" x14ac:dyDescent="0.3">
      <c r="D589" s="71"/>
    </row>
    <row r="590" spans="4:4" x14ac:dyDescent="0.3">
      <c r="D590" s="71"/>
    </row>
    <row r="591" spans="4:4" x14ac:dyDescent="0.3">
      <c r="D591" s="71"/>
    </row>
    <row r="592" spans="4:4" x14ac:dyDescent="0.3">
      <c r="D592" s="71"/>
    </row>
    <row r="593" spans="4:4" x14ac:dyDescent="0.3">
      <c r="D593" s="71"/>
    </row>
    <row r="594" spans="4:4" x14ac:dyDescent="0.3">
      <c r="D594" s="71"/>
    </row>
    <row r="595" spans="4:4" x14ac:dyDescent="0.3">
      <c r="D595" s="71"/>
    </row>
    <row r="596" spans="4:4" x14ac:dyDescent="0.3">
      <c r="D596" s="71"/>
    </row>
    <row r="597" spans="4:4" x14ac:dyDescent="0.3">
      <c r="D597" s="71"/>
    </row>
    <row r="598" spans="4:4" x14ac:dyDescent="0.3">
      <c r="D598" s="71"/>
    </row>
    <row r="599" spans="4:4" x14ac:dyDescent="0.3">
      <c r="D599" s="71"/>
    </row>
    <row r="600" spans="4:4" x14ac:dyDescent="0.3">
      <c r="D600" s="71"/>
    </row>
    <row r="601" spans="4:4" x14ac:dyDescent="0.3">
      <c r="D601" s="71"/>
    </row>
    <row r="602" spans="4:4" x14ac:dyDescent="0.3">
      <c r="D602" s="71"/>
    </row>
    <row r="603" spans="4:4" x14ac:dyDescent="0.3">
      <c r="D603" s="71"/>
    </row>
    <row r="604" spans="4:4" x14ac:dyDescent="0.3">
      <c r="D604" s="71"/>
    </row>
    <row r="605" spans="4:4" x14ac:dyDescent="0.3">
      <c r="D605" s="71"/>
    </row>
    <row r="606" spans="4:4" x14ac:dyDescent="0.3">
      <c r="D606" s="71"/>
    </row>
    <row r="607" spans="4:4" x14ac:dyDescent="0.3">
      <c r="D607" s="71"/>
    </row>
    <row r="608" spans="4:4" x14ac:dyDescent="0.3">
      <c r="D608" s="71"/>
    </row>
    <row r="609" spans="4:4" x14ac:dyDescent="0.3">
      <c r="D609" s="71"/>
    </row>
    <row r="610" spans="4:4" x14ac:dyDescent="0.3">
      <c r="D610" s="71"/>
    </row>
    <row r="611" spans="4:4" x14ac:dyDescent="0.3">
      <c r="D611" s="71"/>
    </row>
    <row r="612" spans="4:4" x14ac:dyDescent="0.3">
      <c r="D612" s="71"/>
    </row>
    <row r="613" spans="4:4" x14ac:dyDescent="0.3">
      <c r="D613" s="71"/>
    </row>
    <row r="614" spans="4:4" x14ac:dyDescent="0.3">
      <c r="D614" s="71"/>
    </row>
    <row r="615" spans="4:4" x14ac:dyDescent="0.3">
      <c r="D615" s="71"/>
    </row>
    <row r="616" spans="4:4" x14ac:dyDescent="0.3">
      <c r="D616" s="71"/>
    </row>
    <row r="617" spans="4:4" x14ac:dyDescent="0.3">
      <c r="D617" s="71"/>
    </row>
    <row r="618" spans="4:4" x14ac:dyDescent="0.3">
      <c r="D618" s="71"/>
    </row>
    <row r="619" spans="4:4" x14ac:dyDescent="0.3">
      <c r="D619" s="71"/>
    </row>
    <row r="620" spans="4:4" x14ac:dyDescent="0.3">
      <c r="D620" s="71"/>
    </row>
    <row r="621" spans="4:4" x14ac:dyDescent="0.3">
      <c r="D621" s="71"/>
    </row>
    <row r="622" spans="4:4" x14ac:dyDescent="0.3">
      <c r="D622" s="71"/>
    </row>
    <row r="623" spans="4:4" x14ac:dyDescent="0.3">
      <c r="D623" s="71"/>
    </row>
    <row r="624" spans="4:4" x14ac:dyDescent="0.3">
      <c r="D624" s="71"/>
    </row>
    <row r="625" spans="4:4" x14ac:dyDescent="0.3">
      <c r="D625" s="71"/>
    </row>
    <row r="626" spans="4:4" x14ac:dyDescent="0.3">
      <c r="D626" s="71"/>
    </row>
    <row r="627" spans="4:4" x14ac:dyDescent="0.3">
      <c r="D627" s="71"/>
    </row>
    <row r="628" spans="4:4" x14ac:dyDescent="0.3">
      <c r="D628" s="71"/>
    </row>
    <row r="629" spans="4:4" x14ac:dyDescent="0.3">
      <c r="D629" s="71"/>
    </row>
    <row r="630" spans="4:4" x14ac:dyDescent="0.3">
      <c r="D630" s="71"/>
    </row>
    <row r="631" spans="4:4" x14ac:dyDescent="0.3">
      <c r="D631" s="71"/>
    </row>
    <row r="632" spans="4:4" x14ac:dyDescent="0.3">
      <c r="D632" s="71"/>
    </row>
    <row r="633" spans="4:4" x14ac:dyDescent="0.3">
      <c r="D633" s="71"/>
    </row>
    <row r="634" spans="4:4" x14ac:dyDescent="0.3">
      <c r="D634" s="71"/>
    </row>
    <row r="635" spans="4:4" x14ac:dyDescent="0.3">
      <c r="D635" s="71"/>
    </row>
    <row r="636" spans="4:4" x14ac:dyDescent="0.3">
      <c r="D636" s="71"/>
    </row>
    <row r="637" spans="4:4" x14ac:dyDescent="0.3">
      <c r="D637" s="71"/>
    </row>
    <row r="638" spans="4:4" x14ac:dyDescent="0.3">
      <c r="D638" s="71"/>
    </row>
    <row r="639" spans="4:4" x14ac:dyDescent="0.3">
      <c r="D639" s="71"/>
    </row>
    <row r="640" spans="4:4" x14ac:dyDescent="0.3">
      <c r="D640" s="71"/>
    </row>
    <row r="641" spans="4:4" x14ac:dyDescent="0.3">
      <c r="D641" s="71"/>
    </row>
    <row r="642" spans="4:4" x14ac:dyDescent="0.3">
      <c r="D642" s="71"/>
    </row>
    <row r="643" spans="4:4" x14ac:dyDescent="0.3">
      <c r="D643" s="71"/>
    </row>
    <row r="644" spans="4:4" x14ac:dyDescent="0.3">
      <c r="D644" s="71"/>
    </row>
    <row r="645" spans="4:4" x14ac:dyDescent="0.3">
      <c r="D645" s="71"/>
    </row>
    <row r="646" spans="4:4" x14ac:dyDescent="0.3">
      <c r="D646" s="71"/>
    </row>
    <row r="647" spans="4:4" x14ac:dyDescent="0.3">
      <c r="D647" s="71"/>
    </row>
    <row r="648" spans="4:4" x14ac:dyDescent="0.3">
      <c r="D648" s="71"/>
    </row>
    <row r="649" spans="4:4" x14ac:dyDescent="0.3">
      <c r="D649" s="71"/>
    </row>
    <row r="650" spans="4:4" x14ac:dyDescent="0.3">
      <c r="D650" s="71"/>
    </row>
    <row r="651" spans="4:4" x14ac:dyDescent="0.3">
      <c r="D651" s="71"/>
    </row>
    <row r="652" spans="4:4" x14ac:dyDescent="0.3">
      <c r="D652" s="71"/>
    </row>
    <row r="653" spans="4:4" x14ac:dyDescent="0.3">
      <c r="D653" s="71"/>
    </row>
    <row r="654" spans="4:4" x14ac:dyDescent="0.3">
      <c r="D654" s="71"/>
    </row>
    <row r="655" spans="4:4" x14ac:dyDescent="0.3">
      <c r="D655" s="71"/>
    </row>
    <row r="656" spans="4:4" x14ac:dyDescent="0.3">
      <c r="D656" s="71"/>
    </row>
    <row r="657" spans="4:4" x14ac:dyDescent="0.3">
      <c r="D657" s="71"/>
    </row>
    <row r="658" spans="4:4" x14ac:dyDescent="0.3">
      <c r="D658" s="71"/>
    </row>
    <row r="659" spans="4:4" x14ac:dyDescent="0.3">
      <c r="D659" s="71"/>
    </row>
    <row r="660" spans="4:4" x14ac:dyDescent="0.3">
      <c r="D660" s="71"/>
    </row>
    <row r="661" spans="4:4" x14ac:dyDescent="0.3">
      <c r="D661" s="71"/>
    </row>
    <row r="662" spans="4:4" x14ac:dyDescent="0.3">
      <c r="D662" s="71"/>
    </row>
    <row r="663" spans="4:4" x14ac:dyDescent="0.3">
      <c r="D663" s="71"/>
    </row>
    <row r="664" spans="4:4" x14ac:dyDescent="0.3">
      <c r="D664" s="71"/>
    </row>
    <row r="665" spans="4:4" x14ac:dyDescent="0.3">
      <c r="D665" s="71"/>
    </row>
    <row r="666" spans="4:4" x14ac:dyDescent="0.3">
      <c r="D666" s="71"/>
    </row>
    <row r="667" spans="4:4" x14ac:dyDescent="0.3">
      <c r="D667" s="71"/>
    </row>
    <row r="668" spans="4:4" x14ac:dyDescent="0.3">
      <c r="D668" s="71"/>
    </row>
    <row r="669" spans="4:4" x14ac:dyDescent="0.3">
      <c r="D669" s="71"/>
    </row>
    <row r="670" spans="4:4" x14ac:dyDescent="0.3">
      <c r="D670" s="71"/>
    </row>
    <row r="671" spans="4:4" x14ac:dyDescent="0.3">
      <c r="D671" s="71"/>
    </row>
    <row r="672" spans="4:4" x14ac:dyDescent="0.3">
      <c r="D672" s="71"/>
    </row>
    <row r="673" spans="4:4" x14ac:dyDescent="0.3">
      <c r="D673" s="71"/>
    </row>
    <row r="674" spans="4:4" x14ac:dyDescent="0.3">
      <c r="D674" s="71"/>
    </row>
    <row r="675" spans="4:4" x14ac:dyDescent="0.3">
      <c r="D675" s="71"/>
    </row>
    <row r="676" spans="4:4" x14ac:dyDescent="0.3">
      <c r="D676" s="71"/>
    </row>
    <row r="677" spans="4:4" x14ac:dyDescent="0.3">
      <c r="D677" s="71"/>
    </row>
    <row r="678" spans="4:4" x14ac:dyDescent="0.3">
      <c r="D678" s="71"/>
    </row>
    <row r="679" spans="4:4" x14ac:dyDescent="0.3">
      <c r="D679" s="71"/>
    </row>
    <row r="680" spans="4:4" x14ac:dyDescent="0.3">
      <c r="D680" s="71"/>
    </row>
    <row r="681" spans="4:4" x14ac:dyDescent="0.3">
      <c r="D681" s="71"/>
    </row>
    <row r="682" spans="4:4" x14ac:dyDescent="0.3">
      <c r="D682" s="71"/>
    </row>
    <row r="683" spans="4:4" x14ac:dyDescent="0.3">
      <c r="D683" s="71"/>
    </row>
    <row r="684" spans="4:4" x14ac:dyDescent="0.3">
      <c r="D684" s="71"/>
    </row>
    <row r="685" spans="4:4" x14ac:dyDescent="0.3">
      <c r="D685" s="71"/>
    </row>
    <row r="686" spans="4:4" x14ac:dyDescent="0.3">
      <c r="D686" s="71"/>
    </row>
    <row r="687" spans="4:4" x14ac:dyDescent="0.3">
      <c r="D687" s="71"/>
    </row>
    <row r="688" spans="4:4" x14ac:dyDescent="0.3">
      <c r="D688" s="71"/>
    </row>
    <row r="689" spans="4:4" x14ac:dyDescent="0.3">
      <c r="D689" s="71"/>
    </row>
    <row r="690" spans="4:4" x14ac:dyDescent="0.3">
      <c r="D690" s="71"/>
    </row>
    <row r="691" spans="4:4" x14ac:dyDescent="0.3">
      <c r="D691" s="71"/>
    </row>
    <row r="692" spans="4:4" x14ac:dyDescent="0.3">
      <c r="D692" s="71"/>
    </row>
    <row r="693" spans="4:4" x14ac:dyDescent="0.3">
      <c r="D693" s="71"/>
    </row>
    <row r="694" spans="4:4" x14ac:dyDescent="0.3">
      <c r="D694" s="71"/>
    </row>
    <row r="695" spans="4:4" x14ac:dyDescent="0.3">
      <c r="D695" s="71"/>
    </row>
    <row r="696" spans="4:4" x14ac:dyDescent="0.3">
      <c r="D696" s="71"/>
    </row>
    <row r="697" spans="4:4" x14ac:dyDescent="0.3">
      <c r="D697" s="71"/>
    </row>
    <row r="698" spans="4:4" x14ac:dyDescent="0.3">
      <c r="D698" s="71"/>
    </row>
    <row r="699" spans="4:4" x14ac:dyDescent="0.3">
      <c r="D699" s="71"/>
    </row>
    <row r="700" spans="4:4" x14ac:dyDescent="0.3">
      <c r="D700" s="71"/>
    </row>
    <row r="701" spans="4:4" x14ac:dyDescent="0.3">
      <c r="D701" s="71"/>
    </row>
    <row r="702" spans="4:4" x14ac:dyDescent="0.3">
      <c r="D702" s="71"/>
    </row>
    <row r="703" spans="4:4" x14ac:dyDescent="0.3">
      <c r="D703" s="71"/>
    </row>
  </sheetData>
  <sheetProtection formatCells="0" formatColumns="0" formatRows="0"/>
  <conditionalFormatting sqref="G33 G67:G68">
    <cfRule type="cellIs" dxfId="35" priority="93" stopIfTrue="1" operator="notEqual">
      <formula>0</formula>
    </cfRule>
  </conditionalFormatting>
  <conditionalFormatting sqref="G34">
    <cfRule type="cellIs" dxfId="34" priority="92" stopIfTrue="1" operator="notEqual">
      <formula>0</formula>
    </cfRule>
  </conditionalFormatting>
  <conditionalFormatting sqref="G53">
    <cfRule type="cellIs" dxfId="33" priority="91" stopIfTrue="1" operator="notEqual">
      <formula>0</formula>
    </cfRule>
  </conditionalFormatting>
  <conditionalFormatting sqref="G66">
    <cfRule type="cellIs" dxfId="32" priority="90" stopIfTrue="1" operator="notEqual">
      <formula>0</formula>
    </cfRule>
  </conditionalFormatting>
  <conditionalFormatting sqref="G88">
    <cfRule type="cellIs" dxfId="31" priority="88" stopIfTrue="1" operator="notEqual">
      <formula>0</formula>
    </cfRule>
  </conditionalFormatting>
  <conditionalFormatting sqref="G106">
    <cfRule type="cellIs" dxfId="30" priority="87" stopIfTrue="1" operator="notEqual">
      <formula>0</formula>
    </cfRule>
  </conditionalFormatting>
  <conditionalFormatting sqref="G119">
    <cfRule type="cellIs" dxfId="29" priority="86" stopIfTrue="1" operator="notEqual">
      <formula>0</formula>
    </cfRule>
  </conditionalFormatting>
  <conditionalFormatting sqref="G120">
    <cfRule type="cellIs" dxfId="28" priority="85" stopIfTrue="1" operator="notEqual">
      <formula>0</formula>
    </cfRule>
  </conditionalFormatting>
  <conditionalFormatting sqref="G135">
    <cfRule type="cellIs" dxfId="27" priority="84" stopIfTrue="1" operator="notEqual">
      <formula>0</formula>
    </cfRule>
  </conditionalFormatting>
  <conditionalFormatting sqref="G136">
    <cfRule type="cellIs" dxfId="26" priority="83" stopIfTrue="1" operator="notEqual">
      <formula>0</formula>
    </cfRule>
  </conditionalFormatting>
  <conditionalFormatting sqref="H195:H197">
    <cfRule type="cellIs" priority="79" stopIfTrue="1" operator="equal">
      <formula>";;;"</formula>
    </cfRule>
  </conditionalFormatting>
  <conditionalFormatting sqref="H195">
    <cfRule type="cellIs" dxfId="25" priority="78" stopIfTrue="1" operator="equal">
      <formula>0</formula>
    </cfRule>
  </conditionalFormatting>
  <conditionalFormatting sqref="H196">
    <cfRule type="cellIs" dxfId="24" priority="77" stopIfTrue="1" operator="equal">
      <formula>0</formula>
    </cfRule>
  </conditionalFormatting>
  <conditionalFormatting sqref="H197">
    <cfRule type="cellIs" dxfId="23" priority="76" stopIfTrue="1" operator="equal">
      <formula>0</formula>
    </cfRule>
  </conditionalFormatting>
  <conditionalFormatting sqref="H197">
    <cfRule type="cellIs" dxfId="22" priority="75" stopIfTrue="1" operator="equal">
      <formula>0</formula>
    </cfRule>
  </conditionalFormatting>
  <conditionalFormatting sqref="H195">
    <cfRule type="cellIs" dxfId="21" priority="74" stopIfTrue="1" operator="equal">
      <formula>0</formula>
    </cfRule>
  </conditionalFormatting>
  <conditionalFormatting sqref="G21">
    <cfRule type="cellIs" dxfId="20" priority="73" stopIfTrue="1" operator="notEqual">
      <formula>0</formula>
    </cfRule>
  </conditionalFormatting>
  <conditionalFormatting sqref="G7">
    <cfRule type="containsText" dxfId="19" priority="71" stopIfTrue="1" operator="containsText" text="Included in error count">
      <formula>NOT(ISERROR(SEARCH("Included in error count",G7)))</formula>
    </cfRule>
    <cfRule type="cellIs" dxfId="18" priority="72" stopIfTrue="1" operator="equal">
      <formula>1</formula>
    </cfRule>
  </conditionalFormatting>
  <conditionalFormatting sqref="G44">
    <cfRule type="containsText" dxfId="17" priority="69" stopIfTrue="1" operator="containsText" text="Included in error count">
      <formula>NOT(ISERROR(SEARCH("Included in error count",G44)))</formula>
    </cfRule>
    <cfRule type="cellIs" dxfId="16" priority="70" stopIfTrue="1" operator="equal">
      <formula>1</formula>
    </cfRule>
  </conditionalFormatting>
  <conditionalFormatting sqref="G75:G76">
    <cfRule type="containsText" dxfId="15" priority="67" stopIfTrue="1" operator="containsText" text="Included in error count">
      <formula>NOT(ISERROR(SEARCH("Included in error count",G75)))</formula>
    </cfRule>
    <cfRule type="cellIs" dxfId="14" priority="68" stopIfTrue="1" operator="equal">
      <formula>1</formula>
    </cfRule>
  </conditionalFormatting>
  <conditionalFormatting sqref="G77">
    <cfRule type="containsText" dxfId="13" priority="65" stopIfTrue="1" operator="containsText" text="Included in error count">
      <formula>NOT(ISERROR(SEARCH("Included in error count",G77)))</formula>
    </cfRule>
    <cfRule type="cellIs" dxfId="12" priority="66" stopIfTrue="1" operator="equal">
      <formula>1</formula>
    </cfRule>
  </conditionalFormatting>
  <conditionalFormatting sqref="G86">
    <cfRule type="containsText" dxfId="11" priority="61" stopIfTrue="1" operator="containsText" text="Included in error count">
      <formula>NOT(ISERROR(SEARCH("Included in error count",G86)))</formula>
    </cfRule>
    <cfRule type="cellIs" dxfId="10" priority="62" stopIfTrue="1" operator="equal">
      <formula>1</formula>
    </cfRule>
  </conditionalFormatting>
  <conditionalFormatting sqref="G108">
    <cfRule type="containsText" dxfId="9" priority="57" stopIfTrue="1" operator="containsText" text="Included in error count">
      <formula>NOT(ISERROR(SEARCH("Included in error count",G108)))</formula>
    </cfRule>
    <cfRule type="cellIs" dxfId="8" priority="58" stopIfTrue="1" operator="equal">
      <formula>1</formula>
    </cfRule>
  </conditionalFormatting>
  <conditionalFormatting sqref="G195">
    <cfRule type="containsText" dxfId="7" priority="46" stopIfTrue="1" operator="containsText" text="Included in error count">
      <formula>NOT(ISERROR(SEARCH("Included in error count",G195)))</formula>
    </cfRule>
    <cfRule type="cellIs" dxfId="6" priority="47" stopIfTrue="1" operator="equal">
      <formula>1</formula>
    </cfRule>
  </conditionalFormatting>
  <conditionalFormatting sqref="G196">
    <cfRule type="containsText" dxfId="5" priority="44" stopIfTrue="1" operator="containsText" text="Included in error count">
      <formula>NOT(ISERROR(SEARCH("Included in error count",G196)))</formula>
    </cfRule>
    <cfRule type="cellIs" dxfId="4" priority="45" stopIfTrue="1" operator="equal">
      <formula>1</formula>
    </cfRule>
  </conditionalFormatting>
  <conditionalFormatting sqref="G197">
    <cfRule type="containsText" dxfId="3" priority="42" stopIfTrue="1" operator="containsText" text="Included in error count">
      <formula>NOT(ISERROR(SEARCH("Included in error count",G197)))</formula>
    </cfRule>
    <cfRule type="cellIs" dxfId="2" priority="43" stopIfTrue="1" operator="equal">
      <formula>1</formula>
    </cfRule>
  </conditionalFormatting>
  <conditionalFormatting sqref="G124">
    <cfRule type="containsText" dxfId="1" priority="40" stopIfTrue="1" operator="containsText" text="Included in error count">
      <formula>NOT(ISERROR(SEARCH("Included in error count",G124)))</formula>
    </cfRule>
    <cfRule type="cellIs" dxfId="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DA341"/>
  <sheetViews>
    <sheetView workbookViewId="0">
      <pane xSplit="3" ySplit="1" topLeftCell="D2" activePane="bottomRight" state="frozen"/>
      <selection pane="topRight" activeCell="D1" sqref="D1"/>
      <selection pane="bottomLeft" activeCell="A2" sqref="A2"/>
      <selection pane="bottomRight" activeCell="C60" sqref="C60"/>
    </sheetView>
  </sheetViews>
  <sheetFormatPr defaultRowHeight="14.4" x14ac:dyDescent="0.3"/>
  <cols>
    <col min="1" max="1" width="8.88671875" style="754"/>
    <col min="2" max="2" width="53.44140625" style="149" customWidth="1"/>
    <col min="3" max="3" width="37.33203125" customWidth="1"/>
    <col min="4" max="4" width="20" customWidth="1"/>
    <col min="5" max="98" width="20.6640625" customWidth="1"/>
  </cols>
  <sheetData>
    <row r="1" spans="1:51" x14ac:dyDescent="0.3">
      <c r="A1" s="754" t="s">
        <v>327</v>
      </c>
      <c r="B1" t="s">
        <v>327</v>
      </c>
      <c r="C1" t="s">
        <v>327</v>
      </c>
      <c r="D1" t="s">
        <v>1051</v>
      </c>
      <c r="E1" t="s">
        <v>1052</v>
      </c>
      <c r="F1" t="s">
        <v>1053</v>
      </c>
      <c r="G1" t="s">
        <v>1054</v>
      </c>
      <c r="H1" t="s">
        <v>1055</v>
      </c>
      <c r="I1" t="s">
        <v>1056</v>
      </c>
      <c r="J1" t="s">
        <v>1057</v>
      </c>
      <c r="K1" t="s">
        <v>1058</v>
      </c>
      <c r="L1" t="s">
        <v>460</v>
      </c>
      <c r="M1" t="s">
        <v>1059</v>
      </c>
      <c r="N1" t="s">
        <v>1060</v>
      </c>
      <c r="O1" t="s">
        <v>472</v>
      </c>
      <c r="P1" t="s">
        <v>1061</v>
      </c>
      <c r="Q1" t="s">
        <v>1062</v>
      </c>
      <c r="R1" t="s">
        <v>1063</v>
      </c>
      <c r="S1" t="s">
        <v>477</v>
      </c>
      <c r="T1" t="s">
        <v>1064</v>
      </c>
      <c r="U1" t="s">
        <v>1065</v>
      </c>
      <c r="V1" t="s">
        <v>1066</v>
      </c>
      <c r="W1" t="s">
        <v>1067</v>
      </c>
      <c r="X1" t="s">
        <v>1068</v>
      </c>
      <c r="Y1" t="s">
        <v>1069</v>
      </c>
      <c r="Z1" t="s">
        <v>793</v>
      </c>
      <c r="AA1" t="s">
        <v>1070</v>
      </c>
      <c r="AB1" t="s">
        <v>1071</v>
      </c>
      <c r="AC1" t="s">
        <v>1072</v>
      </c>
      <c r="AD1" t="s">
        <v>1073</v>
      </c>
      <c r="AE1" t="s">
        <v>794</v>
      </c>
      <c r="AF1" t="s">
        <v>1074</v>
      </c>
      <c r="AG1" t="s">
        <v>1075</v>
      </c>
      <c r="AH1" t="s">
        <v>1076</v>
      </c>
      <c r="AI1" t="s">
        <v>1077</v>
      </c>
      <c r="AJ1" t="s">
        <v>1078</v>
      </c>
      <c r="AK1" t="s">
        <v>1079</v>
      </c>
      <c r="AL1" t="s">
        <v>1080</v>
      </c>
      <c r="AM1" t="s">
        <v>1081</v>
      </c>
      <c r="AN1" t="s">
        <v>1082</v>
      </c>
      <c r="AO1" t="s">
        <v>1083</v>
      </c>
      <c r="AP1" t="s">
        <v>1084</v>
      </c>
      <c r="AQ1" t="s">
        <v>1085</v>
      </c>
      <c r="AR1" t="s">
        <v>1086</v>
      </c>
      <c r="AS1" t="s">
        <v>795</v>
      </c>
      <c r="AT1" t="s">
        <v>1087</v>
      </c>
      <c r="AU1" t="s">
        <v>1088</v>
      </c>
      <c r="AV1" t="s">
        <v>1089</v>
      </c>
      <c r="AW1" t="s">
        <v>1090</v>
      </c>
      <c r="AX1" t="s">
        <v>1091</v>
      </c>
      <c r="AY1" t="s">
        <v>1092</v>
      </c>
    </row>
    <row r="2" spans="1:51" x14ac:dyDescent="0.3">
      <c r="A2" s="754" t="s">
        <v>821</v>
      </c>
      <c r="B2" t="s">
        <v>41</v>
      </c>
      <c r="C2" t="s">
        <v>13</v>
      </c>
      <c r="D2">
        <v>591706</v>
      </c>
      <c r="E2">
        <v>591600</v>
      </c>
      <c r="F2">
        <v>592152</v>
      </c>
      <c r="G2">
        <v>591612</v>
      </c>
      <c r="H2">
        <v>591752</v>
      </c>
      <c r="I2">
        <v>591715</v>
      </c>
      <c r="J2">
        <v>592388</v>
      </c>
      <c r="K2">
        <v>591603</v>
      </c>
      <c r="L2">
        <v>591604</v>
      </c>
      <c r="M2">
        <v>591721</v>
      </c>
      <c r="N2">
        <v>591605</v>
      </c>
      <c r="O2">
        <v>591632</v>
      </c>
      <c r="P2">
        <v>594150</v>
      </c>
      <c r="Q2">
        <v>591606</v>
      </c>
      <c r="R2">
        <v>592181</v>
      </c>
      <c r="S2">
        <v>591607</v>
      </c>
      <c r="T2">
        <v>591608</v>
      </c>
      <c r="U2">
        <v>591737</v>
      </c>
      <c r="V2">
        <v>591609</v>
      </c>
      <c r="W2">
        <v>591610</v>
      </c>
      <c r="X2">
        <v>591611</v>
      </c>
      <c r="Y2">
        <v>591749</v>
      </c>
      <c r="Z2">
        <v>591613</v>
      </c>
      <c r="AA2">
        <v>592396</v>
      </c>
      <c r="AB2">
        <v>591614</v>
      </c>
      <c r="AC2">
        <v>592180</v>
      </c>
      <c r="AD2">
        <v>591615</v>
      </c>
      <c r="AE2">
        <v>591616</v>
      </c>
      <c r="AF2">
        <v>592158</v>
      </c>
      <c r="AG2">
        <v>591759</v>
      </c>
      <c r="AH2">
        <v>591762</v>
      </c>
      <c r="AI2">
        <v>591619</v>
      </c>
      <c r="AJ2">
        <v>591770</v>
      </c>
      <c r="AK2">
        <v>591620</v>
      </c>
      <c r="AL2">
        <v>592357</v>
      </c>
      <c r="AM2">
        <v>59713</v>
      </c>
      <c r="AN2">
        <v>591622</v>
      </c>
      <c r="AO2">
        <v>591623</v>
      </c>
      <c r="AP2">
        <v>591624</v>
      </c>
      <c r="AQ2">
        <v>592368</v>
      </c>
      <c r="AR2">
        <v>592155</v>
      </c>
      <c r="AS2">
        <v>591633</v>
      </c>
      <c r="AT2">
        <v>591768</v>
      </c>
      <c r="AU2">
        <v>591634</v>
      </c>
      <c r="AV2">
        <v>591627</v>
      </c>
      <c r="AW2">
        <v>591628</v>
      </c>
      <c r="AX2">
        <v>591629</v>
      </c>
      <c r="AY2">
        <v>591636</v>
      </c>
    </row>
    <row r="3" spans="1:51" x14ac:dyDescent="0.3">
      <c r="A3" s="754">
        <v>4</v>
      </c>
      <c r="B3" t="s">
        <v>89</v>
      </c>
      <c r="D3">
        <v>0</v>
      </c>
      <c r="E3">
        <v>0</v>
      </c>
      <c r="F3">
        <v>0</v>
      </c>
      <c r="G3">
        <v>0</v>
      </c>
      <c r="H3">
        <v>0</v>
      </c>
      <c r="I3">
        <v>0</v>
      </c>
      <c r="J3">
        <v>0</v>
      </c>
      <c r="K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T3">
        <v>0</v>
      </c>
      <c r="AU3">
        <v>0</v>
      </c>
      <c r="AW3">
        <v>0</v>
      </c>
      <c r="AX3">
        <v>0</v>
      </c>
      <c r="AY3">
        <v>0</v>
      </c>
    </row>
    <row r="4" spans="1:51" x14ac:dyDescent="0.3">
      <c r="A4" s="754">
        <v>5</v>
      </c>
      <c r="B4" t="s">
        <v>90</v>
      </c>
      <c r="D4">
        <v>0</v>
      </c>
      <c r="E4">
        <v>0</v>
      </c>
      <c r="F4">
        <v>0</v>
      </c>
      <c r="G4">
        <v>0</v>
      </c>
      <c r="H4">
        <v>0</v>
      </c>
      <c r="I4">
        <v>0</v>
      </c>
      <c r="J4">
        <v>0</v>
      </c>
      <c r="K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T4">
        <v>0</v>
      </c>
      <c r="AU4">
        <v>0</v>
      </c>
      <c r="AW4">
        <v>0</v>
      </c>
      <c r="AX4">
        <v>0</v>
      </c>
      <c r="AY4">
        <v>0</v>
      </c>
    </row>
    <row r="5" spans="1:51" x14ac:dyDescent="0.3">
      <c r="A5" s="754">
        <v>6</v>
      </c>
      <c r="B5" t="s">
        <v>227</v>
      </c>
      <c r="D5">
        <v>0</v>
      </c>
      <c r="E5">
        <v>0</v>
      </c>
      <c r="F5">
        <v>0</v>
      </c>
      <c r="G5">
        <v>0</v>
      </c>
      <c r="H5">
        <v>0</v>
      </c>
      <c r="I5">
        <v>0</v>
      </c>
      <c r="J5">
        <v>0</v>
      </c>
      <c r="K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T5">
        <v>0</v>
      </c>
      <c r="AU5">
        <v>0</v>
      </c>
      <c r="AW5">
        <v>0</v>
      </c>
      <c r="AX5">
        <v>0</v>
      </c>
      <c r="AY5">
        <v>0</v>
      </c>
    </row>
    <row r="6" spans="1:51" x14ac:dyDescent="0.3">
      <c r="A6" s="754">
        <v>7</v>
      </c>
      <c r="B6" t="s">
        <v>169</v>
      </c>
      <c r="D6">
        <v>0</v>
      </c>
      <c r="E6">
        <v>0</v>
      </c>
      <c r="F6">
        <v>0</v>
      </c>
      <c r="G6">
        <v>0</v>
      </c>
      <c r="H6">
        <v>0</v>
      </c>
      <c r="I6">
        <v>0</v>
      </c>
      <c r="J6">
        <v>0</v>
      </c>
      <c r="K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T6">
        <v>0</v>
      </c>
      <c r="AU6">
        <v>0</v>
      </c>
      <c r="AW6">
        <v>0</v>
      </c>
      <c r="AX6">
        <v>0</v>
      </c>
      <c r="AY6">
        <v>0</v>
      </c>
    </row>
    <row r="7" spans="1:51" x14ac:dyDescent="0.3">
      <c r="A7" s="754">
        <v>9</v>
      </c>
      <c r="B7" t="s">
        <v>171</v>
      </c>
      <c r="D7">
        <v>0</v>
      </c>
      <c r="E7">
        <v>0</v>
      </c>
      <c r="F7">
        <v>0</v>
      </c>
      <c r="G7">
        <v>0</v>
      </c>
      <c r="H7">
        <v>0</v>
      </c>
      <c r="I7">
        <v>0</v>
      </c>
      <c r="J7">
        <v>0</v>
      </c>
      <c r="K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T7">
        <v>0</v>
      </c>
      <c r="AU7">
        <v>0</v>
      </c>
      <c r="AW7">
        <v>0</v>
      </c>
      <c r="AX7">
        <v>0</v>
      </c>
      <c r="AY7">
        <v>0</v>
      </c>
    </row>
    <row r="8" spans="1:51" x14ac:dyDescent="0.3">
      <c r="A8" s="754">
        <v>16</v>
      </c>
      <c r="B8" t="s">
        <v>173</v>
      </c>
      <c r="D8">
        <v>0</v>
      </c>
      <c r="E8">
        <v>0</v>
      </c>
      <c r="F8">
        <v>0</v>
      </c>
      <c r="G8">
        <v>0</v>
      </c>
      <c r="H8">
        <v>0</v>
      </c>
      <c r="I8">
        <v>0</v>
      </c>
      <c r="J8">
        <v>0</v>
      </c>
      <c r="K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T8">
        <v>0</v>
      </c>
      <c r="AU8">
        <v>0</v>
      </c>
      <c r="AW8">
        <v>0</v>
      </c>
      <c r="AX8">
        <v>0</v>
      </c>
      <c r="AY8">
        <v>0</v>
      </c>
    </row>
    <row r="9" spans="1:51" x14ac:dyDescent="0.3">
      <c r="A9" s="754">
        <v>17</v>
      </c>
      <c r="B9" t="s">
        <v>176</v>
      </c>
      <c r="D9">
        <v>0</v>
      </c>
      <c r="E9">
        <v>0</v>
      </c>
      <c r="F9">
        <v>0</v>
      </c>
      <c r="G9">
        <v>0</v>
      </c>
      <c r="H9">
        <v>0</v>
      </c>
      <c r="I9">
        <v>0</v>
      </c>
      <c r="J9">
        <v>0</v>
      </c>
      <c r="K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T9">
        <v>0</v>
      </c>
      <c r="AU9">
        <v>0</v>
      </c>
      <c r="AW9">
        <v>0</v>
      </c>
      <c r="AX9">
        <v>0</v>
      </c>
      <c r="AY9">
        <v>0</v>
      </c>
    </row>
    <row r="10" spans="1:51" x14ac:dyDescent="0.3">
      <c r="A10" s="754">
        <v>20</v>
      </c>
      <c r="B10" t="s">
        <v>177</v>
      </c>
      <c r="D10">
        <v>0</v>
      </c>
      <c r="E10">
        <v>0</v>
      </c>
      <c r="F10">
        <v>0</v>
      </c>
      <c r="G10">
        <v>0</v>
      </c>
      <c r="H10">
        <v>0</v>
      </c>
      <c r="I10">
        <v>0</v>
      </c>
      <c r="J10">
        <v>0</v>
      </c>
      <c r="K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T10">
        <v>0</v>
      </c>
      <c r="AU10">
        <v>0</v>
      </c>
      <c r="AW10">
        <v>0</v>
      </c>
      <c r="AX10">
        <v>0</v>
      </c>
      <c r="AY10">
        <v>0</v>
      </c>
    </row>
    <row r="11" spans="1:51" x14ac:dyDescent="0.3">
      <c r="A11" s="754">
        <v>22</v>
      </c>
      <c r="B11" t="s">
        <v>179</v>
      </c>
      <c r="D11">
        <v>0</v>
      </c>
      <c r="E11">
        <v>0</v>
      </c>
      <c r="F11">
        <v>0</v>
      </c>
      <c r="G11">
        <v>0</v>
      </c>
      <c r="H11">
        <v>0</v>
      </c>
      <c r="I11">
        <v>0</v>
      </c>
      <c r="J11">
        <v>0</v>
      </c>
      <c r="K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T11">
        <v>0</v>
      </c>
      <c r="AU11">
        <v>0</v>
      </c>
      <c r="AW11">
        <v>0</v>
      </c>
      <c r="AX11">
        <v>0</v>
      </c>
      <c r="AY11">
        <v>0</v>
      </c>
    </row>
    <row r="12" spans="1:51" x14ac:dyDescent="0.3">
      <c r="A12" s="754">
        <v>23</v>
      </c>
      <c r="B12" t="s">
        <v>182</v>
      </c>
      <c r="D12">
        <v>0</v>
      </c>
      <c r="E12">
        <v>0</v>
      </c>
      <c r="F12">
        <v>0</v>
      </c>
      <c r="G12">
        <v>0</v>
      </c>
      <c r="H12">
        <v>0</v>
      </c>
      <c r="I12">
        <v>0</v>
      </c>
      <c r="J12">
        <v>0</v>
      </c>
      <c r="K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T12">
        <v>0</v>
      </c>
      <c r="AU12">
        <v>0</v>
      </c>
      <c r="AW12">
        <v>0</v>
      </c>
      <c r="AX12">
        <v>0</v>
      </c>
      <c r="AY12">
        <v>0</v>
      </c>
    </row>
    <row r="13" spans="1:51" x14ac:dyDescent="0.3">
      <c r="A13" s="754">
        <v>44</v>
      </c>
      <c r="B13" t="s">
        <v>834</v>
      </c>
      <c r="D13">
        <v>1888566</v>
      </c>
      <c r="E13">
        <v>8205217</v>
      </c>
      <c r="F13">
        <v>9404893</v>
      </c>
      <c r="G13">
        <v>52257504</v>
      </c>
      <c r="H13">
        <v>84504521</v>
      </c>
      <c r="I13">
        <v>47216686</v>
      </c>
      <c r="J13">
        <v>64868468</v>
      </c>
      <c r="K13">
        <v>17457169</v>
      </c>
      <c r="M13">
        <v>3040891</v>
      </c>
      <c r="N13">
        <v>7749876</v>
      </c>
      <c r="O13">
        <v>70315</v>
      </c>
      <c r="P13">
        <v>63177510</v>
      </c>
      <c r="Q13">
        <v>1774007</v>
      </c>
      <c r="R13">
        <v>859030</v>
      </c>
      <c r="S13">
        <v>7868873</v>
      </c>
      <c r="T13">
        <v>941375</v>
      </c>
      <c r="U13">
        <v>30498260</v>
      </c>
      <c r="V13">
        <v>4137228</v>
      </c>
      <c r="W13">
        <v>791868</v>
      </c>
      <c r="X13">
        <v>3917701</v>
      </c>
      <c r="Y13">
        <v>4019986</v>
      </c>
      <c r="Z13">
        <v>1833205</v>
      </c>
      <c r="AA13">
        <v>1436760</v>
      </c>
      <c r="AB13">
        <v>1307701</v>
      </c>
      <c r="AC13">
        <v>7794080</v>
      </c>
      <c r="AD13">
        <v>3695916</v>
      </c>
      <c r="AE13">
        <v>743828</v>
      </c>
      <c r="AF13">
        <v>51617255</v>
      </c>
      <c r="AG13">
        <v>31479400</v>
      </c>
      <c r="AH13">
        <v>15940761</v>
      </c>
      <c r="AI13">
        <v>14955753</v>
      </c>
      <c r="AJ13">
        <v>543185</v>
      </c>
      <c r="AK13">
        <v>1210392</v>
      </c>
      <c r="AL13">
        <v>28087027</v>
      </c>
      <c r="AM13">
        <v>3980552</v>
      </c>
      <c r="AN13">
        <v>9524039</v>
      </c>
      <c r="AO13">
        <v>2714284</v>
      </c>
      <c r="AP13">
        <v>2636462</v>
      </c>
      <c r="AQ13">
        <v>1303303</v>
      </c>
      <c r="AR13">
        <v>398156</v>
      </c>
      <c r="AT13">
        <v>16769534</v>
      </c>
      <c r="AU13">
        <v>0</v>
      </c>
      <c r="AW13">
        <v>45373</v>
      </c>
      <c r="AX13">
        <v>3720182</v>
      </c>
      <c r="AY13">
        <v>2830956</v>
      </c>
    </row>
    <row r="14" spans="1:51" x14ac:dyDescent="0.3">
      <c r="A14" s="754">
        <v>45</v>
      </c>
      <c r="B14" t="s">
        <v>835</v>
      </c>
      <c r="D14">
        <v>307619</v>
      </c>
      <c r="E14">
        <v>348357</v>
      </c>
      <c r="F14">
        <v>2871987</v>
      </c>
      <c r="G14">
        <v>6831562</v>
      </c>
      <c r="H14">
        <v>5030955</v>
      </c>
      <c r="I14">
        <v>4737586</v>
      </c>
      <c r="J14">
        <v>34000882</v>
      </c>
      <c r="K14">
        <v>2066129</v>
      </c>
      <c r="M14">
        <v>2080952</v>
      </c>
      <c r="N14">
        <v>566874</v>
      </c>
      <c r="O14">
        <v>42416</v>
      </c>
      <c r="P14">
        <v>31710274</v>
      </c>
      <c r="Q14">
        <v>111352</v>
      </c>
      <c r="R14">
        <v>821072</v>
      </c>
      <c r="S14">
        <v>415812</v>
      </c>
      <c r="T14">
        <v>20311</v>
      </c>
      <c r="U14">
        <v>7785213</v>
      </c>
      <c r="V14">
        <v>1008169</v>
      </c>
      <c r="W14">
        <v>19882</v>
      </c>
      <c r="X14">
        <v>973941</v>
      </c>
      <c r="Y14">
        <v>1696564</v>
      </c>
      <c r="Z14">
        <v>326792</v>
      </c>
      <c r="AA14">
        <v>331303</v>
      </c>
      <c r="AB14">
        <v>16333</v>
      </c>
      <c r="AC14">
        <v>3049260</v>
      </c>
      <c r="AD14">
        <v>226353</v>
      </c>
      <c r="AE14">
        <v>207982</v>
      </c>
      <c r="AF14">
        <v>9999363</v>
      </c>
      <c r="AG14">
        <v>10402157</v>
      </c>
      <c r="AH14">
        <v>2279285</v>
      </c>
      <c r="AI14">
        <v>1260585</v>
      </c>
      <c r="AJ14">
        <v>44218</v>
      </c>
      <c r="AK14">
        <v>27170</v>
      </c>
      <c r="AL14">
        <v>3820761</v>
      </c>
      <c r="AM14">
        <v>197343</v>
      </c>
      <c r="AN14">
        <v>548118</v>
      </c>
      <c r="AO14">
        <v>79672</v>
      </c>
      <c r="AP14">
        <v>126053</v>
      </c>
      <c r="AQ14">
        <v>187582</v>
      </c>
      <c r="AR14">
        <v>2409</v>
      </c>
      <c r="AT14">
        <v>691032</v>
      </c>
      <c r="AU14">
        <v>0</v>
      </c>
      <c r="AW14">
        <v>1437</v>
      </c>
      <c r="AX14">
        <v>298216</v>
      </c>
      <c r="AY14">
        <v>680944</v>
      </c>
    </row>
    <row r="15" spans="1:51" x14ac:dyDescent="0.3">
      <c r="A15" s="754">
        <v>47</v>
      </c>
      <c r="B15" t="s">
        <v>836</v>
      </c>
      <c r="D15">
        <v>0</v>
      </c>
      <c r="E15">
        <v>0</v>
      </c>
      <c r="F15">
        <v>0</v>
      </c>
      <c r="G15">
        <v>0</v>
      </c>
      <c r="H15">
        <v>0</v>
      </c>
      <c r="I15">
        <v>0</v>
      </c>
      <c r="J15">
        <v>0</v>
      </c>
      <c r="K15">
        <v>0</v>
      </c>
      <c r="M15">
        <v>0</v>
      </c>
      <c r="N15">
        <v>0</v>
      </c>
      <c r="O15">
        <v>0</v>
      </c>
      <c r="P15">
        <v>135868026</v>
      </c>
      <c r="Q15">
        <v>0</v>
      </c>
      <c r="R15">
        <v>0</v>
      </c>
      <c r="S15">
        <v>0</v>
      </c>
      <c r="T15">
        <v>0</v>
      </c>
      <c r="U15">
        <v>69493165</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T15">
        <v>0</v>
      </c>
      <c r="AU15">
        <v>0</v>
      </c>
      <c r="AW15">
        <v>0</v>
      </c>
      <c r="AX15">
        <v>0</v>
      </c>
      <c r="AY15">
        <v>0</v>
      </c>
    </row>
    <row r="16" spans="1:51" x14ac:dyDescent="0.3">
      <c r="A16" s="754">
        <v>48</v>
      </c>
      <c r="B16" t="s">
        <v>93</v>
      </c>
      <c r="D16">
        <v>0</v>
      </c>
      <c r="E16">
        <v>0</v>
      </c>
      <c r="F16">
        <v>0</v>
      </c>
      <c r="G16">
        <v>0</v>
      </c>
      <c r="H16">
        <v>0</v>
      </c>
      <c r="I16">
        <v>0</v>
      </c>
      <c r="J16">
        <v>0</v>
      </c>
      <c r="K16">
        <v>0</v>
      </c>
      <c r="M16">
        <v>0</v>
      </c>
      <c r="N16">
        <v>0</v>
      </c>
      <c r="O16">
        <v>0</v>
      </c>
      <c r="P16">
        <v>13778572</v>
      </c>
      <c r="Q16">
        <v>0</v>
      </c>
      <c r="R16">
        <v>0</v>
      </c>
      <c r="S16">
        <v>0</v>
      </c>
      <c r="T16">
        <v>0</v>
      </c>
      <c r="U16">
        <v>17031760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T16">
        <v>0</v>
      </c>
      <c r="AU16">
        <v>0</v>
      </c>
      <c r="AW16">
        <v>0</v>
      </c>
      <c r="AX16">
        <v>0</v>
      </c>
      <c r="AY16">
        <v>0</v>
      </c>
    </row>
    <row r="17" spans="1:51" x14ac:dyDescent="0.3">
      <c r="A17" s="754">
        <v>49</v>
      </c>
      <c r="B17" t="s">
        <v>195</v>
      </c>
      <c r="D17">
        <v>646184</v>
      </c>
      <c r="E17">
        <v>714497</v>
      </c>
      <c r="F17">
        <v>2027904</v>
      </c>
      <c r="G17">
        <v>4222270</v>
      </c>
      <c r="H17">
        <v>12339044</v>
      </c>
      <c r="I17">
        <v>7197452</v>
      </c>
      <c r="J17">
        <v>27657676</v>
      </c>
      <c r="K17">
        <v>1549771</v>
      </c>
      <c r="M17">
        <v>873583</v>
      </c>
      <c r="N17">
        <v>1008963</v>
      </c>
      <c r="O17">
        <v>103432</v>
      </c>
      <c r="P17">
        <v>29927334</v>
      </c>
      <c r="Q17">
        <v>232266</v>
      </c>
      <c r="R17">
        <v>164316</v>
      </c>
      <c r="S17">
        <v>882371</v>
      </c>
      <c r="T17">
        <v>115771</v>
      </c>
      <c r="U17">
        <v>12365977</v>
      </c>
      <c r="V17">
        <v>644845</v>
      </c>
      <c r="W17">
        <v>126103</v>
      </c>
      <c r="X17">
        <v>488401</v>
      </c>
      <c r="Y17">
        <v>1727437</v>
      </c>
      <c r="Z17">
        <v>37191</v>
      </c>
      <c r="AA17">
        <v>1074092</v>
      </c>
      <c r="AB17">
        <v>88547</v>
      </c>
      <c r="AC17">
        <v>3485700</v>
      </c>
      <c r="AD17">
        <v>379122</v>
      </c>
      <c r="AE17">
        <v>240781</v>
      </c>
      <c r="AF17">
        <v>6401746</v>
      </c>
      <c r="AG17">
        <v>11336214</v>
      </c>
      <c r="AH17">
        <v>3351783</v>
      </c>
      <c r="AI17">
        <v>2311819</v>
      </c>
      <c r="AJ17">
        <v>173276</v>
      </c>
      <c r="AK17">
        <v>52603</v>
      </c>
      <c r="AL17">
        <v>1995764</v>
      </c>
      <c r="AM17">
        <v>529294</v>
      </c>
      <c r="AN17">
        <v>893144</v>
      </c>
      <c r="AO17">
        <v>217406</v>
      </c>
      <c r="AP17">
        <v>225949</v>
      </c>
      <c r="AQ17">
        <v>321208</v>
      </c>
      <c r="AR17">
        <v>31601</v>
      </c>
      <c r="AT17">
        <v>1583192</v>
      </c>
      <c r="AU17">
        <v>55622</v>
      </c>
      <c r="AW17">
        <v>5713</v>
      </c>
      <c r="AX17">
        <v>309582</v>
      </c>
      <c r="AY17">
        <v>972111</v>
      </c>
    </row>
    <row r="18" spans="1:51" x14ac:dyDescent="0.3">
      <c r="A18" s="754">
        <v>50</v>
      </c>
      <c r="B18" t="s">
        <v>71</v>
      </c>
      <c r="D18">
        <v>-158611</v>
      </c>
      <c r="E18">
        <v>1211876</v>
      </c>
      <c r="F18">
        <v>2251004</v>
      </c>
      <c r="G18">
        <v>14857384</v>
      </c>
      <c r="H18">
        <v>20319658</v>
      </c>
      <c r="I18">
        <v>13399137</v>
      </c>
      <c r="J18">
        <v>12827360</v>
      </c>
      <c r="K18">
        <v>2450613</v>
      </c>
      <c r="M18">
        <v>538771</v>
      </c>
      <c r="N18">
        <v>564722</v>
      </c>
      <c r="O18">
        <v>-83579</v>
      </c>
      <c r="P18">
        <v>29659957</v>
      </c>
      <c r="Q18">
        <v>178575</v>
      </c>
      <c r="R18">
        <v>-86690</v>
      </c>
      <c r="S18">
        <v>1009566</v>
      </c>
      <c r="T18">
        <v>111981</v>
      </c>
      <c r="U18">
        <v>22965527</v>
      </c>
      <c r="V18">
        <v>610377</v>
      </c>
      <c r="W18">
        <v>93486</v>
      </c>
      <c r="X18">
        <v>111256</v>
      </c>
      <c r="Y18">
        <v>1295506</v>
      </c>
      <c r="Z18">
        <v>346972</v>
      </c>
      <c r="AA18">
        <v>-709223</v>
      </c>
      <c r="AB18">
        <v>27340</v>
      </c>
      <c r="AC18">
        <v>518619</v>
      </c>
      <c r="AD18">
        <v>491512</v>
      </c>
      <c r="AE18">
        <v>-90822</v>
      </c>
      <c r="AF18">
        <v>14212755</v>
      </c>
      <c r="AG18">
        <v>3970705</v>
      </c>
      <c r="AH18">
        <v>442849</v>
      </c>
      <c r="AI18">
        <v>1223373</v>
      </c>
      <c r="AJ18">
        <v>-82591</v>
      </c>
      <c r="AK18">
        <v>17207</v>
      </c>
      <c r="AL18">
        <v>4896324</v>
      </c>
      <c r="AM18">
        <v>22121</v>
      </c>
      <c r="AN18">
        <v>765142</v>
      </c>
      <c r="AO18">
        <v>357629</v>
      </c>
      <c r="AP18">
        <v>169487</v>
      </c>
      <c r="AQ18">
        <v>66472</v>
      </c>
      <c r="AR18">
        <v>35570</v>
      </c>
      <c r="AT18">
        <v>1511569</v>
      </c>
      <c r="AU18">
        <v>-55622</v>
      </c>
      <c r="AW18">
        <v>-475</v>
      </c>
      <c r="AX18">
        <v>12364</v>
      </c>
      <c r="AY18">
        <v>1815075</v>
      </c>
    </row>
    <row r="19" spans="1:51" x14ac:dyDescent="0.3">
      <c r="A19" s="754">
        <v>51</v>
      </c>
      <c r="B19" t="s">
        <v>213</v>
      </c>
      <c r="D19">
        <v>-16167</v>
      </c>
      <c r="E19">
        <v>1384306</v>
      </c>
      <c r="F19">
        <v>4242860</v>
      </c>
      <c r="G19">
        <v>18098894</v>
      </c>
      <c r="H19">
        <v>31248752</v>
      </c>
      <c r="I19">
        <v>4294373</v>
      </c>
      <c r="J19">
        <v>43695142</v>
      </c>
      <c r="K19">
        <v>643048</v>
      </c>
      <c r="M19">
        <v>790559</v>
      </c>
      <c r="N19">
        <v>1654118</v>
      </c>
      <c r="O19">
        <v>6238</v>
      </c>
      <c r="P19">
        <v>52075247</v>
      </c>
      <c r="Q19">
        <v>345937</v>
      </c>
      <c r="R19">
        <v>133243</v>
      </c>
      <c r="S19">
        <v>0</v>
      </c>
      <c r="T19">
        <v>-23791</v>
      </c>
      <c r="U19">
        <v>16328928</v>
      </c>
      <c r="V19">
        <v>1335137</v>
      </c>
      <c r="W19">
        <v>207555</v>
      </c>
      <c r="X19">
        <v>117482</v>
      </c>
      <c r="Y19">
        <v>3285414</v>
      </c>
      <c r="Z19">
        <v>645004</v>
      </c>
      <c r="AA19">
        <v>937813</v>
      </c>
      <c r="AB19">
        <v>110682</v>
      </c>
      <c r="AC19">
        <v>6426130</v>
      </c>
      <c r="AD19">
        <v>532966</v>
      </c>
      <c r="AE19">
        <v>289573</v>
      </c>
      <c r="AF19">
        <v>9839813</v>
      </c>
      <c r="AG19">
        <v>15701578</v>
      </c>
      <c r="AH19">
        <v>4149401</v>
      </c>
      <c r="AI19">
        <v>3326125</v>
      </c>
      <c r="AJ19">
        <v>122173</v>
      </c>
      <c r="AK19">
        <v>-98997</v>
      </c>
      <c r="AL19">
        <v>6116703</v>
      </c>
      <c r="AM19">
        <v>702578</v>
      </c>
      <c r="AN19">
        <v>1628778</v>
      </c>
      <c r="AO19">
        <v>545700</v>
      </c>
      <c r="AP19">
        <v>336596</v>
      </c>
      <c r="AQ19">
        <v>601610</v>
      </c>
      <c r="AR19">
        <v>62511</v>
      </c>
      <c r="AT19">
        <v>2235900</v>
      </c>
      <c r="AU19">
        <v>0</v>
      </c>
      <c r="AW19">
        <v>4365</v>
      </c>
      <c r="AX19">
        <v>133090</v>
      </c>
      <c r="AY19">
        <v>1387114</v>
      </c>
    </row>
    <row r="20" spans="1:51" x14ac:dyDescent="0.3">
      <c r="A20" s="754">
        <v>52</v>
      </c>
      <c r="B20" t="s">
        <v>206</v>
      </c>
      <c r="D20">
        <v>0</v>
      </c>
      <c r="E20">
        <v>0</v>
      </c>
      <c r="F20">
        <v>0</v>
      </c>
      <c r="G20">
        <v>0</v>
      </c>
      <c r="H20">
        <v>0</v>
      </c>
      <c r="I20">
        <v>0</v>
      </c>
      <c r="J20">
        <v>0</v>
      </c>
      <c r="K20">
        <v>0</v>
      </c>
      <c r="M20">
        <v>0</v>
      </c>
      <c r="N20">
        <v>0</v>
      </c>
      <c r="O20">
        <v>0</v>
      </c>
      <c r="P20">
        <v>19850113</v>
      </c>
      <c r="Q20">
        <v>0</v>
      </c>
      <c r="R20">
        <v>0</v>
      </c>
      <c r="S20">
        <v>0</v>
      </c>
      <c r="T20">
        <v>0</v>
      </c>
      <c r="U20">
        <v>12301489</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T20">
        <v>0</v>
      </c>
      <c r="AU20">
        <v>0</v>
      </c>
      <c r="AW20">
        <v>0</v>
      </c>
      <c r="AX20">
        <v>0</v>
      </c>
      <c r="AY20">
        <v>0</v>
      </c>
    </row>
    <row r="21" spans="1:51" x14ac:dyDescent="0.3">
      <c r="A21" s="754">
        <v>53</v>
      </c>
      <c r="B21" t="s">
        <v>72</v>
      </c>
      <c r="D21">
        <v>0</v>
      </c>
      <c r="E21">
        <v>0</v>
      </c>
      <c r="F21">
        <v>0</v>
      </c>
      <c r="G21">
        <v>0</v>
      </c>
      <c r="H21">
        <v>0</v>
      </c>
      <c r="I21">
        <v>0</v>
      </c>
      <c r="J21">
        <v>0</v>
      </c>
      <c r="K21">
        <v>0</v>
      </c>
      <c r="M21">
        <v>0</v>
      </c>
      <c r="N21">
        <v>0</v>
      </c>
      <c r="O21">
        <v>0</v>
      </c>
      <c r="P21">
        <v>-6612188</v>
      </c>
      <c r="Q21">
        <v>0</v>
      </c>
      <c r="R21">
        <v>0</v>
      </c>
      <c r="S21">
        <v>0</v>
      </c>
      <c r="T21">
        <v>0</v>
      </c>
      <c r="U21">
        <v>1811779</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T21">
        <v>0</v>
      </c>
      <c r="AU21">
        <v>0</v>
      </c>
      <c r="AW21">
        <v>0</v>
      </c>
      <c r="AX21">
        <v>0</v>
      </c>
      <c r="AY21">
        <v>0</v>
      </c>
    </row>
    <row r="22" spans="1:51" x14ac:dyDescent="0.3">
      <c r="A22" s="754">
        <v>55</v>
      </c>
      <c r="B22" t="s">
        <v>216</v>
      </c>
      <c r="D22">
        <v>0</v>
      </c>
      <c r="E22">
        <v>0</v>
      </c>
      <c r="F22">
        <v>0</v>
      </c>
      <c r="G22">
        <v>0</v>
      </c>
      <c r="H22">
        <v>0</v>
      </c>
      <c r="I22">
        <v>0</v>
      </c>
      <c r="J22">
        <v>0</v>
      </c>
      <c r="K22">
        <v>0</v>
      </c>
      <c r="M22">
        <v>0</v>
      </c>
      <c r="N22">
        <v>0</v>
      </c>
      <c r="O22">
        <v>0</v>
      </c>
      <c r="P22">
        <v>51827362</v>
      </c>
      <c r="Q22">
        <v>0</v>
      </c>
      <c r="R22">
        <v>0</v>
      </c>
      <c r="S22">
        <v>0</v>
      </c>
      <c r="T22">
        <v>0</v>
      </c>
      <c r="U22">
        <v>20711845</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T22">
        <v>0</v>
      </c>
      <c r="AU22">
        <v>0</v>
      </c>
      <c r="AW22">
        <v>0</v>
      </c>
      <c r="AX22">
        <v>0</v>
      </c>
      <c r="AY22">
        <v>0</v>
      </c>
    </row>
    <row r="23" spans="1:51" x14ac:dyDescent="0.3">
      <c r="A23" s="754">
        <v>61</v>
      </c>
      <c r="B23" t="s">
        <v>230</v>
      </c>
      <c r="D23">
        <v>0</v>
      </c>
      <c r="E23">
        <v>0</v>
      </c>
      <c r="F23">
        <v>0</v>
      </c>
      <c r="G23">
        <v>0</v>
      </c>
      <c r="H23">
        <v>0</v>
      </c>
      <c r="I23">
        <v>0</v>
      </c>
      <c r="J23">
        <v>0</v>
      </c>
      <c r="K23">
        <v>98.27</v>
      </c>
      <c r="M23">
        <v>0</v>
      </c>
      <c r="N23">
        <v>0</v>
      </c>
      <c r="O23">
        <v>0</v>
      </c>
      <c r="P23">
        <v>0</v>
      </c>
      <c r="Q23">
        <v>0</v>
      </c>
      <c r="R23">
        <v>0</v>
      </c>
      <c r="S23">
        <v>0</v>
      </c>
      <c r="T23">
        <v>0</v>
      </c>
      <c r="U23">
        <v>0</v>
      </c>
      <c r="V23">
        <v>0</v>
      </c>
      <c r="W23">
        <v>0</v>
      </c>
      <c r="X23">
        <v>99.2</v>
      </c>
      <c r="Y23">
        <v>0</v>
      </c>
      <c r="Z23">
        <v>0</v>
      </c>
      <c r="AA23">
        <v>0</v>
      </c>
      <c r="AB23">
        <v>0</v>
      </c>
      <c r="AC23">
        <v>0</v>
      </c>
      <c r="AD23">
        <v>0</v>
      </c>
      <c r="AE23">
        <v>0</v>
      </c>
      <c r="AF23">
        <v>0</v>
      </c>
      <c r="AG23">
        <v>0</v>
      </c>
      <c r="AH23">
        <v>0</v>
      </c>
      <c r="AI23">
        <v>0</v>
      </c>
      <c r="AJ23">
        <v>0</v>
      </c>
      <c r="AK23">
        <v>99.61</v>
      </c>
      <c r="AL23">
        <v>0</v>
      </c>
      <c r="AM23">
        <v>0</v>
      </c>
      <c r="AN23">
        <v>0</v>
      </c>
      <c r="AO23">
        <v>0</v>
      </c>
      <c r="AP23">
        <v>0</v>
      </c>
      <c r="AQ23">
        <v>0</v>
      </c>
      <c r="AR23">
        <v>0</v>
      </c>
      <c r="AT23">
        <v>0</v>
      </c>
      <c r="AU23">
        <v>0</v>
      </c>
      <c r="AW23">
        <v>0</v>
      </c>
      <c r="AX23">
        <v>0</v>
      </c>
      <c r="AY23">
        <v>0</v>
      </c>
    </row>
    <row r="24" spans="1:51" x14ac:dyDescent="0.3">
      <c r="A24" s="754">
        <v>80</v>
      </c>
      <c r="B24" t="s">
        <v>185</v>
      </c>
      <c r="D24">
        <v>1310249</v>
      </c>
      <c r="E24">
        <v>7748909</v>
      </c>
      <c r="F24">
        <v>8275424</v>
      </c>
      <c r="G24">
        <v>48012191</v>
      </c>
      <c r="H24">
        <v>76608939</v>
      </c>
      <c r="I24">
        <v>42957991</v>
      </c>
      <c r="J24">
        <v>71214615</v>
      </c>
      <c r="K24">
        <v>13212510</v>
      </c>
      <c r="M24">
        <v>2839697</v>
      </c>
      <c r="N24">
        <v>7059834</v>
      </c>
      <c r="O24">
        <v>54283</v>
      </c>
      <c r="P24">
        <v>38094327</v>
      </c>
      <c r="Q24">
        <v>1511218</v>
      </c>
      <c r="R24">
        <v>815997</v>
      </c>
      <c r="S24">
        <v>7456893</v>
      </c>
      <c r="T24">
        <v>576183</v>
      </c>
      <c r="U24">
        <v>22515937</v>
      </c>
      <c r="V24">
        <v>3888933</v>
      </c>
      <c r="W24">
        <v>742212</v>
      </c>
      <c r="X24">
        <v>3247288</v>
      </c>
      <c r="Y24">
        <v>3397285</v>
      </c>
      <c r="Z24">
        <v>1383691</v>
      </c>
      <c r="AA24">
        <v>1436674</v>
      </c>
      <c r="AB24">
        <v>1257445</v>
      </c>
      <c r="AC24">
        <v>11596380</v>
      </c>
      <c r="AD24">
        <v>3405241</v>
      </c>
      <c r="AE24">
        <v>639621</v>
      </c>
      <c r="AF24">
        <v>44358716</v>
      </c>
      <c r="AG24">
        <v>24040201</v>
      </c>
      <c r="AH24">
        <v>15226528</v>
      </c>
      <c r="AI24">
        <v>13830370</v>
      </c>
      <c r="AJ24">
        <v>465582</v>
      </c>
      <c r="AK24">
        <v>1190931</v>
      </c>
      <c r="AL24">
        <v>24445277</v>
      </c>
      <c r="AM24">
        <v>3791439</v>
      </c>
      <c r="AN24">
        <v>8897690</v>
      </c>
      <c r="AO24">
        <v>2502031</v>
      </c>
      <c r="AP24">
        <v>2488056</v>
      </c>
      <c r="AQ24">
        <v>1192171</v>
      </c>
      <c r="AR24">
        <v>396628</v>
      </c>
      <c r="AT24">
        <v>15360759</v>
      </c>
      <c r="AU24">
        <v>0</v>
      </c>
      <c r="AW24">
        <v>42963</v>
      </c>
      <c r="AX24">
        <v>3108758</v>
      </c>
      <c r="AY24">
        <v>1826330</v>
      </c>
    </row>
    <row r="25" spans="1:51" x14ac:dyDescent="0.3">
      <c r="A25" s="754">
        <v>81</v>
      </c>
      <c r="B25" t="s">
        <v>186</v>
      </c>
      <c r="D25">
        <v>440522</v>
      </c>
      <c r="E25">
        <v>375165</v>
      </c>
      <c r="F25">
        <v>977365</v>
      </c>
      <c r="G25">
        <v>3057141</v>
      </c>
      <c r="H25">
        <v>6967419</v>
      </c>
      <c r="I25">
        <v>1846427</v>
      </c>
      <c r="J25">
        <v>16842574</v>
      </c>
      <c r="K25">
        <v>1185544</v>
      </c>
      <c r="M25">
        <v>9468</v>
      </c>
      <c r="N25">
        <v>549504</v>
      </c>
      <c r="O25">
        <v>16032</v>
      </c>
      <c r="P25">
        <v>20448946</v>
      </c>
      <c r="Q25">
        <v>128642</v>
      </c>
      <c r="R25">
        <v>32750</v>
      </c>
      <c r="S25">
        <v>432544</v>
      </c>
      <c r="T25">
        <v>160027</v>
      </c>
      <c r="U25">
        <v>5042719</v>
      </c>
      <c r="V25">
        <v>507995</v>
      </c>
      <c r="W25">
        <v>42649</v>
      </c>
      <c r="X25">
        <v>502588</v>
      </c>
      <c r="Y25">
        <v>508387</v>
      </c>
      <c r="Z25">
        <v>274306</v>
      </c>
      <c r="AA25">
        <v>86</v>
      </c>
      <c r="AB25">
        <v>50256</v>
      </c>
      <c r="AC25">
        <v>30400</v>
      </c>
      <c r="AD25">
        <v>254815</v>
      </c>
      <c r="AE25">
        <v>58220</v>
      </c>
      <c r="AF25">
        <v>5467694</v>
      </c>
      <c r="AG25">
        <v>3980857</v>
      </c>
      <c r="AH25">
        <v>596902</v>
      </c>
      <c r="AI25">
        <v>585456</v>
      </c>
      <c r="AJ25">
        <v>71731</v>
      </c>
      <c r="AK25">
        <v>18823</v>
      </c>
      <c r="AL25">
        <v>2631775</v>
      </c>
      <c r="AM25">
        <v>170445</v>
      </c>
      <c r="AN25">
        <v>498514</v>
      </c>
      <c r="AO25">
        <v>194142</v>
      </c>
      <c r="AP25">
        <v>131139</v>
      </c>
      <c r="AQ25">
        <v>109829</v>
      </c>
      <c r="AR25">
        <v>1528</v>
      </c>
      <c r="AT25">
        <v>855250</v>
      </c>
      <c r="AU25">
        <v>0</v>
      </c>
      <c r="AW25">
        <v>2410</v>
      </c>
      <c r="AX25">
        <v>452158</v>
      </c>
      <c r="AY25">
        <v>759634</v>
      </c>
    </row>
    <row r="26" spans="1:51" x14ac:dyDescent="0.3">
      <c r="A26" s="754">
        <v>82</v>
      </c>
      <c r="B26" t="s">
        <v>285</v>
      </c>
      <c r="D26">
        <v>3016723</v>
      </c>
      <c r="E26">
        <v>4930774</v>
      </c>
      <c r="F26">
        <v>9068577</v>
      </c>
      <c r="G26">
        <v>78857475</v>
      </c>
      <c r="H26">
        <v>91572572</v>
      </c>
      <c r="I26">
        <v>68475754</v>
      </c>
      <c r="J26">
        <v>284427014</v>
      </c>
      <c r="K26">
        <v>12733162</v>
      </c>
      <c r="M26">
        <v>15866214</v>
      </c>
      <c r="N26">
        <v>5641236</v>
      </c>
      <c r="O26">
        <v>0</v>
      </c>
      <c r="P26">
        <v>380354471</v>
      </c>
      <c r="Q26">
        <v>888000</v>
      </c>
      <c r="R26">
        <v>2067000</v>
      </c>
      <c r="S26">
        <v>0</v>
      </c>
      <c r="T26">
        <v>1339373</v>
      </c>
      <c r="U26">
        <v>0</v>
      </c>
      <c r="V26">
        <v>10115329</v>
      </c>
      <c r="W26">
        <v>1</v>
      </c>
      <c r="X26">
        <v>9478375</v>
      </c>
      <c r="Y26">
        <v>18499414</v>
      </c>
      <c r="Z26">
        <v>1381066</v>
      </c>
      <c r="AA26">
        <v>16477659</v>
      </c>
      <c r="AB26">
        <v>0</v>
      </c>
      <c r="AC26">
        <v>69869468</v>
      </c>
      <c r="AD26">
        <v>2726646</v>
      </c>
      <c r="AE26">
        <v>1</v>
      </c>
      <c r="AF26">
        <v>0</v>
      </c>
      <c r="AG26">
        <v>89645746</v>
      </c>
      <c r="AH26">
        <v>9490132</v>
      </c>
      <c r="AI26">
        <v>0</v>
      </c>
      <c r="AJ26">
        <v>1384023</v>
      </c>
      <c r="AK26">
        <v>0</v>
      </c>
      <c r="AL26">
        <v>33074158</v>
      </c>
      <c r="AM26">
        <v>4136407</v>
      </c>
      <c r="AN26">
        <v>7930381</v>
      </c>
      <c r="AO26">
        <v>1</v>
      </c>
      <c r="AP26">
        <v>357718</v>
      </c>
      <c r="AQ26">
        <v>6671000</v>
      </c>
      <c r="AR26">
        <v>0</v>
      </c>
      <c r="AT26">
        <v>0</v>
      </c>
      <c r="AU26">
        <v>0</v>
      </c>
      <c r="AW26">
        <v>0</v>
      </c>
      <c r="AX26">
        <v>4628</v>
      </c>
      <c r="AY26">
        <v>6450292</v>
      </c>
    </row>
    <row r="27" spans="1:51" x14ac:dyDescent="0.3">
      <c r="A27" s="754">
        <v>83</v>
      </c>
      <c r="B27" t="s">
        <v>73</v>
      </c>
      <c r="D27">
        <v>10865499</v>
      </c>
      <c r="E27">
        <v>21706863</v>
      </c>
      <c r="F27">
        <v>31231707</v>
      </c>
      <c r="G27">
        <v>109913943</v>
      </c>
      <c r="H27">
        <v>494065997</v>
      </c>
      <c r="I27">
        <v>172474098</v>
      </c>
      <c r="J27">
        <v>629305302</v>
      </c>
      <c r="K27">
        <v>43224708</v>
      </c>
      <c r="M27">
        <v>16318797</v>
      </c>
      <c r="N27">
        <v>23576591</v>
      </c>
      <c r="O27">
        <v>2900863</v>
      </c>
      <c r="P27">
        <v>614411672</v>
      </c>
      <c r="Q27">
        <v>3611867</v>
      </c>
      <c r="R27">
        <v>2312188</v>
      </c>
      <c r="S27">
        <v>25123782</v>
      </c>
      <c r="T27">
        <v>2271448</v>
      </c>
      <c r="U27">
        <v>226731983</v>
      </c>
      <c r="V27">
        <v>13050477</v>
      </c>
      <c r="W27">
        <v>2377837</v>
      </c>
      <c r="X27">
        <v>13367423</v>
      </c>
      <c r="Y27">
        <v>25989271</v>
      </c>
      <c r="Z27">
        <v>6880309</v>
      </c>
      <c r="AA27">
        <v>6033563</v>
      </c>
      <c r="AB27">
        <v>2880969</v>
      </c>
      <c r="AC27">
        <v>42093701</v>
      </c>
      <c r="AD27">
        <v>11021473</v>
      </c>
      <c r="AE27">
        <v>713789</v>
      </c>
      <c r="AF27">
        <v>181522660</v>
      </c>
      <c r="AG27">
        <v>283475011</v>
      </c>
      <c r="AH27">
        <v>117122082</v>
      </c>
      <c r="AI27">
        <v>43230934</v>
      </c>
      <c r="AJ27">
        <v>5225188</v>
      </c>
      <c r="AK27">
        <v>1869450</v>
      </c>
      <c r="AL27">
        <v>60013519</v>
      </c>
      <c r="AM27">
        <v>10353368</v>
      </c>
      <c r="AN27">
        <v>23944483</v>
      </c>
      <c r="AO27">
        <v>6762020</v>
      </c>
      <c r="AP27">
        <v>6649911</v>
      </c>
      <c r="AQ27">
        <v>4653269</v>
      </c>
      <c r="AR27">
        <v>1328585</v>
      </c>
      <c r="AT27">
        <v>40225479</v>
      </c>
      <c r="AU27">
        <v>10859649</v>
      </c>
      <c r="AW27">
        <v>127640</v>
      </c>
      <c r="AX27">
        <v>11505665</v>
      </c>
      <c r="AY27">
        <v>23642147</v>
      </c>
    </row>
    <row r="28" spans="1:51" x14ac:dyDescent="0.3">
      <c r="A28" s="754">
        <v>84</v>
      </c>
      <c r="B28" t="s">
        <v>194</v>
      </c>
      <c r="D28">
        <v>2160730</v>
      </c>
      <c r="E28">
        <v>3008622</v>
      </c>
      <c r="F28">
        <v>7927463</v>
      </c>
      <c r="G28">
        <v>34102712</v>
      </c>
      <c r="H28">
        <v>48111506</v>
      </c>
      <c r="I28">
        <v>17456338</v>
      </c>
      <c r="J28">
        <v>94289489</v>
      </c>
      <c r="K28">
        <v>8661964</v>
      </c>
      <c r="M28">
        <v>2710368</v>
      </c>
      <c r="N28">
        <v>3610404</v>
      </c>
      <c r="O28">
        <v>214595</v>
      </c>
      <c r="P28">
        <v>119723534</v>
      </c>
      <c r="Q28">
        <v>1118735</v>
      </c>
      <c r="R28">
        <v>276200</v>
      </c>
      <c r="S28">
        <v>2692419</v>
      </c>
      <c r="T28">
        <v>449538</v>
      </c>
      <c r="U28">
        <v>49019215</v>
      </c>
      <c r="V28">
        <v>3764486</v>
      </c>
      <c r="W28">
        <v>516238</v>
      </c>
      <c r="X28">
        <v>2784308</v>
      </c>
      <c r="Y28">
        <v>7586529</v>
      </c>
      <c r="Z28">
        <v>2366477</v>
      </c>
      <c r="AA28">
        <v>1765062</v>
      </c>
      <c r="AB28">
        <v>445882</v>
      </c>
      <c r="AC28">
        <v>10297150</v>
      </c>
      <c r="AD28">
        <v>1451054</v>
      </c>
      <c r="AE28">
        <v>856762</v>
      </c>
      <c r="AF28">
        <v>29543076</v>
      </c>
      <c r="AG28">
        <v>37995260</v>
      </c>
      <c r="AH28">
        <v>8820846</v>
      </c>
      <c r="AI28">
        <v>9130875</v>
      </c>
      <c r="AJ28">
        <v>759421</v>
      </c>
      <c r="AK28">
        <v>144140</v>
      </c>
      <c r="AL28">
        <v>14636331</v>
      </c>
      <c r="AM28">
        <v>2185368</v>
      </c>
      <c r="AN28">
        <v>3111062</v>
      </c>
      <c r="AO28">
        <v>1576818</v>
      </c>
      <c r="AP28">
        <v>816912</v>
      </c>
      <c r="AQ28">
        <v>743015</v>
      </c>
      <c r="AR28">
        <v>250758</v>
      </c>
      <c r="AT28">
        <v>5746106</v>
      </c>
      <c r="AU28">
        <v>0</v>
      </c>
      <c r="AW28">
        <v>39653</v>
      </c>
      <c r="AX28">
        <v>2089238</v>
      </c>
      <c r="AY28">
        <v>3269803</v>
      </c>
    </row>
    <row r="29" spans="1:51" x14ac:dyDescent="0.3">
      <c r="A29" s="754">
        <v>85</v>
      </c>
      <c r="B29" t="s">
        <v>196</v>
      </c>
      <c r="D29">
        <v>2730644</v>
      </c>
      <c r="E29">
        <v>2331579</v>
      </c>
      <c r="F29">
        <v>5704899</v>
      </c>
      <c r="G29">
        <v>20139948</v>
      </c>
      <c r="H29">
        <v>28696145</v>
      </c>
      <c r="I29">
        <v>19515389</v>
      </c>
      <c r="J29">
        <v>84483932</v>
      </c>
      <c r="K29">
        <v>8446509</v>
      </c>
      <c r="M29">
        <v>2481340</v>
      </c>
      <c r="N29">
        <v>3134570</v>
      </c>
      <c r="O29">
        <v>319367</v>
      </c>
      <c r="P29">
        <v>90817220</v>
      </c>
      <c r="Q29">
        <v>919796</v>
      </c>
      <c r="R29">
        <v>309491</v>
      </c>
      <c r="S29">
        <v>2387528</v>
      </c>
      <c r="T29">
        <v>502633</v>
      </c>
      <c r="U29">
        <v>43061855</v>
      </c>
      <c r="V29">
        <v>3145946</v>
      </c>
      <c r="W29">
        <v>439400</v>
      </c>
      <c r="X29">
        <v>3035969</v>
      </c>
      <c r="Y29">
        <v>6210448</v>
      </c>
      <c r="Z29">
        <v>2012381</v>
      </c>
      <c r="AA29">
        <v>2000702</v>
      </c>
      <c r="AB29">
        <v>422721</v>
      </c>
      <c r="AC29">
        <v>7111518</v>
      </c>
      <c r="AD29">
        <v>1269741</v>
      </c>
      <c r="AE29">
        <v>870378</v>
      </c>
      <c r="AF29">
        <v>24433718</v>
      </c>
      <c r="AG29">
        <v>34309028</v>
      </c>
      <c r="AH29">
        <v>8212756</v>
      </c>
      <c r="AI29">
        <v>8049417</v>
      </c>
      <c r="AJ29">
        <v>793992</v>
      </c>
      <c r="AK29">
        <v>276341</v>
      </c>
      <c r="AL29">
        <v>8840285</v>
      </c>
      <c r="AM29">
        <v>2000005</v>
      </c>
      <c r="AN29">
        <v>2396692</v>
      </c>
      <c r="AO29">
        <v>1273745</v>
      </c>
      <c r="AP29">
        <v>643750</v>
      </c>
      <c r="AQ29">
        <v>444838</v>
      </c>
      <c r="AR29">
        <v>217277</v>
      </c>
      <c r="AT29">
        <v>5154921</v>
      </c>
      <c r="AU29">
        <v>55622</v>
      </c>
      <c r="AW29">
        <v>40128</v>
      </c>
      <c r="AX29">
        <v>2201134</v>
      </c>
      <c r="AY29">
        <v>2730761</v>
      </c>
    </row>
    <row r="30" spans="1:51" ht="13.95" customHeight="1" x14ac:dyDescent="0.3">
      <c r="A30" s="754">
        <v>88</v>
      </c>
      <c r="B30" t="s">
        <v>193</v>
      </c>
      <c r="D30">
        <v>1936148</v>
      </c>
      <c r="E30">
        <v>2810503</v>
      </c>
      <c r="F30">
        <v>7541665</v>
      </c>
      <c r="G30">
        <v>13257059</v>
      </c>
      <c r="H30">
        <v>41484740</v>
      </c>
      <c r="I30">
        <v>17456338</v>
      </c>
      <c r="J30">
        <v>85347270</v>
      </c>
      <c r="K30">
        <v>8332014</v>
      </c>
      <c r="M30">
        <v>2629756</v>
      </c>
      <c r="N30">
        <v>3369907</v>
      </c>
      <c r="O30">
        <v>214595</v>
      </c>
      <c r="P30">
        <v>106702931</v>
      </c>
      <c r="Q30">
        <v>1056135</v>
      </c>
      <c r="R30">
        <v>276200</v>
      </c>
      <c r="S30">
        <v>2646809</v>
      </c>
      <c r="T30">
        <v>302688</v>
      </c>
      <c r="U30">
        <v>48905654</v>
      </c>
      <c r="V30">
        <v>3606358</v>
      </c>
      <c r="W30">
        <v>406171</v>
      </c>
      <c r="X30">
        <v>2574787</v>
      </c>
      <c r="Y30">
        <v>7472215</v>
      </c>
      <c r="Z30">
        <v>2226093</v>
      </c>
      <c r="AA30">
        <v>1711460</v>
      </c>
      <c r="AB30">
        <v>445882</v>
      </c>
      <c r="AC30">
        <v>10282800</v>
      </c>
      <c r="AD30">
        <v>1334169</v>
      </c>
      <c r="AE30">
        <v>703595</v>
      </c>
      <c r="AF30">
        <v>27847700</v>
      </c>
      <c r="AG30">
        <v>36922146</v>
      </c>
      <c r="AH30">
        <v>8629826</v>
      </c>
      <c r="AI30">
        <v>8754058</v>
      </c>
      <c r="AJ30">
        <v>700345</v>
      </c>
      <c r="AK30">
        <v>141140</v>
      </c>
      <c r="AL30">
        <v>14168627</v>
      </c>
      <c r="AM30">
        <v>1792625</v>
      </c>
      <c r="AN30">
        <v>3012768</v>
      </c>
      <c r="AO30">
        <v>1267020</v>
      </c>
      <c r="AP30">
        <v>783365</v>
      </c>
      <c r="AQ30">
        <v>743015</v>
      </c>
      <c r="AR30">
        <v>250758</v>
      </c>
      <c r="AT30">
        <v>4754140</v>
      </c>
      <c r="AU30">
        <v>0</v>
      </c>
      <c r="AW30">
        <v>39653</v>
      </c>
      <c r="AX30">
        <v>1734666</v>
      </c>
      <c r="AY30">
        <v>3212708</v>
      </c>
    </row>
    <row r="31" spans="1:51" x14ac:dyDescent="0.3">
      <c r="A31" s="754">
        <v>89</v>
      </c>
      <c r="B31" t="s">
        <v>197</v>
      </c>
      <c r="D31">
        <v>94357</v>
      </c>
      <c r="E31">
        <v>55408</v>
      </c>
      <c r="F31">
        <v>344102</v>
      </c>
      <c r="G31">
        <v>2678810</v>
      </c>
      <c r="H31">
        <v>2949509</v>
      </c>
      <c r="I31">
        <v>308341</v>
      </c>
      <c r="J31">
        <v>8562307</v>
      </c>
      <c r="K31">
        <v>53807</v>
      </c>
      <c r="M31">
        <v>410342</v>
      </c>
      <c r="N31">
        <v>97021</v>
      </c>
      <c r="O31">
        <v>16295</v>
      </c>
      <c r="P31">
        <v>10248806</v>
      </c>
      <c r="Q31">
        <v>55200</v>
      </c>
      <c r="R31">
        <v>89687</v>
      </c>
      <c r="S31">
        <v>0</v>
      </c>
      <c r="T31">
        <v>23812</v>
      </c>
      <c r="U31">
        <v>2192481</v>
      </c>
      <c r="V31">
        <v>10779</v>
      </c>
      <c r="W31">
        <v>0</v>
      </c>
      <c r="X31">
        <v>18064</v>
      </c>
      <c r="Y31">
        <v>101023</v>
      </c>
      <c r="Z31">
        <v>37809</v>
      </c>
      <c r="AA31">
        <v>474892</v>
      </c>
      <c r="AB31">
        <v>0</v>
      </c>
      <c r="AC31">
        <v>2627225</v>
      </c>
      <c r="AD31">
        <v>924</v>
      </c>
      <c r="AE31">
        <v>78519</v>
      </c>
      <c r="AF31">
        <v>1554774</v>
      </c>
      <c r="AG31">
        <v>3121647</v>
      </c>
      <c r="AH31">
        <v>264891</v>
      </c>
      <c r="AI31">
        <v>42966</v>
      </c>
      <c r="AJ31">
        <v>64592</v>
      </c>
      <c r="AK31">
        <v>0</v>
      </c>
      <c r="AL31">
        <v>864319</v>
      </c>
      <c r="AM31">
        <v>186131</v>
      </c>
      <c r="AN31">
        <v>104130</v>
      </c>
      <c r="AO31">
        <v>0</v>
      </c>
      <c r="AP31">
        <v>8141</v>
      </c>
      <c r="AQ31">
        <v>232805</v>
      </c>
      <c r="AR31">
        <v>0</v>
      </c>
      <c r="AT31">
        <v>406675</v>
      </c>
      <c r="AU31">
        <v>0</v>
      </c>
      <c r="AW31">
        <v>0</v>
      </c>
      <c r="AX31">
        <v>1038</v>
      </c>
      <c r="AY31">
        <v>46479</v>
      </c>
    </row>
    <row r="32" spans="1:51" x14ac:dyDescent="0.3">
      <c r="A32" s="754">
        <v>90</v>
      </c>
      <c r="B32" t="s">
        <v>190</v>
      </c>
      <c r="D32">
        <v>0</v>
      </c>
      <c r="E32">
        <v>0</v>
      </c>
      <c r="F32">
        <v>0</v>
      </c>
      <c r="G32">
        <v>0</v>
      </c>
      <c r="H32">
        <v>0</v>
      </c>
      <c r="I32">
        <v>0</v>
      </c>
      <c r="J32">
        <v>0</v>
      </c>
      <c r="K32">
        <v>0</v>
      </c>
      <c r="M32">
        <v>0</v>
      </c>
      <c r="N32">
        <v>0</v>
      </c>
      <c r="O32">
        <v>0</v>
      </c>
      <c r="P32">
        <v>88936890</v>
      </c>
      <c r="Q32">
        <v>0</v>
      </c>
      <c r="R32">
        <v>0</v>
      </c>
      <c r="S32">
        <v>0</v>
      </c>
      <c r="T32">
        <v>0</v>
      </c>
      <c r="U32">
        <v>40542529</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T32">
        <v>0</v>
      </c>
      <c r="AU32">
        <v>0</v>
      </c>
      <c r="AW32">
        <v>0</v>
      </c>
      <c r="AX32">
        <v>0</v>
      </c>
      <c r="AY32">
        <v>0</v>
      </c>
    </row>
    <row r="33" spans="1:51" x14ac:dyDescent="0.3">
      <c r="A33" s="754">
        <v>91</v>
      </c>
      <c r="B33" t="s">
        <v>191</v>
      </c>
      <c r="D33">
        <v>0</v>
      </c>
      <c r="E33">
        <v>0</v>
      </c>
      <c r="F33">
        <v>0</v>
      </c>
      <c r="G33">
        <v>0</v>
      </c>
      <c r="H33">
        <v>0</v>
      </c>
      <c r="I33">
        <v>0</v>
      </c>
      <c r="J33">
        <v>0</v>
      </c>
      <c r="K33">
        <v>0</v>
      </c>
      <c r="M33">
        <v>0</v>
      </c>
      <c r="N33">
        <v>0</v>
      </c>
      <c r="O33">
        <v>0</v>
      </c>
      <c r="P33">
        <v>23727349</v>
      </c>
      <c r="Q33">
        <v>0</v>
      </c>
      <c r="R33">
        <v>0</v>
      </c>
      <c r="S33">
        <v>0</v>
      </c>
      <c r="T33">
        <v>0</v>
      </c>
      <c r="U33">
        <v>18162397</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T33">
        <v>0</v>
      </c>
      <c r="AU33">
        <v>0</v>
      </c>
      <c r="AW33">
        <v>0</v>
      </c>
      <c r="AX33">
        <v>0</v>
      </c>
      <c r="AY33">
        <v>0</v>
      </c>
    </row>
    <row r="34" spans="1:51" x14ac:dyDescent="0.3">
      <c r="A34" s="754">
        <v>93</v>
      </c>
      <c r="B34" t="s">
        <v>204</v>
      </c>
      <c r="D34">
        <v>0</v>
      </c>
      <c r="E34">
        <v>0</v>
      </c>
      <c r="F34">
        <v>0</v>
      </c>
      <c r="G34">
        <v>0</v>
      </c>
      <c r="H34">
        <v>0</v>
      </c>
      <c r="I34">
        <v>0</v>
      </c>
      <c r="J34">
        <v>0</v>
      </c>
      <c r="K34">
        <v>0</v>
      </c>
      <c r="M34">
        <v>0</v>
      </c>
      <c r="N34">
        <v>0</v>
      </c>
      <c r="O34">
        <v>0</v>
      </c>
      <c r="P34">
        <v>227465140</v>
      </c>
      <c r="Q34">
        <v>0</v>
      </c>
      <c r="R34">
        <v>0</v>
      </c>
      <c r="S34">
        <v>0</v>
      </c>
      <c r="T34">
        <v>0</v>
      </c>
      <c r="U34">
        <v>178090162</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T34">
        <v>0</v>
      </c>
      <c r="AU34">
        <v>0</v>
      </c>
      <c r="AW34">
        <v>0</v>
      </c>
      <c r="AX34">
        <v>0</v>
      </c>
      <c r="AY34">
        <v>0</v>
      </c>
    </row>
    <row r="35" spans="1:51" x14ac:dyDescent="0.3">
      <c r="A35" s="754">
        <v>94</v>
      </c>
      <c r="B35" t="s">
        <v>207</v>
      </c>
      <c r="D35">
        <v>0</v>
      </c>
      <c r="E35">
        <v>0</v>
      </c>
      <c r="F35">
        <v>0</v>
      </c>
      <c r="G35">
        <v>0</v>
      </c>
      <c r="H35">
        <v>0</v>
      </c>
      <c r="I35">
        <v>0</v>
      </c>
      <c r="J35">
        <v>0</v>
      </c>
      <c r="K35">
        <v>0</v>
      </c>
      <c r="M35">
        <v>0</v>
      </c>
      <c r="N35">
        <v>0</v>
      </c>
      <c r="O35">
        <v>0</v>
      </c>
      <c r="P35">
        <v>213155452</v>
      </c>
      <c r="Q35">
        <v>0</v>
      </c>
      <c r="R35">
        <v>0</v>
      </c>
      <c r="S35">
        <v>0</v>
      </c>
      <c r="T35">
        <v>0</v>
      </c>
      <c r="U35">
        <v>170465764</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T35">
        <v>0</v>
      </c>
      <c r="AU35">
        <v>0</v>
      </c>
      <c r="AW35">
        <v>0</v>
      </c>
      <c r="AX35">
        <v>0</v>
      </c>
      <c r="AY35">
        <v>0</v>
      </c>
    </row>
    <row r="36" spans="1:51" x14ac:dyDescent="0.3">
      <c r="A36" s="754">
        <v>97</v>
      </c>
      <c r="B36" t="s">
        <v>203</v>
      </c>
      <c r="D36">
        <v>0</v>
      </c>
      <c r="E36">
        <v>0</v>
      </c>
      <c r="F36">
        <v>0</v>
      </c>
      <c r="G36">
        <v>0</v>
      </c>
      <c r="H36">
        <v>0</v>
      </c>
      <c r="I36">
        <v>0</v>
      </c>
      <c r="J36">
        <v>0</v>
      </c>
      <c r="K36">
        <v>0</v>
      </c>
      <c r="M36">
        <v>0</v>
      </c>
      <c r="N36">
        <v>0</v>
      </c>
      <c r="O36">
        <v>0</v>
      </c>
      <c r="P36">
        <v>186526729</v>
      </c>
      <c r="Q36">
        <v>0</v>
      </c>
      <c r="R36">
        <v>0</v>
      </c>
      <c r="S36">
        <v>0</v>
      </c>
      <c r="T36">
        <v>0</v>
      </c>
      <c r="U36">
        <v>177646528</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T36">
        <v>0</v>
      </c>
      <c r="AU36">
        <v>0</v>
      </c>
      <c r="AW36">
        <v>0</v>
      </c>
      <c r="AX36">
        <v>0</v>
      </c>
      <c r="AY36">
        <v>0</v>
      </c>
    </row>
    <row r="37" spans="1:51" x14ac:dyDescent="0.3">
      <c r="A37" s="754">
        <v>98</v>
      </c>
      <c r="B37" t="s">
        <v>208</v>
      </c>
      <c r="D37">
        <v>0</v>
      </c>
      <c r="E37">
        <v>0</v>
      </c>
      <c r="F37">
        <v>0</v>
      </c>
      <c r="G37">
        <v>0</v>
      </c>
      <c r="H37">
        <v>0</v>
      </c>
      <c r="I37">
        <v>0</v>
      </c>
      <c r="J37">
        <v>0</v>
      </c>
      <c r="K37">
        <v>0</v>
      </c>
      <c r="M37">
        <v>0</v>
      </c>
      <c r="N37">
        <v>0</v>
      </c>
      <c r="O37">
        <v>0</v>
      </c>
      <c r="P37">
        <v>865317</v>
      </c>
      <c r="Q37">
        <v>0</v>
      </c>
      <c r="R37">
        <v>0</v>
      </c>
      <c r="S37">
        <v>0</v>
      </c>
      <c r="T37">
        <v>0</v>
      </c>
      <c r="U37">
        <v>2018447</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T37">
        <v>0</v>
      </c>
      <c r="AU37">
        <v>0</v>
      </c>
      <c r="AW37">
        <v>0</v>
      </c>
      <c r="AX37">
        <v>0</v>
      </c>
      <c r="AY37">
        <v>0</v>
      </c>
    </row>
    <row r="38" spans="1:51" x14ac:dyDescent="0.3">
      <c r="A38" s="754">
        <v>99</v>
      </c>
      <c r="B38" t="s">
        <v>205</v>
      </c>
      <c r="D38">
        <v>0</v>
      </c>
      <c r="E38">
        <v>0</v>
      </c>
      <c r="F38">
        <v>0</v>
      </c>
      <c r="G38">
        <v>0</v>
      </c>
      <c r="H38">
        <v>0</v>
      </c>
      <c r="I38">
        <v>0</v>
      </c>
      <c r="J38">
        <v>0</v>
      </c>
      <c r="K38">
        <v>0</v>
      </c>
      <c r="M38">
        <v>0</v>
      </c>
      <c r="N38">
        <v>0</v>
      </c>
      <c r="O38">
        <v>0</v>
      </c>
      <c r="P38">
        <v>141331267</v>
      </c>
      <c r="Q38">
        <v>0</v>
      </c>
      <c r="R38">
        <v>0</v>
      </c>
      <c r="S38">
        <v>0</v>
      </c>
      <c r="T38">
        <v>0</v>
      </c>
      <c r="U38">
        <v>127950613</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T38">
        <v>0</v>
      </c>
      <c r="AU38">
        <v>0</v>
      </c>
      <c r="AW38">
        <v>0</v>
      </c>
      <c r="AX38">
        <v>0</v>
      </c>
      <c r="AY38">
        <v>0</v>
      </c>
    </row>
    <row r="39" spans="1:51" x14ac:dyDescent="0.3">
      <c r="A39" s="754">
        <v>100</v>
      </c>
      <c r="B39" t="s">
        <v>218</v>
      </c>
      <c r="D39">
        <v>0</v>
      </c>
      <c r="E39">
        <v>0</v>
      </c>
      <c r="F39">
        <v>0</v>
      </c>
      <c r="G39">
        <v>0</v>
      </c>
      <c r="H39">
        <v>0</v>
      </c>
      <c r="I39">
        <v>0</v>
      </c>
      <c r="J39">
        <v>0</v>
      </c>
      <c r="K39">
        <v>0</v>
      </c>
      <c r="M39">
        <v>0</v>
      </c>
      <c r="N39">
        <v>0</v>
      </c>
      <c r="O39">
        <v>0</v>
      </c>
      <c r="P39">
        <v>1065527</v>
      </c>
      <c r="Q39">
        <v>0</v>
      </c>
      <c r="R39">
        <v>0</v>
      </c>
      <c r="S39">
        <v>0</v>
      </c>
      <c r="T39">
        <v>0</v>
      </c>
      <c r="U39">
        <v>2035039</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T39">
        <v>0</v>
      </c>
      <c r="AU39">
        <v>0</v>
      </c>
      <c r="AW39">
        <v>0</v>
      </c>
      <c r="AX39">
        <v>0</v>
      </c>
      <c r="AY39">
        <v>0</v>
      </c>
    </row>
    <row r="40" spans="1:51" x14ac:dyDescent="0.3">
      <c r="A40" s="754">
        <v>101</v>
      </c>
      <c r="B40" t="s">
        <v>217</v>
      </c>
      <c r="D40">
        <v>0</v>
      </c>
      <c r="E40">
        <v>0</v>
      </c>
      <c r="F40">
        <v>0</v>
      </c>
      <c r="G40">
        <v>0</v>
      </c>
      <c r="H40">
        <v>0</v>
      </c>
      <c r="I40">
        <v>0</v>
      </c>
      <c r="J40">
        <v>0</v>
      </c>
      <c r="K40">
        <v>0</v>
      </c>
      <c r="M40">
        <v>0</v>
      </c>
      <c r="N40">
        <v>0</v>
      </c>
      <c r="O40">
        <v>0</v>
      </c>
      <c r="P40">
        <v>43060676</v>
      </c>
      <c r="Q40">
        <v>0</v>
      </c>
      <c r="R40">
        <v>0</v>
      </c>
      <c r="S40">
        <v>0</v>
      </c>
      <c r="T40">
        <v>0</v>
      </c>
      <c r="U40">
        <v>19120205</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T40">
        <v>0</v>
      </c>
      <c r="AU40">
        <v>0</v>
      </c>
      <c r="AW40">
        <v>0</v>
      </c>
      <c r="AX40">
        <v>0</v>
      </c>
      <c r="AY40">
        <v>0</v>
      </c>
    </row>
    <row r="41" spans="1:51" x14ac:dyDescent="0.3">
      <c r="A41" s="754">
        <v>102</v>
      </c>
      <c r="B41" t="s">
        <v>231</v>
      </c>
      <c r="D41">
        <v>0</v>
      </c>
      <c r="E41">
        <v>0</v>
      </c>
      <c r="F41">
        <v>0</v>
      </c>
      <c r="G41">
        <v>0</v>
      </c>
      <c r="H41">
        <v>0</v>
      </c>
      <c r="I41">
        <v>0</v>
      </c>
      <c r="J41">
        <v>0</v>
      </c>
      <c r="K41">
        <v>98.19</v>
      </c>
      <c r="M41">
        <v>0</v>
      </c>
      <c r="N41">
        <v>0</v>
      </c>
      <c r="O41">
        <v>0</v>
      </c>
      <c r="P41">
        <v>0</v>
      </c>
      <c r="Q41">
        <v>0</v>
      </c>
      <c r="R41">
        <v>0</v>
      </c>
      <c r="S41">
        <v>0</v>
      </c>
      <c r="T41">
        <v>0</v>
      </c>
      <c r="U41">
        <v>0</v>
      </c>
      <c r="V41">
        <v>0</v>
      </c>
      <c r="W41">
        <v>0</v>
      </c>
      <c r="X41">
        <v>99.13</v>
      </c>
      <c r="Y41">
        <v>0</v>
      </c>
      <c r="Z41">
        <v>0</v>
      </c>
      <c r="AA41">
        <v>0</v>
      </c>
      <c r="AB41">
        <v>0</v>
      </c>
      <c r="AC41">
        <v>0</v>
      </c>
      <c r="AD41">
        <v>0</v>
      </c>
      <c r="AE41">
        <v>0</v>
      </c>
      <c r="AF41">
        <v>0</v>
      </c>
      <c r="AG41">
        <v>0</v>
      </c>
      <c r="AH41">
        <v>0</v>
      </c>
      <c r="AI41">
        <v>0</v>
      </c>
      <c r="AJ41">
        <v>0</v>
      </c>
      <c r="AK41">
        <v>99.56</v>
      </c>
      <c r="AL41">
        <v>0</v>
      </c>
      <c r="AM41">
        <v>0</v>
      </c>
      <c r="AN41">
        <v>0</v>
      </c>
      <c r="AO41">
        <v>0</v>
      </c>
      <c r="AP41">
        <v>0</v>
      </c>
      <c r="AQ41">
        <v>0</v>
      </c>
      <c r="AR41">
        <v>0</v>
      </c>
      <c r="AT41">
        <v>0</v>
      </c>
      <c r="AU41">
        <v>0</v>
      </c>
      <c r="AW41">
        <v>0</v>
      </c>
      <c r="AX41">
        <v>0</v>
      </c>
      <c r="AY41">
        <v>0</v>
      </c>
    </row>
    <row r="42" spans="1:51" x14ac:dyDescent="0.3">
      <c r="A42" s="754">
        <v>103</v>
      </c>
      <c r="B42" t="s">
        <v>232</v>
      </c>
      <c r="D42">
        <v>0</v>
      </c>
      <c r="E42">
        <v>0</v>
      </c>
      <c r="F42">
        <v>0</v>
      </c>
      <c r="G42">
        <v>0</v>
      </c>
      <c r="H42">
        <v>0</v>
      </c>
      <c r="I42">
        <v>0</v>
      </c>
      <c r="J42">
        <v>0</v>
      </c>
      <c r="K42">
        <v>100</v>
      </c>
      <c r="M42">
        <v>0</v>
      </c>
      <c r="N42">
        <v>0</v>
      </c>
      <c r="O42">
        <v>0</v>
      </c>
      <c r="P42">
        <v>0</v>
      </c>
      <c r="Q42">
        <v>0</v>
      </c>
      <c r="R42">
        <v>0</v>
      </c>
      <c r="S42">
        <v>0</v>
      </c>
      <c r="T42">
        <v>0</v>
      </c>
      <c r="U42">
        <v>0</v>
      </c>
      <c r="V42">
        <v>0</v>
      </c>
      <c r="W42">
        <v>0</v>
      </c>
      <c r="X42">
        <v>100</v>
      </c>
      <c r="Y42">
        <v>0</v>
      </c>
      <c r="Z42">
        <v>0</v>
      </c>
      <c r="AA42">
        <v>0</v>
      </c>
      <c r="AB42">
        <v>0</v>
      </c>
      <c r="AC42">
        <v>0</v>
      </c>
      <c r="AD42">
        <v>0</v>
      </c>
      <c r="AE42">
        <v>0</v>
      </c>
      <c r="AF42">
        <v>0</v>
      </c>
      <c r="AG42">
        <v>0</v>
      </c>
      <c r="AH42">
        <v>0</v>
      </c>
      <c r="AI42">
        <v>0</v>
      </c>
      <c r="AJ42">
        <v>0</v>
      </c>
      <c r="AK42">
        <v>100</v>
      </c>
      <c r="AL42">
        <v>0</v>
      </c>
      <c r="AM42">
        <v>0</v>
      </c>
      <c r="AN42">
        <v>0</v>
      </c>
      <c r="AO42">
        <v>0</v>
      </c>
      <c r="AP42">
        <v>0</v>
      </c>
      <c r="AQ42">
        <v>0</v>
      </c>
      <c r="AR42">
        <v>0</v>
      </c>
      <c r="AT42">
        <v>0</v>
      </c>
      <c r="AU42">
        <v>0</v>
      </c>
      <c r="AW42">
        <v>0</v>
      </c>
      <c r="AX42">
        <v>0</v>
      </c>
      <c r="AY42">
        <v>0</v>
      </c>
    </row>
    <row r="43" spans="1:51" x14ac:dyDescent="0.3">
      <c r="A43" s="754">
        <v>171</v>
      </c>
      <c r="B43" t="s">
        <v>184</v>
      </c>
      <c r="D43">
        <v>0</v>
      </c>
      <c r="E43">
        <v>0</v>
      </c>
      <c r="F43">
        <v>0</v>
      </c>
      <c r="G43">
        <v>0</v>
      </c>
      <c r="H43">
        <v>0</v>
      </c>
      <c r="I43">
        <v>0</v>
      </c>
      <c r="J43">
        <v>0</v>
      </c>
      <c r="K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T43">
        <v>0</v>
      </c>
      <c r="AU43">
        <v>0</v>
      </c>
      <c r="AW43">
        <v>0</v>
      </c>
      <c r="AX43">
        <v>0</v>
      </c>
      <c r="AY43">
        <v>0</v>
      </c>
    </row>
    <row r="44" spans="1:51" x14ac:dyDescent="0.3">
      <c r="A44" s="754">
        <v>191</v>
      </c>
      <c r="B44" t="s">
        <v>200</v>
      </c>
      <c r="D44">
        <v>260064</v>
      </c>
      <c r="E44">
        <v>579516</v>
      </c>
      <c r="F44">
        <v>0</v>
      </c>
      <c r="G44">
        <v>3522111</v>
      </c>
      <c r="H44">
        <v>3348109</v>
      </c>
      <c r="I44">
        <v>7464362</v>
      </c>
      <c r="J44">
        <v>10296351</v>
      </c>
      <c r="K44">
        <v>0</v>
      </c>
      <c r="M44">
        <v>712200</v>
      </c>
      <c r="N44">
        <v>150376</v>
      </c>
      <c r="O44">
        <v>0</v>
      </c>
      <c r="P44">
        <v>7877915</v>
      </c>
      <c r="Q44">
        <v>0</v>
      </c>
      <c r="R44">
        <v>0</v>
      </c>
      <c r="S44">
        <v>703604</v>
      </c>
      <c r="T44">
        <v>164526</v>
      </c>
      <c r="U44">
        <v>18539618</v>
      </c>
      <c r="V44">
        <v>0</v>
      </c>
      <c r="W44">
        <v>0</v>
      </c>
      <c r="X44">
        <v>0</v>
      </c>
      <c r="Y44">
        <v>0</v>
      </c>
      <c r="Z44">
        <v>0</v>
      </c>
      <c r="AA44">
        <v>0</v>
      </c>
      <c r="AB44">
        <v>0</v>
      </c>
      <c r="AC44">
        <v>0</v>
      </c>
      <c r="AD44">
        <v>301309</v>
      </c>
      <c r="AE44">
        <v>0</v>
      </c>
      <c r="AF44">
        <v>5852017</v>
      </c>
      <c r="AG44">
        <v>876715</v>
      </c>
      <c r="AH44">
        <v>0</v>
      </c>
      <c r="AI44">
        <v>0</v>
      </c>
      <c r="AJ44">
        <v>0</v>
      </c>
      <c r="AK44">
        <v>0</v>
      </c>
      <c r="AL44">
        <v>152377</v>
      </c>
      <c r="AM44">
        <v>0</v>
      </c>
      <c r="AN44">
        <v>60107</v>
      </c>
      <c r="AO44">
        <v>0</v>
      </c>
      <c r="AP44">
        <v>0</v>
      </c>
      <c r="AQ44">
        <v>0</v>
      </c>
      <c r="AR44">
        <v>0</v>
      </c>
      <c r="AT44">
        <v>1278715</v>
      </c>
      <c r="AU44">
        <v>0</v>
      </c>
      <c r="AW44">
        <v>0</v>
      </c>
      <c r="AX44">
        <v>116280</v>
      </c>
      <c r="AY44">
        <v>1314319</v>
      </c>
    </row>
    <row r="45" spans="1:51" x14ac:dyDescent="0.3">
      <c r="A45" s="754">
        <v>192</v>
      </c>
      <c r="B45" t="s">
        <v>211</v>
      </c>
      <c r="D45">
        <v>0</v>
      </c>
      <c r="E45">
        <v>0</v>
      </c>
      <c r="F45">
        <v>0</v>
      </c>
      <c r="G45">
        <v>0</v>
      </c>
      <c r="H45">
        <v>0</v>
      </c>
      <c r="I45">
        <v>0</v>
      </c>
      <c r="J45">
        <v>0</v>
      </c>
      <c r="K45">
        <v>0</v>
      </c>
      <c r="M45">
        <v>0</v>
      </c>
      <c r="N45">
        <v>0</v>
      </c>
      <c r="O45">
        <v>0</v>
      </c>
      <c r="P45">
        <v>2419574</v>
      </c>
      <c r="Q45">
        <v>0</v>
      </c>
      <c r="R45">
        <v>0</v>
      </c>
      <c r="S45">
        <v>0</v>
      </c>
      <c r="T45">
        <v>0</v>
      </c>
      <c r="U45">
        <v>31250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T45">
        <v>0</v>
      </c>
      <c r="AU45">
        <v>0</v>
      </c>
      <c r="AW45">
        <v>0</v>
      </c>
      <c r="AX45">
        <v>0</v>
      </c>
      <c r="AY45">
        <v>0</v>
      </c>
    </row>
    <row r="46" spans="1:51" x14ac:dyDescent="0.3">
      <c r="A46" s="754">
        <v>252</v>
      </c>
      <c r="B46" t="s">
        <v>74</v>
      </c>
      <c r="D46">
        <v>0</v>
      </c>
      <c r="E46">
        <v>0</v>
      </c>
      <c r="F46">
        <v>0</v>
      </c>
      <c r="G46">
        <v>0</v>
      </c>
      <c r="H46">
        <v>0</v>
      </c>
      <c r="I46">
        <v>0</v>
      </c>
      <c r="J46">
        <v>0</v>
      </c>
      <c r="K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518294</v>
      </c>
      <c r="AL46">
        <v>0</v>
      </c>
      <c r="AM46">
        <v>0</v>
      </c>
      <c r="AN46">
        <v>0</v>
      </c>
      <c r="AO46">
        <v>0</v>
      </c>
      <c r="AP46">
        <v>0</v>
      </c>
      <c r="AQ46">
        <v>0</v>
      </c>
      <c r="AR46">
        <v>0</v>
      </c>
      <c r="AT46">
        <v>0</v>
      </c>
      <c r="AU46">
        <v>0</v>
      </c>
      <c r="AW46">
        <v>0</v>
      </c>
      <c r="AX46">
        <v>0</v>
      </c>
      <c r="AY46">
        <v>0</v>
      </c>
    </row>
    <row r="47" spans="1:51" x14ac:dyDescent="0.3">
      <c r="A47" s="754">
        <v>253</v>
      </c>
      <c r="B47" t="s">
        <v>75</v>
      </c>
      <c r="D47">
        <v>0</v>
      </c>
      <c r="E47">
        <v>0</v>
      </c>
      <c r="F47">
        <v>0</v>
      </c>
      <c r="G47">
        <v>0</v>
      </c>
      <c r="H47">
        <v>0</v>
      </c>
      <c r="I47">
        <v>0</v>
      </c>
      <c r="J47">
        <v>0</v>
      </c>
      <c r="K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T47">
        <v>0</v>
      </c>
      <c r="AU47">
        <v>0</v>
      </c>
      <c r="AW47">
        <v>0</v>
      </c>
      <c r="AX47">
        <v>0</v>
      </c>
      <c r="AY47">
        <v>0</v>
      </c>
    </row>
    <row r="48" spans="1:51" x14ac:dyDescent="0.3">
      <c r="A48" s="754">
        <v>254</v>
      </c>
      <c r="B48" t="s">
        <v>76</v>
      </c>
      <c r="D48">
        <v>0</v>
      </c>
      <c r="E48">
        <v>0</v>
      </c>
      <c r="F48">
        <v>0</v>
      </c>
      <c r="G48">
        <v>0</v>
      </c>
      <c r="H48">
        <v>0</v>
      </c>
      <c r="I48">
        <v>0</v>
      </c>
      <c r="J48">
        <v>0</v>
      </c>
      <c r="K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1351156</v>
      </c>
      <c r="AL48">
        <v>0</v>
      </c>
      <c r="AM48">
        <v>0</v>
      </c>
      <c r="AN48">
        <v>0</v>
      </c>
      <c r="AO48">
        <v>0</v>
      </c>
      <c r="AP48">
        <v>0</v>
      </c>
      <c r="AQ48">
        <v>0</v>
      </c>
      <c r="AR48">
        <v>0</v>
      </c>
      <c r="AT48">
        <v>0</v>
      </c>
      <c r="AU48">
        <v>0</v>
      </c>
      <c r="AW48">
        <v>0</v>
      </c>
      <c r="AX48">
        <v>0</v>
      </c>
      <c r="AY48">
        <v>0</v>
      </c>
    </row>
    <row r="49" spans="1:51" x14ac:dyDescent="0.3">
      <c r="A49" s="754">
        <v>255</v>
      </c>
      <c r="B49" t="s">
        <v>164</v>
      </c>
      <c r="D49">
        <v>0</v>
      </c>
      <c r="E49">
        <v>0</v>
      </c>
      <c r="F49">
        <v>0</v>
      </c>
      <c r="G49">
        <v>0</v>
      </c>
      <c r="H49">
        <v>0</v>
      </c>
      <c r="I49">
        <v>0</v>
      </c>
      <c r="J49">
        <v>0</v>
      </c>
      <c r="K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T49">
        <v>0</v>
      </c>
      <c r="AU49">
        <v>0</v>
      </c>
      <c r="AW49">
        <v>0</v>
      </c>
      <c r="AX49">
        <v>0</v>
      </c>
      <c r="AY49">
        <v>0</v>
      </c>
    </row>
    <row r="50" spans="1:51" x14ac:dyDescent="0.3">
      <c r="A50" s="754">
        <v>327</v>
      </c>
      <c r="B50" t="s">
        <v>846</v>
      </c>
      <c r="D50">
        <v>1316599</v>
      </c>
      <c r="E50">
        <v>529738</v>
      </c>
      <c r="F50">
        <v>502110</v>
      </c>
      <c r="G50">
        <v>1577596</v>
      </c>
      <c r="H50">
        <v>14209302</v>
      </c>
      <c r="I50">
        <v>7861153</v>
      </c>
      <c r="J50">
        <v>10382672</v>
      </c>
      <c r="K50">
        <v>1472928</v>
      </c>
      <c r="M50">
        <v>1554693</v>
      </c>
      <c r="N50">
        <v>788528</v>
      </c>
      <c r="O50">
        <v>300290</v>
      </c>
      <c r="P50">
        <v>13822450</v>
      </c>
      <c r="Q50">
        <v>34035</v>
      </c>
      <c r="R50">
        <v>20000</v>
      </c>
      <c r="S50">
        <v>587499</v>
      </c>
      <c r="T50">
        <v>30586</v>
      </c>
      <c r="U50">
        <v>3855141</v>
      </c>
      <c r="V50">
        <v>58844</v>
      </c>
      <c r="W50">
        <v>265154</v>
      </c>
      <c r="X50">
        <v>260800</v>
      </c>
      <c r="Y50">
        <v>882053</v>
      </c>
      <c r="Z50">
        <v>13378</v>
      </c>
      <c r="AA50">
        <v>356810</v>
      </c>
      <c r="AB50">
        <v>92043</v>
      </c>
      <c r="AC50">
        <v>1377196</v>
      </c>
      <c r="AD50">
        <v>506876</v>
      </c>
      <c r="AE50">
        <v>0</v>
      </c>
      <c r="AF50">
        <v>18990811</v>
      </c>
      <c r="AG50">
        <v>17844022</v>
      </c>
      <c r="AH50">
        <v>41685354</v>
      </c>
      <c r="AI50">
        <v>603427</v>
      </c>
      <c r="AJ50">
        <v>315358</v>
      </c>
      <c r="AK50">
        <v>1</v>
      </c>
      <c r="AL50">
        <v>33450</v>
      </c>
      <c r="AM50">
        <v>77603</v>
      </c>
      <c r="AN50">
        <v>398368</v>
      </c>
      <c r="AO50">
        <v>68756</v>
      </c>
      <c r="AP50">
        <v>157570</v>
      </c>
      <c r="AQ50">
        <v>0</v>
      </c>
      <c r="AR50">
        <v>59979</v>
      </c>
      <c r="AT50">
        <v>1645763</v>
      </c>
      <c r="AU50">
        <v>0</v>
      </c>
      <c r="AW50">
        <v>15059</v>
      </c>
      <c r="AX50">
        <v>228517</v>
      </c>
      <c r="AY50">
        <v>16858</v>
      </c>
    </row>
    <row r="51" spans="1:51" x14ac:dyDescent="0.3">
      <c r="A51" s="754">
        <v>328</v>
      </c>
      <c r="B51" t="s">
        <v>282</v>
      </c>
      <c r="D51">
        <v>86424</v>
      </c>
      <c r="E51">
        <v>0</v>
      </c>
      <c r="F51">
        <v>399228</v>
      </c>
      <c r="G51">
        <v>40279796</v>
      </c>
      <c r="H51">
        <v>27149553</v>
      </c>
      <c r="I51">
        <v>13654725</v>
      </c>
      <c r="J51">
        <v>91234330</v>
      </c>
      <c r="K51">
        <v>6339162</v>
      </c>
      <c r="M51">
        <v>5890415</v>
      </c>
      <c r="N51">
        <v>439539</v>
      </c>
      <c r="O51">
        <v>0</v>
      </c>
      <c r="P51">
        <v>80900528</v>
      </c>
      <c r="Q51">
        <v>0</v>
      </c>
      <c r="R51">
        <v>0</v>
      </c>
      <c r="S51">
        <v>0</v>
      </c>
      <c r="T51">
        <v>1747705</v>
      </c>
      <c r="U51">
        <v>53967931</v>
      </c>
      <c r="V51">
        <v>0</v>
      </c>
      <c r="W51">
        <v>0</v>
      </c>
      <c r="X51">
        <v>46091</v>
      </c>
      <c r="Y51">
        <v>0</v>
      </c>
      <c r="Z51">
        <v>1793585</v>
      </c>
      <c r="AA51">
        <v>0</v>
      </c>
      <c r="AB51">
        <v>0</v>
      </c>
      <c r="AC51">
        <v>380410</v>
      </c>
      <c r="AD51">
        <v>0</v>
      </c>
      <c r="AE51">
        <v>0</v>
      </c>
      <c r="AF51">
        <v>16433704</v>
      </c>
      <c r="AG51">
        <v>48401404</v>
      </c>
      <c r="AH51">
        <v>426943</v>
      </c>
      <c r="AI51">
        <v>1896566</v>
      </c>
      <c r="AJ51">
        <v>0</v>
      </c>
      <c r="AK51">
        <v>0</v>
      </c>
      <c r="AL51">
        <v>434390</v>
      </c>
      <c r="AM51">
        <v>0</v>
      </c>
      <c r="AN51">
        <v>0</v>
      </c>
      <c r="AO51">
        <v>0</v>
      </c>
      <c r="AP51">
        <v>0</v>
      </c>
      <c r="AQ51">
        <v>272828</v>
      </c>
      <c r="AR51">
        <v>0</v>
      </c>
      <c r="AT51">
        <v>2571071</v>
      </c>
      <c r="AU51">
        <v>0</v>
      </c>
      <c r="AW51">
        <v>0</v>
      </c>
      <c r="AX51">
        <v>0</v>
      </c>
      <c r="AY51">
        <v>3652066</v>
      </c>
    </row>
    <row r="52" spans="1:51" x14ac:dyDescent="0.3">
      <c r="A52" s="754">
        <v>331</v>
      </c>
      <c r="B52" t="s">
        <v>214</v>
      </c>
      <c r="D52">
        <v>218133</v>
      </c>
      <c r="E52">
        <v>274242</v>
      </c>
      <c r="F52">
        <v>2182973</v>
      </c>
      <c r="G52">
        <v>2739080</v>
      </c>
      <c r="H52">
        <v>6120825</v>
      </c>
      <c r="I52">
        <v>1397256</v>
      </c>
      <c r="J52">
        <v>14327860</v>
      </c>
      <c r="K52">
        <v>217910</v>
      </c>
      <c r="M52">
        <v>449000</v>
      </c>
      <c r="N52">
        <v>552183</v>
      </c>
      <c r="O52">
        <v>17000</v>
      </c>
      <c r="P52">
        <v>14022094</v>
      </c>
      <c r="Q52">
        <v>72000</v>
      </c>
      <c r="R52">
        <v>47000</v>
      </c>
      <c r="S52">
        <v>0</v>
      </c>
      <c r="T52">
        <v>33422</v>
      </c>
      <c r="U52">
        <v>4330289</v>
      </c>
      <c r="V52">
        <v>882444</v>
      </c>
      <c r="W52">
        <v>0</v>
      </c>
      <c r="X52">
        <v>619636</v>
      </c>
      <c r="Y52">
        <v>1803043</v>
      </c>
      <c r="Z52">
        <v>155766</v>
      </c>
      <c r="AA52">
        <v>322130</v>
      </c>
      <c r="AB52">
        <v>0</v>
      </c>
      <c r="AC52">
        <v>2616469</v>
      </c>
      <c r="AD52">
        <v>319426</v>
      </c>
      <c r="AE52">
        <v>32000</v>
      </c>
      <c r="AF52">
        <v>3933993</v>
      </c>
      <c r="AG52">
        <v>4762329</v>
      </c>
      <c r="AH52">
        <v>3291548</v>
      </c>
      <c r="AI52">
        <v>613509</v>
      </c>
      <c r="AJ52">
        <v>201767</v>
      </c>
      <c r="AK52">
        <v>0</v>
      </c>
      <c r="AL52">
        <v>2477478</v>
      </c>
      <c r="AM52">
        <v>235549</v>
      </c>
      <c r="AN52">
        <v>397865</v>
      </c>
      <c r="AO52">
        <v>0</v>
      </c>
      <c r="AP52">
        <v>113299</v>
      </c>
      <c r="AQ52">
        <v>128000</v>
      </c>
      <c r="AR52">
        <v>0</v>
      </c>
      <c r="AT52">
        <v>237250</v>
      </c>
      <c r="AU52">
        <v>0</v>
      </c>
      <c r="AW52">
        <v>0</v>
      </c>
      <c r="AX52">
        <v>3312</v>
      </c>
      <c r="AY52">
        <v>960343</v>
      </c>
    </row>
    <row r="53" spans="1:51" x14ac:dyDescent="0.3">
      <c r="A53" s="754">
        <v>332</v>
      </c>
      <c r="B53" t="s">
        <v>215</v>
      </c>
      <c r="D53">
        <v>749424</v>
      </c>
      <c r="E53">
        <v>84533</v>
      </c>
      <c r="F53">
        <v>1643318</v>
      </c>
      <c r="G53">
        <v>21733050</v>
      </c>
      <c r="H53">
        <v>14343274</v>
      </c>
      <c r="I53">
        <v>10445938</v>
      </c>
      <c r="J53">
        <v>29706990</v>
      </c>
      <c r="K53">
        <v>6753995</v>
      </c>
      <c r="M53">
        <v>3745597</v>
      </c>
      <c r="N53">
        <v>516384</v>
      </c>
      <c r="O53">
        <v>0</v>
      </c>
      <c r="P53">
        <v>54827910</v>
      </c>
      <c r="Q53">
        <v>330199</v>
      </c>
      <c r="R53">
        <v>0</v>
      </c>
      <c r="S53">
        <v>0</v>
      </c>
      <c r="T53">
        <v>127998</v>
      </c>
      <c r="U53">
        <v>34943087</v>
      </c>
      <c r="V53">
        <v>51000</v>
      </c>
      <c r="W53">
        <v>122130</v>
      </c>
      <c r="X53">
        <v>1180722</v>
      </c>
      <c r="Y53">
        <v>872297</v>
      </c>
      <c r="Z53">
        <v>222309</v>
      </c>
      <c r="AA53">
        <v>34099</v>
      </c>
      <c r="AB53">
        <v>2170</v>
      </c>
      <c r="AC53">
        <v>1314124</v>
      </c>
      <c r="AD53">
        <v>97933</v>
      </c>
      <c r="AE53">
        <v>3301</v>
      </c>
      <c r="AF53">
        <v>8039838</v>
      </c>
      <c r="AG53">
        <v>10698059</v>
      </c>
      <c r="AH53">
        <v>1147104</v>
      </c>
      <c r="AI53">
        <v>2382845</v>
      </c>
      <c r="AJ53">
        <v>4228</v>
      </c>
      <c r="AK53">
        <v>17136</v>
      </c>
      <c r="AL53">
        <v>6382641</v>
      </c>
      <c r="AM53">
        <v>199084</v>
      </c>
      <c r="AN53">
        <v>325935</v>
      </c>
      <c r="AO53">
        <v>283883</v>
      </c>
      <c r="AP53">
        <v>26560</v>
      </c>
      <c r="AQ53">
        <v>259937</v>
      </c>
      <c r="AR53">
        <v>0</v>
      </c>
      <c r="AT53">
        <v>1575835</v>
      </c>
      <c r="AU53">
        <v>0</v>
      </c>
      <c r="AW53">
        <v>0</v>
      </c>
      <c r="AX53">
        <v>323529</v>
      </c>
      <c r="AY53">
        <v>3057304</v>
      </c>
    </row>
    <row r="54" spans="1:51" x14ac:dyDescent="0.3">
      <c r="A54" s="754">
        <v>333</v>
      </c>
      <c r="B54" t="s">
        <v>152</v>
      </c>
      <c r="D54">
        <v>0</v>
      </c>
      <c r="E54">
        <v>0</v>
      </c>
      <c r="F54">
        <v>0</v>
      </c>
      <c r="G54">
        <v>0</v>
      </c>
      <c r="H54">
        <v>0</v>
      </c>
      <c r="I54">
        <v>0</v>
      </c>
      <c r="J54">
        <v>0</v>
      </c>
      <c r="K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1190931</v>
      </c>
      <c r="AL54">
        <v>0</v>
      </c>
      <c r="AM54">
        <v>0</v>
      </c>
      <c r="AN54">
        <v>0</v>
      </c>
      <c r="AO54">
        <v>0</v>
      </c>
      <c r="AP54">
        <v>0</v>
      </c>
      <c r="AQ54">
        <v>0</v>
      </c>
      <c r="AR54">
        <v>0</v>
      </c>
      <c r="AT54">
        <v>0</v>
      </c>
      <c r="AU54">
        <v>0</v>
      </c>
      <c r="AW54">
        <v>0</v>
      </c>
      <c r="AX54">
        <v>0</v>
      </c>
      <c r="AY54">
        <v>0</v>
      </c>
    </row>
    <row r="55" spans="1:51" x14ac:dyDescent="0.3">
      <c r="A55" s="754">
        <v>334</v>
      </c>
      <c r="B55" t="s">
        <v>237</v>
      </c>
      <c r="D55">
        <v>0</v>
      </c>
      <c r="E55">
        <v>0</v>
      </c>
      <c r="F55">
        <v>0</v>
      </c>
      <c r="G55">
        <v>0</v>
      </c>
      <c r="H55">
        <v>0</v>
      </c>
      <c r="I55">
        <v>0</v>
      </c>
      <c r="J55">
        <v>0</v>
      </c>
      <c r="K55">
        <v>0</v>
      </c>
      <c r="M55">
        <v>0</v>
      </c>
      <c r="N55">
        <v>0</v>
      </c>
      <c r="O55">
        <v>0</v>
      </c>
      <c r="P55">
        <v>0</v>
      </c>
      <c r="Q55">
        <v>0</v>
      </c>
      <c r="R55">
        <v>0</v>
      </c>
      <c r="S55">
        <v>0</v>
      </c>
      <c r="T55">
        <v>0</v>
      </c>
      <c r="U55">
        <v>0</v>
      </c>
      <c r="V55">
        <v>0</v>
      </c>
      <c r="W55">
        <v>0</v>
      </c>
      <c r="X55">
        <v>0</v>
      </c>
      <c r="Y55">
        <v>0</v>
      </c>
      <c r="Z55">
        <v>0</v>
      </c>
      <c r="AA55">
        <v>0</v>
      </c>
      <c r="AB55">
        <v>0</v>
      </c>
      <c r="AC55">
        <v>0</v>
      </c>
      <c r="AD55">
        <v>0</v>
      </c>
      <c r="AE55">
        <v>7439605</v>
      </c>
      <c r="AF55">
        <v>0</v>
      </c>
      <c r="AG55">
        <v>0</v>
      </c>
      <c r="AH55">
        <v>0</v>
      </c>
      <c r="AI55">
        <v>0</v>
      </c>
      <c r="AJ55">
        <v>0</v>
      </c>
      <c r="AK55">
        <v>0</v>
      </c>
      <c r="AL55">
        <v>0</v>
      </c>
      <c r="AM55">
        <v>0</v>
      </c>
      <c r="AN55">
        <v>0</v>
      </c>
      <c r="AO55">
        <v>0</v>
      </c>
      <c r="AP55">
        <v>0</v>
      </c>
      <c r="AQ55">
        <v>0</v>
      </c>
      <c r="AR55">
        <v>0</v>
      </c>
      <c r="AT55">
        <v>0</v>
      </c>
      <c r="AU55">
        <v>0</v>
      </c>
      <c r="AW55">
        <v>0</v>
      </c>
      <c r="AX55">
        <v>0</v>
      </c>
      <c r="AY55">
        <v>0</v>
      </c>
    </row>
    <row r="56" spans="1:51" x14ac:dyDescent="0.3">
      <c r="A56" s="754">
        <v>335</v>
      </c>
      <c r="B56" t="s">
        <v>87</v>
      </c>
      <c r="D56">
        <v>0</v>
      </c>
      <c r="E56">
        <v>0</v>
      </c>
      <c r="F56">
        <v>0</v>
      </c>
      <c r="G56">
        <v>0</v>
      </c>
      <c r="H56">
        <v>0</v>
      </c>
      <c r="I56">
        <v>0</v>
      </c>
      <c r="J56">
        <v>0</v>
      </c>
      <c r="K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970</v>
      </c>
      <c r="AL56">
        <v>0</v>
      </c>
      <c r="AM56">
        <v>0</v>
      </c>
      <c r="AN56">
        <v>0</v>
      </c>
      <c r="AO56">
        <v>0</v>
      </c>
      <c r="AP56">
        <v>0</v>
      </c>
      <c r="AQ56">
        <v>0</v>
      </c>
      <c r="AR56">
        <v>0</v>
      </c>
      <c r="AT56">
        <v>0</v>
      </c>
      <c r="AU56">
        <v>0</v>
      </c>
      <c r="AW56">
        <v>0</v>
      </c>
      <c r="AX56">
        <v>0</v>
      </c>
      <c r="AY56">
        <v>0</v>
      </c>
    </row>
    <row r="57" spans="1:51" x14ac:dyDescent="0.3">
      <c r="A57" s="754">
        <v>336</v>
      </c>
      <c r="B57" t="s">
        <v>847</v>
      </c>
      <c r="D57">
        <v>0</v>
      </c>
      <c r="E57">
        <v>0</v>
      </c>
      <c r="F57">
        <v>0</v>
      </c>
      <c r="G57">
        <v>0</v>
      </c>
      <c r="H57">
        <v>0</v>
      </c>
      <c r="I57">
        <v>0</v>
      </c>
      <c r="J57">
        <v>0</v>
      </c>
      <c r="K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27170</v>
      </c>
      <c r="AL57">
        <v>0</v>
      </c>
      <c r="AM57">
        <v>0</v>
      </c>
      <c r="AN57">
        <v>0</v>
      </c>
      <c r="AO57">
        <v>0</v>
      </c>
      <c r="AP57">
        <v>0</v>
      </c>
      <c r="AQ57">
        <v>0</v>
      </c>
      <c r="AR57">
        <v>0</v>
      </c>
      <c r="AT57">
        <v>0</v>
      </c>
      <c r="AU57">
        <v>0</v>
      </c>
      <c r="AW57">
        <v>0</v>
      </c>
      <c r="AX57">
        <v>0</v>
      </c>
      <c r="AY57">
        <v>0</v>
      </c>
    </row>
    <row r="58" spans="1:51" x14ac:dyDescent="0.3">
      <c r="A58" s="754">
        <v>337</v>
      </c>
      <c r="B58" t="s">
        <v>221</v>
      </c>
      <c r="D58">
        <v>0</v>
      </c>
      <c r="E58">
        <v>0</v>
      </c>
      <c r="F58">
        <v>0</v>
      </c>
      <c r="G58">
        <v>0</v>
      </c>
      <c r="H58">
        <v>0</v>
      </c>
      <c r="I58">
        <v>0</v>
      </c>
      <c r="J58">
        <v>0</v>
      </c>
      <c r="K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T58">
        <v>0</v>
      </c>
      <c r="AU58">
        <v>0</v>
      </c>
      <c r="AW58">
        <v>0</v>
      </c>
      <c r="AX58">
        <v>0</v>
      </c>
      <c r="AY58">
        <v>0</v>
      </c>
    </row>
    <row r="59" spans="1:51" x14ac:dyDescent="0.3">
      <c r="A59" s="754">
        <v>338</v>
      </c>
      <c r="B59" t="s">
        <v>86</v>
      </c>
      <c r="D59">
        <v>0</v>
      </c>
      <c r="E59">
        <v>0</v>
      </c>
      <c r="F59">
        <v>0</v>
      </c>
      <c r="G59">
        <v>0</v>
      </c>
      <c r="H59">
        <v>0</v>
      </c>
      <c r="I59">
        <v>0</v>
      </c>
      <c r="J59">
        <v>0</v>
      </c>
      <c r="K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28140</v>
      </c>
      <c r="AL59">
        <v>0</v>
      </c>
      <c r="AM59">
        <v>0</v>
      </c>
      <c r="AN59">
        <v>0</v>
      </c>
      <c r="AO59">
        <v>0</v>
      </c>
      <c r="AP59">
        <v>0</v>
      </c>
      <c r="AQ59">
        <v>0</v>
      </c>
      <c r="AR59">
        <v>0</v>
      </c>
      <c r="AT59">
        <v>0</v>
      </c>
      <c r="AU59">
        <v>0</v>
      </c>
      <c r="AW59">
        <v>0</v>
      </c>
      <c r="AX59">
        <v>0</v>
      </c>
      <c r="AY59">
        <v>0</v>
      </c>
    </row>
    <row r="60" spans="1:51" x14ac:dyDescent="0.3">
      <c r="A60" s="754">
        <v>339</v>
      </c>
      <c r="B60" t="s">
        <v>157</v>
      </c>
      <c r="D60">
        <v>0</v>
      </c>
      <c r="E60">
        <v>0</v>
      </c>
      <c r="F60">
        <v>0</v>
      </c>
      <c r="G60">
        <v>0</v>
      </c>
      <c r="H60">
        <v>0</v>
      </c>
      <c r="I60">
        <v>0</v>
      </c>
      <c r="J60">
        <v>0</v>
      </c>
      <c r="K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T60">
        <v>0</v>
      </c>
      <c r="AU60">
        <v>0</v>
      </c>
      <c r="AW60">
        <v>0</v>
      </c>
      <c r="AX60">
        <v>0</v>
      </c>
      <c r="AY60">
        <v>0</v>
      </c>
    </row>
    <row r="61" spans="1:51" x14ac:dyDescent="0.3">
      <c r="A61" s="754">
        <v>341</v>
      </c>
      <c r="B61" t="s">
        <v>848</v>
      </c>
      <c r="D61">
        <v>0</v>
      </c>
      <c r="E61">
        <v>0</v>
      </c>
      <c r="F61">
        <v>0</v>
      </c>
      <c r="G61">
        <v>0</v>
      </c>
      <c r="H61">
        <v>0</v>
      </c>
      <c r="I61">
        <v>0</v>
      </c>
      <c r="J61">
        <v>0</v>
      </c>
      <c r="K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T61">
        <v>0</v>
      </c>
      <c r="AU61">
        <v>0</v>
      </c>
      <c r="AW61">
        <v>0</v>
      </c>
      <c r="AX61">
        <v>0</v>
      </c>
      <c r="AY61">
        <v>0</v>
      </c>
    </row>
    <row r="62" spans="1:51" x14ac:dyDescent="0.3">
      <c r="A62" s="754">
        <v>343</v>
      </c>
      <c r="B62" t="s">
        <v>222</v>
      </c>
      <c r="D62">
        <v>0</v>
      </c>
      <c r="E62">
        <v>0</v>
      </c>
      <c r="F62">
        <v>0</v>
      </c>
      <c r="G62">
        <v>0</v>
      </c>
      <c r="H62">
        <v>0</v>
      </c>
      <c r="I62">
        <v>0</v>
      </c>
      <c r="J62">
        <v>0</v>
      </c>
      <c r="K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T62">
        <v>0</v>
      </c>
      <c r="AU62">
        <v>0</v>
      </c>
      <c r="AW62">
        <v>0</v>
      </c>
      <c r="AX62">
        <v>0</v>
      </c>
      <c r="AY62">
        <v>0</v>
      </c>
    </row>
    <row r="63" spans="1:51" x14ac:dyDescent="0.3">
      <c r="A63" s="754">
        <v>344</v>
      </c>
      <c r="B63" t="s">
        <v>155</v>
      </c>
      <c r="D63">
        <v>0</v>
      </c>
      <c r="E63">
        <v>0</v>
      </c>
      <c r="F63">
        <v>0</v>
      </c>
      <c r="G63">
        <v>0</v>
      </c>
      <c r="H63">
        <v>0</v>
      </c>
      <c r="I63">
        <v>0</v>
      </c>
      <c r="J63">
        <v>0</v>
      </c>
      <c r="K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T63">
        <v>0</v>
      </c>
      <c r="AU63">
        <v>0</v>
      </c>
      <c r="AW63">
        <v>0</v>
      </c>
      <c r="AX63">
        <v>0</v>
      </c>
      <c r="AY63">
        <v>0</v>
      </c>
    </row>
    <row r="64" spans="1:51" x14ac:dyDescent="0.3">
      <c r="A64" s="754">
        <v>349</v>
      </c>
      <c r="B64" t="s">
        <v>92</v>
      </c>
      <c r="D64">
        <v>3233665</v>
      </c>
      <c r="E64">
        <v>5796033</v>
      </c>
      <c r="F64">
        <v>10955273</v>
      </c>
      <c r="G64">
        <v>83236045</v>
      </c>
      <c r="H64">
        <v>108281470</v>
      </c>
      <c r="I64">
        <v>79988988</v>
      </c>
      <c r="J64">
        <v>331941664</v>
      </c>
      <c r="K64">
        <v>19160241</v>
      </c>
      <c r="M64">
        <v>18879398</v>
      </c>
      <c r="N64">
        <v>10843407</v>
      </c>
      <c r="O64">
        <v>927416</v>
      </c>
      <c r="P64">
        <v>446152944</v>
      </c>
      <c r="Q64">
        <v>1052282</v>
      </c>
      <c r="R64">
        <v>2839072</v>
      </c>
      <c r="S64">
        <v>3957984</v>
      </c>
      <c r="T64">
        <v>1414468</v>
      </c>
      <c r="U64">
        <v>146745310</v>
      </c>
      <c r="V64">
        <v>10593970</v>
      </c>
      <c r="W64">
        <v>27597</v>
      </c>
      <c r="X64">
        <v>10338724</v>
      </c>
      <c r="Y64">
        <v>19129793</v>
      </c>
      <c r="Z64">
        <v>2401306</v>
      </c>
      <c r="AA64">
        <v>16477832</v>
      </c>
      <c r="AB64">
        <v>40451</v>
      </c>
      <c r="AC64">
        <v>70360410</v>
      </c>
      <c r="AD64">
        <v>3200411</v>
      </c>
      <c r="AE64">
        <v>2100823</v>
      </c>
      <c r="AF64">
        <v>78265709</v>
      </c>
      <c r="AG64">
        <v>120140352</v>
      </c>
      <c r="AH64">
        <v>11023228</v>
      </c>
      <c r="AI64">
        <v>14646317</v>
      </c>
      <c r="AJ64">
        <v>1428241</v>
      </c>
      <c r="AK64">
        <v>28140</v>
      </c>
      <c r="AL64">
        <v>35815387</v>
      </c>
      <c r="AM64">
        <v>4325960</v>
      </c>
      <c r="AN64">
        <v>10268315</v>
      </c>
      <c r="AO64">
        <v>420379</v>
      </c>
      <c r="AP64">
        <v>530321</v>
      </c>
      <c r="AQ64">
        <v>7156717</v>
      </c>
      <c r="AR64">
        <v>10107</v>
      </c>
      <c r="AT64">
        <v>14084940</v>
      </c>
      <c r="AU64">
        <v>0</v>
      </c>
      <c r="AW64">
        <v>1962</v>
      </c>
      <c r="AX64">
        <v>794154</v>
      </c>
      <c r="AY64">
        <v>6889939</v>
      </c>
    </row>
    <row r="65" spans="1:51" x14ac:dyDescent="0.3">
      <c r="A65" s="754">
        <v>350</v>
      </c>
      <c r="B65" t="s">
        <v>849</v>
      </c>
      <c r="D65">
        <v>245596</v>
      </c>
      <c r="E65">
        <v>19917</v>
      </c>
      <c r="F65">
        <v>372542</v>
      </c>
      <c r="G65">
        <v>66874</v>
      </c>
      <c r="H65">
        <v>505697</v>
      </c>
      <c r="I65">
        <v>8302167</v>
      </c>
      <c r="J65">
        <v>1583978</v>
      </c>
      <c r="K65">
        <v>2294856</v>
      </c>
      <c r="M65">
        <v>7885</v>
      </c>
      <c r="N65">
        <v>52077</v>
      </c>
      <c r="O65">
        <v>37488</v>
      </c>
      <c r="P65">
        <v>-1017406</v>
      </c>
      <c r="Q65">
        <v>34836</v>
      </c>
      <c r="R65">
        <v>36288</v>
      </c>
      <c r="S65">
        <v>16258</v>
      </c>
      <c r="T65">
        <v>550</v>
      </c>
      <c r="U65">
        <v>661030</v>
      </c>
      <c r="V65">
        <v>2616</v>
      </c>
      <c r="W65">
        <v>16648</v>
      </c>
      <c r="X65">
        <v>380981</v>
      </c>
      <c r="Y65">
        <v>20448</v>
      </c>
      <c r="Z65">
        <v>30685</v>
      </c>
      <c r="AA65">
        <v>1309</v>
      </c>
      <c r="AB65">
        <v>38463</v>
      </c>
      <c r="AC65">
        <v>158800</v>
      </c>
      <c r="AD65">
        <v>9814</v>
      </c>
      <c r="AE65">
        <v>1313</v>
      </c>
      <c r="AF65">
        <v>4806154</v>
      </c>
      <c r="AG65">
        <v>2529405</v>
      </c>
      <c r="AH65">
        <v>99650</v>
      </c>
      <c r="AI65">
        <v>184881</v>
      </c>
      <c r="AJ65">
        <v>16572</v>
      </c>
      <c r="AK65">
        <v>149408</v>
      </c>
      <c r="AL65">
        <v>312220</v>
      </c>
      <c r="AM65">
        <v>22889</v>
      </c>
      <c r="AN65">
        <v>94795</v>
      </c>
      <c r="AO65">
        <v>54556</v>
      </c>
      <c r="AP65">
        <v>4466</v>
      </c>
      <c r="AQ65">
        <v>1100</v>
      </c>
      <c r="AR65">
        <v>2089</v>
      </c>
      <c r="AT65">
        <v>48344</v>
      </c>
      <c r="AU65">
        <v>0</v>
      </c>
      <c r="AW65">
        <v>0</v>
      </c>
      <c r="AX65">
        <v>9018</v>
      </c>
      <c r="AY65">
        <v>8193</v>
      </c>
    </row>
    <row r="66" spans="1:51" x14ac:dyDescent="0.3">
      <c r="A66" s="754">
        <v>351</v>
      </c>
      <c r="B66" t="s">
        <v>199</v>
      </c>
      <c r="D66">
        <v>94357</v>
      </c>
      <c r="E66">
        <v>64600</v>
      </c>
      <c r="F66">
        <v>344102</v>
      </c>
      <c r="G66">
        <v>2694365</v>
      </c>
      <c r="H66">
        <v>2949509</v>
      </c>
      <c r="I66">
        <v>308341</v>
      </c>
      <c r="J66">
        <v>8858526</v>
      </c>
      <c r="K66">
        <v>59698</v>
      </c>
      <c r="M66">
        <v>410342</v>
      </c>
      <c r="N66">
        <v>113565</v>
      </c>
      <c r="O66">
        <v>16295</v>
      </c>
      <c r="P66">
        <v>11010049</v>
      </c>
      <c r="Q66">
        <v>55200</v>
      </c>
      <c r="R66">
        <v>89687</v>
      </c>
      <c r="S66">
        <v>15187</v>
      </c>
      <c r="T66">
        <v>0</v>
      </c>
      <c r="U66">
        <v>2192481</v>
      </c>
      <c r="V66">
        <v>10779</v>
      </c>
      <c r="W66">
        <v>0</v>
      </c>
      <c r="X66">
        <v>18064</v>
      </c>
      <c r="Y66">
        <v>101023</v>
      </c>
      <c r="Z66">
        <v>37809</v>
      </c>
      <c r="AA66">
        <v>474892</v>
      </c>
      <c r="AB66">
        <v>34284</v>
      </c>
      <c r="AC66">
        <v>2825813</v>
      </c>
      <c r="AD66">
        <v>924</v>
      </c>
      <c r="AE66">
        <v>78519</v>
      </c>
      <c r="AF66">
        <v>1554774</v>
      </c>
      <c r="AG66">
        <v>3121647</v>
      </c>
      <c r="AH66">
        <v>264891</v>
      </c>
      <c r="AI66">
        <v>42966</v>
      </c>
      <c r="AJ66">
        <v>64592</v>
      </c>
      <c r="AK66">
        <v>0</v>
      </c>
      <c r="AL66">
        <v>1364319</v>
      </c>
      <c r="AM66">
        <v>186131</v>
      </c>
      <c r="AN66">
        <v>104130</v>
      </c>
      <c r="AO66">
        <v>0</v>
      </c>
      <c r="AP66">
        <v>8141</v>
      </c>
      <c r="AQ66">
        <v>232805</v>
      </c>
      <c r="AR66">
        <v>0</v>
      </c>
      <c r="AT66">
        <v>406675</v>
      </c>
      <c r="AU66">
        <v>0</v>
      </c>
      <c r="AW66">
        <v>0</v>
      </c>
      <c r="AX66">
        <v>1038</v>
      </c>
      <c r="AY66">
        <v>46479</v>
      </c>
    </row>
    <row r="67" spans="1:51" x14ac:dyDescent="0.3">
      <c r="A67" s="754">
        <v>352</v>
      </c>
      <c r="B67" t="s">
        <v>201</v>
      </c>
      <c r="D67">
        <v>0</v>
      </c>
      <c r="E67">
        <v>0</v>
      </c>
      <c r="F67">
        <v>0</v>
      </c>
      <c r="G67">
        <v>0</v>
      </c>
      <c r="H67">
        <v>0</v>
      </c>
      <c r="I67">
        <v>0</v>
      </c>
      <c r="J67">
        <v>0</v>
      </c>
      <c r="K67">
        <v>0</v>
      </c>
      <c r="M67">
        <v>0</v>
      </c>
      <c r="N67">
        <v>0</v>
      </c>
      <c r="O67">
        <v>0</v>
      </c>
      <c r="P67">
        <v>4903183</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T67">
        <v>0</v>
      </c>
      <c r="AU67">
        <v>0</v>
      </c>
      <c r="AW67">
        <v>0</v>
      </c>
      <c r="AX67">
        <v>0</v>
      </c>
      <c r="AY67">
        <v>0</v>
      </c>
    </row>
    <row r="68" spans="1:51" x14ac:dyDescent="0.3">
      <c r="A68" s="754">
        <v>353</v>
      </c>
      <c r="B68" t="s">
        <v>202</v>
      </c>
      <c r="D68">
        <v>0</v>
      </c>
      <c r="E68">
        <v>0</v>
      </c>
      <c r="F68">
        <v>0</v>
      </c>
      <c r="G68">
        <v>0</v>
      </c>
      <c r="H68">
        <v>0</v>
      </c>
      <c r="I68">
        <v>0</v>
      </c>
      <c r="J68">
        <v>0</v>
      </c>
      <c r="K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T68">
        <v>0</v>
      </c>
      <c r="AU68">
        <v>0</v>
      </c>
      <c r="AW68">
        <v>0</v>
      </c>
      <c r="AX68">
        <v>0</v>
      </c>
      <c r="AY68">
        <v>0</v>
      </c>
    </row>
    <row r="69" spans="1:51" x14ac:dyDescent="0.3">
      <c r="A69" s="754">
        <v>356</v>
      </c>
      <c r="B69" t="s">
        <v>283</v>
      </c>
      <c r="D69">
        <v>0</v>
      </c>
      <c r="E69">
        <v>0</v>
      </c>
      <c r="F69">
        <v>0</v>
      </c>
      <c r="G69">
        <v>0</v>
      </c>
      <c r="H69">
        <v>0</v>
      </c>
      <c r="I69">
        <v>0</v>
      </c>
      <c r="J69">
        <v>0</v>
      </c>
      <c r="K69">
        <v>0</v>
      </c>
      <c r="M69">
        <v>0</v>
      </c>
      <c r="N69">
        <v>0</v>
      </c>
      <c r="O69">
        <v>0</v>
      </c>
      <c r="P69">
        <v>650662097</v>
      </c>
      <c r="Q69">
        <v>0</v>
      </c>
      <c r="R69">
        <v>0</v>
      </c>
      <c r="S69">
        <v>0</v>
      </c>
      <c r="T69">
        <v>0</v>
      </c>
      <c r="U69">
        <v>373767401</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T69">
        <v>0</v>
      </c>
      <c r="AU69">
        <v>0</v>
      </c>
      <c r="AW69">
        <v>0</v>
      </c>
      <c r="AX69">
        <v>0</v>
      </c>
      <c r="AY69">
        <v>0</v>
      </c>
    </row>
    <row r="70" spans="1:51" x14ac:dyDescent="0.3">
      <c r="A70" s="754">
        <v>357</v>
      </c>
      <c r="B70" t="s">
        <v>284</v>
      </c>
      <c r="D70">
        <v>0</v>
      </c>
      <c r="E70">
        <v>0</v>
      </c>
      <c r="F70">
        <v>0</v>
      </c>
      <c r="G70">
        <v>0</v>
      </c>
      <c r="H70">
        <v>0</v>
      </c>
      <c r="I70">
        <v>0</v>
      </c>
      <c r="J70">
        <v>0</v>
      </c>
      <c r="K70">
        <v>0</v>
      </c>
      <c r="M70">
        <v>0</v>
      </c>
      <c r="N70">
        <v>0</v>
      </c>
      <c r="O70">
        <v>0</v>
      </c>
      <c r="P70">
        <v>367702327</v>
      </c>
      <c r="Q70">
        <v>0</v>
      </c>
      <c r="R70">
        <v>0</v>
      </c>
      <c r="S70">
        <v>0</v>
      </c>
      <c r="T70">
        <v>0</v>
      </c>
      <c r="U70">
        <v>232515112</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T70">
        <v>0</v>
      </c>
      <c r="AU70">
        <v>0</v>
      </c>
      <c r="AW70">
        <v>0</v>
      </c>
      <c r="AX70">
        <v>0</v>
      </c>
      <c r="AY70">
        <v>0</v>
      </c>
    </row>
    <row r="71" spans="1:51" x14ac:dyDescent="0.3">
      <c r="A71" s="754">
        <v>359</v>
      </c>
      <c r="B71" t="s">
        <v>223</v>
      </c>
      <c r="D71">
        <v>0</v>
      </c>
      <c r="E71">
        <v>0</v>
      </c>
      <c r="F71">
        <v>0</v>
      </c>
      <c r="G71">
        <v>0</v>
      </c>
      <c r="H71">
        <v>0</v>
      </c>
      <c r="I71">
        <v>0</v>
      </c>
      <c r="J71">
        <v>0</v>
      </c>
      <c r="K71">
        <v>0</v>
      </c>
      <c r="M71">
        <v>0</v>
      </c>
      <c r="N71">
        <v>0</v>
      </c>
      <c r="O71">
        <v>0</v>
      </c>
      <c r="P71">
        <v>29797985</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T71">
        <v>0</v>
      </c>
      <c r="AU71">
        <v>0</v>
      </c>
      <c r="AW71">
        <v>0</v>
      </c>
      <c r="AX71">
        <v>0</v>
      </c>
      <c r="AY71">
        <v>0</v>
      </c>
    </row>
    <row r="72" spans="1:51" x14ac:dyDescent="0.3">
      <c r="A72" s="754">
        <v>360</v>
      </c>
      <c r="B72" t="s">
        <v>95</v>
      </c>
      <c r="D72">
        <v>0</v>
      </c>
      <c r="E72">
        <v>0</v>
      </c>
      <c r="F72">
        <v>0</v>
      </c>
      <c r="G72">
        <v>0</v>
      </c>
      <c r="H72">
        <v>0</v>
      </c>
      <c r="I72">
        <v>0</v>
      </c>
      <c r="J72">
        <v>0</v>
      </c>
      <c r="K72">
        <v>0</v>
      </c>
      <c r="M72">
        <v>0</v>
      </c>
      <c r="N72">
        <v>0</v>
      </c>
      <c r="O72">
        <v>0</v>
      </c>
      <c r="P72">
        <v>89181355</v>
      </c>
      <c r="Q72">
        <v>0</v>
      </c>
      <c r="R72">
        <v>0</v>
      </c>
      <c r="S72">
        <v>0</v>
      </c>
      <c r="T72">
        <v>0</v>
      </c>
      <c r="U72">
        <v>109855796</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T72">
        <v>0</v>
      </c>
      <c r="AU72">
        <v>0</v>
      </c>
      <c r="AW72">
        <v>0</v>
      </c>
      <c r="AX72">
        <v>0</v>
      </c>
      <c r="AY72">
        <v>0</v>
      </c>
    </row>
    <row r="73" spans="1:51" x14ac:dyDescent="0.3">
      <c r="A73" s="754">
        <v>361</v>
      </c>
      <c r="B73" t="s">
        <v>77</v>
      </c>
      <c r="D73">
        <v>0</v>
      </c>
      <c r="E73">
        <v>0</v>
      </c>
      <c r="F73">
        <v>0</v>
      </c>
      <c r="G73">
        <v>0</v>
      </c>
      <c r="H73">
        <v>0</v>
      </c>
      <c r="I73">
        <v>0</v>
      </c>
      <c r="J73">
        <v>0</v>
      </c>
      <c r="K73">
        <v>0</v>
      </c>
      <c r="M73">
        <v>0</v>
      </c>
      <c r="N73">
        <v>0</v>
      </c>
      <c r="O73">
        <v>0</v>
      </c>
      <c r="P73">
        <v>104845923</v>
      </c>
      <c r="Q73">
        <v>0</v>
      </c>
      <c r="R73">
        <v>0</v>
      </c>
      <c r="S73">
        <v>0</v>
      </c>
      <c r="T73">
        <v>0</v>
      </c>
      <c r="U73">
        <v>63296185</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T73">
        <v>0</v>
      </c>
      <c r="AU73">
        <v>0</v>
      </c>
      <c r="AW73">
        <v>0</v>
      </c>
      <c r="AX73">
        <v>0</v>
      </c>
      <c r="AY73">
        <v>0</v>
      </c>
    </row>
    <row r="74" spans="1:51" x14ac:dyDescent="0.3">
      <c r="A74" s="754">
        <v>362</v>
      </c>
      <c r="B74" t="s">
        <v>78</v>
      </c>
      <c r="D74">
        <v>0</v>
      </c>
      <c r="E74">
        <v>0</v>
      </c>
      <c r="F74">
        <v>0</v>
      </c>
      <c r="G74">
        <v>0</v>
      </c>
      <c r="H74">
        <v>0</v>
      </c>
      <c r="I74">
        <v>0</v>
      </c>
      <c r="J74">
        <v>0</v>
      </c>
      <c r="K74">
        <v>0</v>
      </c>
      <c r="M74">
        <v>0</v>
      </c>
      <c r="N74">
        <v>0</v>
      </c>
      <c r="O74">
        <v>0</v>
      </c>
      <c r="P74">
        <v>499743406</v>
      </c>
      <c r="Q74">
        <v>0</v>
      </c>
      <c r="R74">
        <v>0</v>
      </c>
      <c r="S74">
        <v>0</v>
      </c>
      <c r="T74">
        <v>0</v>
      </c>
      <c r="U74">
        <v>160842916</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T74">
        <v>0</v>
      </c>
      <c r="AU74">
        <v>0</v>
      </c>
      <c r="AW74">
        <v>0</v>
      </c>
      <c r="AX74">
        <v>0</v>
      </c>
      <c r="AY74">
        <v>0</v>
      </c>
    </row>
    <row r="75" spans="1:51" x14ac:dyDescent="0.3">
      <c r="A75" s="754">
        <v>363</v>
      </c>
      <c r="B75" t="s">
        <v>209</v>
      </c>
      <c r="D75">
        <v>0</v>
      </c>
      <c r="E75">
        <v>0</v>
      </c>
      <c r="F75">
        <v>0</v>
      </c>
      <c r="G75">
        <v>0</v>
      </c>
      <c r="H75">
        <v>0</v>
      </c>
      <c r="I75">
        <v>0</v>
      </c>
      <c r="J75">
        <v>0</v>
      </c>
      <c r="K75">
        <v>0</v>
      </c>
      <c r="M75">
        <v>0</v>
      </c>
      <c r="N75">
        <v>0</v>
      </c>
      <c r="O75">
        <v>0</v>
      </c>
      <c r="P75">
        <v>1152629</v>
      </c>
      <c r="Q75">
        <v>0</v>
      </c>
      <c r="R75">
        <v>0</v>
      </c>
      <c r="S75">
        <v>0</v>
      </c>
      <c r="T75">
        <v>0</v>
      </c>
      <c r="U75">
        <v>1887483</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T75">
        <v>0</v>
      </c>
      <c r="AU75">
        <v>0</v>
      </c>
      <c r="AW75">
        <v>0</v>
      </c>
      <c r="AX75">
        <v>0</v>
      </c>
      <c r="AY75">
        <v>0</v>
      </c>
    </row>
    <row r="76" spans="1:51" x14ac:dyDescent="0.3">
      <c r="A76" s="754">
        <v>364</v>
      </c>
      <c r="B76" t="s">
        <v>210</v>
      </c>
      <c r="D76">
        <v>0</v>
      </c>
      <c r="E76">
        <v>0</v>
      </c>
      <c r="F76">
        <v>0</v>
      </c>
      <c r="G76">
        <v>0</v>
      </c>
      <c r="H76">
        <v>0</v>
      </c>
      <c r="I76">
        <v>0</v>
      </c>
      <c r="J76">
        <v>0</v>
      </c>
      <c r="K76">
        <v>0</v>
      </c>
      <c r="M76">
        <v>0</v>
      </c>
      <c r="N76">
        <v>0</v>
      </c>
      <c r="O76">
        <v>0</v>
      </c>
      <c r="P76">
        <v>19590896</v>
      </c>
      <c r="Q76">
        <v>0</v>
      </c>
      <c r="R76">
        <v>0</v>
      </c>
      <c r="S76">
        <v>0</v>
      </c>
      <c r="T76">
        <v>0</v>
      </c>
      <c r="U76">
        <v>2671724</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T76">
        <v>0</v>
      </c>
      <c r="AU76">
        <v>0</v>
      </c>
      <c r="AW76">
        <v>0</v>
      </c>
      <c r="AX76">
        <v>0</v>
      </c>
      <c r="AY76">
        <v>0</v>
      </c>
    </row>
    <row r="77" spans="1:51" x14ac:dyDescent="0.3">
      <c r="A77" s="754">
        <v>365</v>
      </c>
      <c r="B77" t="s">
        <v>212</v>
      </c>
      <c r="D77">
        <v>0</v>
      </c>
      <c r="E77">
        <v>0</v>
      </c>
      <c r="F77">
        <v>0</v>
      </c>
      <c r="G77">
        <v>0</v>
      </c>
      <c r="H77">
        <v>0</v>
      </c>
      <c r="I77">
        <v>0</v>
      </c>
      <c r="J77">
        <v>0</v>
      </c>
      <c r="K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T77">
        <v>0</v>
      </c>
      <c r="AU77">
        <v>0</v>
      </c>
      <c r="AW77">
        <v>0</v>
      </c>
      <c r="AX77">
        <v>0</v>
      </c>
      <c r="AY77">
        <v>0</v>
      </c>
    </row>
    <row r="78" spans="1:51" x14ac:dyDescent="0.3">
      <c r="A78" s="754">
        <v>366</v>
      </c>
      <c r="B78" t="s">
        <v>850</v>
      </c>
      <c r="D78">
        <v>0</v>
      </c>
      <c r="E78">
        <v>0</v>
      </c>
      <c r="F78">
        <v>0</v>
      </c>
      <c r="G78">
        <v>0</v>
      </c>
      <c r="H78">
        <v>0</v>
      </c>
      <c r="I78">
        <v>0</v>
      </c>
      <c r="J78">
        <v>0</v>
      </c>
      <c r="K78">
        <v>0</v>
      </c>
      <c r="M78">
        <v>0</v>
      </c>
      <c r="N78">
        <v>0</v>
      </c>
      <c r="O78">
        <v>0</v>
      </c>
      <c r="P78">
        <v>4903183</v>
      </c>
      <c r="Q78">
        <v>0</v>
      </c>
      <c r="R78">
        <v>0</v>
      </c>
      <c r="S78">
        <v>0</v>
      </c>
      <c r="T78">
        <v>0</v>
      </c>
      <c r="U78">
        <v>5059628</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T78">
        <v>0</v>
      </c>
      <c r="AU78">
        <v>0</v>
      </c>
      <c r="AW78">
        <v>0</v>
      </c>
      <c r="AX78">
        <v>0</v>
      </c>
      <c r="AY78">
        <v>0</v>
      </c>
    </row>
    <row r="79" spans="1:51" x14ac:dyDescent="0.3">
      <c r="A79" s="754">
        <v>368</v>
      </c>
      <c r="B79" t="s">
        <v>167</v>
      </c>
      <c r="D79">
        <v>0</v>
      </c>
      <c r="E79">
        <v>0</v>
      </c>
      <c r="F79">
        <v>0</v>
      </c>
      <c r="G79">
        <v>0</v>
      </c>
      <c r="H79">
        <v>0</v>
      </c>
      <c r="I79">
        <v>0</v>
      </c>
      <c r="J79">
        <v>0</v>
      </c>
      <c r="K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T79">
        <v>0</v>
      </c>
      <c r="AU79">
        <v>0</v>
      </c>
      <c r="AW79">
        <v>0</v>
      </c>
      <c r="AX79">
        <v>0</v>
      </c>
      <c r="AY79">
        <v>0</v>
      </c>
    </row>
    <row r="80" spans="1:51" x14ac:dyDescent="0.3">
      <c r="A80" s="754">
        <v>369</v>
      </c>
      <c r="B80" t="s">
        <v>172</v>
      </c>
      <c r="D80">
        <v>0</v>
      </c>
      <c r="E80">
        <v>0</v>
      </c>
      <c r="F80">
        <v>0</v>
      </c>
      <c r="G80">
        <v>0</v>
      </c>
      <c r="H80">
        <v>0</v>
      </c>
      <c r="I80">
        <v>0</v>
      </c>
      <c r="J80">
        <v>0</v>
      </c>
      <c r="K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T80">
        <v>0</v>
      </c>
      <c r="AU80">
        <v>0</v>
      </c>
      <c r="AW80">
        <v>0</v>
      </c>
      <c r="AX80">
        <v>0</v>
      </c>
      <c r="AY80">
        <v>0</v>
      </c>
    </row>
    <row r="81" spans="1:51" x14ac:dyDescent="0.3">
      <c r="A81" s="754">
        <v>370</v>
      </c>
      <c r="B81" t="s">
        <v>174</v>
      </c>
      <c r="D81">
        <v>0</v>
      </c>
      <c r="E81">
        <v>0</v>
      </c>
      <c r="F81">
        <v>0</v>
      </c>
      <c r="G81">
        <v>0</v>
      </c>
      <c r="H81">
        <v>0</v>
      </c>
      <c r="I81">
        <v>0</v>
      </c>
      <c r="J81">
        <v>0</v>
      </c>
      <c r="K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T81">
        <v>0</v>
      </c>
      <c r="AU81">
        <v>0</v>
      </c>
      <c r="AW81">
        <v>0</v>
      </c>
      <c r="AX81">
        <v>0</v>
      </c>
      <c r="AY81">
        <v>0</v>
      </c>
    </row>
    <row r="82" spans="1:51" x14ac:dyDescent="0.3">
      <c r="A82" s="754">
        <v>371</v>
      </c>
      <c r="B82" t="s">
        <v>224</v>
      </c>
      <c r="D82">
        <v>0</v>
      </c>
      <c r="E82">
        <v>0</v>
      </c>
      <c r="F82">
        <v>0</v>
      </c>
      <c r="G82">
        <v>0</v>
      </c>
      <c r="H82">
        <v>0</v>
      </c>
      <c r="I82">
        <v>0</v>
      </c>
      <c r="J82">
        <v>0</v>
      </c>
      <c r="K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T82">
        <v>0</v>
      </c>
      <c r="AU82">
        <v>0</v>
      </c>
      <c r="AW82">
        <v>0</v>
      </c>
      <c r="AX82">
        <v>0</v>
      </c>
      <c r="AY82">
        <v>0</v>
      </c>
    </row>
    <row r="83" spans="1:51" x14ac:dyDescent="0.3">
      <c r="A83" s="754">
        <v>373</v>
      </c>
      <c r="B83" t="s">
        <v>280</v>
      </c>
      <c r="D83">
        <v>0</v>
      </c>
      <c r="E83">
        <v>0</v>
      </c>
      <c r="F83">
        <v>0</v>
      </c>
      <c r="G83">
        <v>0</v>
      </c>
      <c r="H83">
        <v>0</v>
      </c>
      <c r="I83">
        <v>0</v>
      </c>
      <c r="J83">
        <v>0</v>
      </c>
      <c r="K83">
        <v>0</v>
      </c>
      <c r="M83">
        <v>0</v>
      </c>
      <c r="N83">
        <v>0</v>
      </c>
      <c r="O83">
        <v>0</v>
      </c>
      <c r="P83">
        <v>0</v>
      </c>
      <c r="Q83">
        <v>0</v>
      </c>
      <c r="R83">
        <v>0</v>
      </c>
      <c r="S83">
        <v>0</v>
      </c>
      <c r="T83">
        <v>0</v>
      </c>
      <c r="U83">
        <v>0</v>
      </c>
      <c r="V83">
        <v>0</v>
      </c>
      <c r="W83">
        <v>0</v>
      </c>
      <c r="X83">
        <v>0</v>
      </c>
      <c r="Y83">
        <v>0</v>
      </c>
      <c r="Z83">
        <v>0</v>
      </c>
      <c r="AA83">
        <v>0</v>
      </c>
      <c r="AB83">
        <v>0</v>
      </c>
      <c r="AC83">
        <v>0</v>
      </c>
      <c r="AD83">
        <v>0</v>
      </c>
      <c r="AE83">
        <v>5453377</v>
      </c>
      <c r="AF83">
        <v>0</v>
      </c>
      <c r="AG83">
        <v>0</v>
      </c>
      <c r="AH83">
        <v>0</v>
      </c>
      <c r="AI83">
        <v>0</v>
      </c>
      <c r="AJ83">
        <v>0</v>
      </c>
      <c r="AK83">
        <v>0</v>
      </c>
      <c r="AL83">
        <v>0</v>
      </c>
      <c r="AM83">
        <v>0</v>
      </c>
      <c r="AN83">
        <v>0</v>
      </c>
      <c r="AO83">
        <v>0</v>
      </c>
      <c r="AP83">
        <v>0</v>
      </c>
      <c r="AQ83">
        <v>0</v>
      </c>
      <c r="AR83">
        <v>0</v>
      </c>
      <c r="AT83">
        <v>0</v>
      </c>
      <c r="AU83">
        <v>0</v>
      </c>
      <c r="AW83">
        <v>0</v>
      </c>
      <c r="AX83">
        <v>0</v>
      </c>
      <c r="AY83">
        <v>0</v>
      </c>
    </row>
    <row r="84" spans="1:51" x14ac:dyDescent="0.3">
      <c r="A84" s="754">
        <v>375</v>
      </c>
      <c r="B84" t="s">
        <v>189</v>
      </c>
      <c r="D84">
        <v>1807766</v>
      </c>
      <c r="E84">
        <v>8632535</v>
      </c>
      <c r="F84">
        <v>8566428</v>
      </c>
      <c r="G84">
        <v>49634505</v>
      </c>
      <c r="H84">
        <v>73822362</v>
      </c>
      <c r="I84">
        <v>36790766</v>
      </c>
      <c r="J84">
        <v>61009738</v>
      </c>
      <c r="K84">
        <v>12435503</v>
      </c>
      <c r="M84">
        <v>324952</v>
      </c>
      <c r="N84">
        <v>5993181</v>
      </c>
      <c r="O84">
        <v>28588</v>
      </c>
      <c r="P84">
        <v>33061785</v>
      </c>
      <c r="Q84">
        <v>1721759</v>
      </c>
      <c r="R84">
        <v>86958</v>
      </c>
      <c r="S84">
        <v>7653842</v>
      </c>
      <c r="T84">
        <v>901625</v>
      </c>
      <c r="U84">
        <v>24395301</v>
      </c>
      <c r="V84">
        <v>4200671</v>
      </c>
      <c r="W84">
        <v>764271</v>
      </c>
      <c r="X84">
        <v>3424231</v>
      </c>
      <c r="Y84">
        <v>3459214</v>
      </c>
      <c r="Z84">
        <v>1068610</v>
      </c>
      <c r="AA84">
        <v>2236934</v>
      </c>
      <c r="AB84">
        <v>1292133</v>
      </c>
      <c r="AC84">
        <v>9663253</v>
      </c>
      <c r="AD84">
        <v>3662273</v>
      </c>
      <c r="AE84">
        <v>543731</v>
      </c>
      <c r="AF84">
        <v>40004542</v>
      </c>
      <c r="AG84">
        <v>14203346</v>
      </c>
      <c r="AH84">
        <v>19684451</v>
      </c>
      <c r="AI84">
        <v>10086258</v>
      </c>
      <c r="AJ84">
        <v>498967</v>
      </c>
      <c r="AK84">
        <v>1351156</v>
      </c>
      <c r="AL84">
        <v>26256578</v>
      </c>
      <c r="AM84">
        <v>3890084</v>
      </c>
      <c r="AN84">
        <v>9375711</v>
      </c>
      <c r="AO84">
        <v>2586673</v>
      </c>
      <c r="AP84">
        <v>2621701</v>
      </c>
      <c r="AQ84">
        <v>879531</v>
      </c>
      <c r="AR84">
        <v>395747</v>
      </c>
      <c r="AT84">
        <v>14078067</v>
      </c>
      <c r="AU84">
        <v>0</v>
      </c>
      <c r="AW84">
        <v>0</v>
      </c>
      <c r="AX84">
        <v>3218672</v>
      </c>
      <c r="AY84">
        <v>2581939</v>
      </c>
    </row>
    <row r="85" spans="1:51" x14ac:dyDescent="0.3">
      <c r="A85" s="754">
        <v>376</v>
      </c>
      <c r="B85" t="s">
        <v>79</v>
      </c>
      <c r="D85">
        <v>0</v>
      </c>
      <c r="E85">
        <v>0</v>
      </c>
      <c r="F85">
        <v>0</v>
      </c>
      <c r="G85">
        <v>0</v>
      </c>
      <c r="H85">
        <v>0</v>
      </c>
      <c r="I85">
        <v>0</v>
      </c>
      <c r="J85">
        <v>0</v>
      </c>
      <c r="K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T85">
        <v>0</v>
      </c>
      <c r="AU85">
        <v>0</v>
      </c>
      <c r="AW85">
        <v>0</v>
      </c>
      <c r="AX85">
        <v>0</v>
      </c>
      <c r="AY85">
        <v>0</v>
      </c>
    </row>
    <row r="86" spans="1:51" x14ac:dyDescent="0.3">
      <c r="A86" s="754">
        <v>377</v>
      </c>
      <c r="B86" t="s">
        <v>80</v>
      </c>
      <c r="D86">
        <v>0</v>
      </c>
      <c r="E86">
        <v>0</v>
      </c>
      <c r="F86">
        <v>0</v>
      </c>
      <c r="G86">
        <v>0</v>
      </c>
      <c r="H86">
        <v>0</v>
      </c>
      <c r="I86">
        <v>0</v>
      </c>
      <c r="J86">
        <v>0</v>
      </c>
      <c r="K86">
        <v>0</v>
      </c>
      <c r="M86">
        <v>12970</v>
      </c>
      <c r="N86">
        <v>0</v>
      </c>
      <c r="O86">
        <v>0</v>
      </c>
      <c r="P86">
        <v>0</v>
      </c>
      <c r="Q86">
        <v>0</v>
      </c>
      <c r="R86">
        <v>0</v>
      </c>
      <c r="S86">
        <v>137025</v>
      </c>
      <c r="T86">
        <v>0</v>
      </c>
      <c r="U86">
        <v>0</v>
      </c>
      <c r="V86">
        <v>0</v>
      </c>
      <c r="W86">
        <v>0</v>
      </c>
      <c r="X86">
        <v>0</v>
      </c>
      <c r="Y86">
        <v>0</v>
      </c>
      <c r="Z86">
        <v>0</v>
      </c>
      <c r="AA86">
        <v>0</v>
      </c>
      <c r="AB86">
        <v>0</v>
      </c>
      <c r="AC86">
        <v>0</v>
      </c>
      <c r="AD86">
        <v>0</v>
      </c>
      <c r="AE86">
        <v>0</v>
      </c>
      <c r="AF86">
        <v>0</v>
      </c>
      <c r="AG86">
        <v>-6081</v>
      </c>
      <c r="AH86">
        <v>0</v>
      </c>
      <c r="AI86">
        <v>0</v>
      </c>
      <c r="AJ86">
        <v>0</v>
      </c>
      <c r="AK86">
        <v>0</v>
      </c>
      <c r="AL86">
        <v>0</v>
      </c>
      <c r="AM86">
        <v>0</v>
      </c>
      <c r="AN86">
        <v>0</v>
      </c>
      <c r="AO86">
        <v>0</v>
      </c>
      <c r="AP86">
        <v>0</v>
      </c>
      <c r="AQ86">
        <v>0</v>
      </c>
      <c r="AR86">
        <v>0</v>
      </c>
      <c r="AT86">
        <v>0</v>
      </c>
      <c r="AU86">
        <v>0</v>
      </c>
      <c r="AW86">
        <v>0</v>
      </c>
      <c r="AX86">
        <v>0</v>
      </c>
      <c r="AY86">
        <v>0</v>
      </c>
    </row>
    <row r="87" spans="1:51" x14ac:dyDescent="0.3">
      <c r="A87" s="754">
        <v>378</v>
      </c>
      <c r="B87" t="s">
        <v>81</v>
      </c>
      <c r="D87">
        <v>0</v>
      </c>
      <c r="E87">
        <v>0</v>
      </c>
      <c r="F87">
        <v>0</v>
      </c>
      <c r="G87">
        <v>0</v>
      </c>
      <c r="H87">
        <v>0</v>
      </c>
      <c r="I87">
        <v>0</v>
      </c>
      <c r="J87">
        <v>0</v>
      </c>
      <c r="K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T87">
        <v>0</v>
      </c>
      <c r="AU87">
        <v>0</v>
      </c>
      <c r="AW87">
        <v>0</v>
      </c>
      <c r="AX87">
        <v>0</v>
      </c>
      <c r="AY87">
        <v>0</v>
      </c>
    </row>
    <row r="88" spans="1:51" x14ac:dyDescent="0.3">
      <c r="A88" s="754">
        <v>379</v>
      </c>
      <c r="B88" t="s">
        <v>88</v>
      </c>
      <c r="D88">
        <v>0</v>
      </c>
      <c r="E88">
        <v>0</v>
      </c>
      <c r="F88">
        <v>0</v>
      </c>
      <c r="G88">
        <v>0</v>
      </c>
      <c r="H88">
        <v>0</v>
      </c>
      <c r="I88">
        <v>0</v>
      </c>
      <c r="J88">
        <v>0</v>
      </c>
      <c r="K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T88">
        <v>0</v>
      </c>
      <c r="AU88">
        <v>0</v>
      </c>
      <c r="AW88">
        <v>0</v>
      </c>
      <c r="AX88">
        <v>0</v>
      </c>
      <c r="AY88">
        <v>0</v>
      </c>
    </row>
    <row r="89" spans="1:51" x14ac:dyDescent="0.3">
      <c r="A89" s="754">
        <v>380</v>
      </c>
      <c r="B89" t="s">
        <v>91</v>
      </c>
      <c r="D89">
        <v>0</v>
      </c>
      <c r="E89">
        <v>0</v>
      </c>
      <c r="F89">
        <v>0</v>
      </c>
      <c r="G89">
        <v>0</v>
      </c>
      <c r="H89">
        <v>0</v>
      </c>
      <c r="I89">
        <v>0</v>
      </c>
      <c r="J89">
        <v>0</v>
      </c>
      <c r="K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T89">
        <v>0</v>
      </c>
      <c r="AU89">
        <v>0</v>
      </c>
      <c r="AW89">
        <v>0</v>
      </c>
      <c r="AX89">
        <v>0</v>
      </c>
      <c r="AY89">
        <v>0</v>
      </c>
    </row>
    <row r="90" spans="1:51" x14ac:dyDescent="0.3">
      <c r="A90" s="754">
        <v>381</v>
      </c>
      <c r="B90" t="s">
        <v>83</v>
      </c>
      <c r="D90">
        <v>14099164</v>
      </c>
      <c r="E90">
        <v>27502896</v>
      </c>
      <c r="F90">
        <v>42186980</v>
      </c>
      <c r="G90">
        <v>193149988</v>
      </c>
      <c r="H90">
        <v>602347467</v>
      </c>
      <c r="I90">
        <v>252463086</v>
      </c>
      <c r="J90">
        <v>961246966</v>
      </c>
      <c r="K90">
        <v>62384949</v>
      </c>
      <c r="M90">
        <v>35198195</v>
      </c>
      <c r="N90">
        <v>34419998</v>
      </c>
      <c r="O90">
        <v>3828279</v>
      </c>
      <c r="P90">
        <v>1060564616</v>
      </c>
      <c r="Q90">
        <v>4664149</v>
      </c>
      <c r="R90">
        <v>5151260</v>
      </c>
      <c r="S90">
        <v>29081766</v>
      </c>
      <c r="T90">
        <v>3685916</v>
      </c>
      <c r="U90">
        <v>373477293</v>
      </c>
      <c r="V90">
        <v>23644447</v>
      </c>
      <c r="W90">
        <v>2405434</v>
      </c>
      <c r="X90">
        <v>23706147</v>
      </c>
      <c r="Y90">
        <v>45119064</v>
      </c>
      <c r="Z90">
        <v>9281615</v>
      </c>
      <c r="AA90">
        <v>22511395</v>
      </c>
      <c r="AB90">
        <v>2921420</v>
      </c>
      <c r="AC90">
        <v>112454111</v>
      </c>
      <c r="AD90">
        <v>14221884</v>
      </c>
      <c r="AE90">
        <v>2814612</v>
      </c>
      <c r="AF90">
        <v>259788369</v>
      </c>
      <c r="AG90">
        <v>403615363</v>
      </c>
      <c r="AH90">
        <v>128145310</v>
      </c>
      <c r="AI90">
        <v>57877251</v>
      </c>
      <c r="AJ90">
        <v>6653429</v>
      </c>
      <c r="AK90">
        <v>1897590</v>
      </c>
      <c r="AL90">
        <v>95828906</v>
      </c>
      <c r="AM90">
        <v>14679328</v>
      </c>
      <c r="AN90">
        <v>34212798</v>
      </c>
      <c r="AO90">
        <v>7182399</v>
      </c>
      <c r="AP90">
        <v>7180232</v>
      </c>
      <c r="AQ90">
        <v>11809986</v>
      </c>
      <c r="AR90">
        <v>1338692</v>
      </c>
      <c r="AT90">
        <v>54310419</v>
      </c>
      <c r="AU90">
        <v>10859649</v>
      </c>
      <c r="AW90">
        <v>129602</v>
      </c>
      <c r="AX90">
        <v>12299819</v>
      </c>
      <c r="AY90">
        <v>30532086</v>
      </c>
    </row>
    <row r="91" spans="1:51" x14ac:dyDescent="0.3">
      <c r="A91" s="754">
        <v>382</v>
      </c>
      <c r="B91" t="s">
        <v>84</v>
      </c>
      <c r="D91">
        <v>0</v>
      </c>
      <c r="E91">
        <v>0</v>
      </c>
      <c r="F91">
        <v>0</v>
      </c>
      <c r="G91">
        <v>0</v>
      </c>
      <c r="H91">
        <v>0</v>
      </c>
      <c r="I91">
        <v>0</v>
      </c>
      <c r="J91">
        <v>0</v>
      </c>
      <c r="K91">
        <v>0</v>
      </c>
      <c r="M91">
        <v>0</v>
      </c>
      <c r="N91">
        <v>0</v>
      </c>
      <c r="O91">
        <v>0</v>
      </c>
      <c r="P91">
        <v>588924761</v>
      </c>
      <c r="Q91">
        <v>0</v>
      </c>
      <c r="R91">
        <v>0</v>
      </c>
      <c r="S91">
        <v>0</v>
      </c>
      <c r="T91">
        <v>0</v>
      </c>
      <c r="U91">
        <v>270698712</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T91">
        <v>0</v>
      </c>
      <c r="AU91">
        <v>0</v>
      </c>
      <c r="AW91">
        <v>0</v>
      </c>
      <c r="AX91">
        <v>0</v>
      </c>
      <c r="AY91">
        <v>0</v>
      </c>
    </row>
    <row r="92" spans="1:51" x14ac:dyDescent="0.3">
      <c r="A92" s="754">
        <v>383</v>
      </c>
      <c r="B92" t="s">
        <v>188</v>
      </c>
      <c r="D92">
        <v>0</v>
      </c>
      <c r="E92">
        <v>0</v>
      </c>
      <c r="F92">
        <v>0</v>
      </c>
      <c r="G92">
        <v>0</v>
      </c>
      <c r="H92">
        <v>0</v>
      </c>
      <c r="I92">
        <v>0</v>
      </c>
      <c r="J92">
        <v>799145</v>
      </c>
      <c r="K92">
        <v>0</v>
      </c>
      <c r="M92">
        <v>0</v>
      </c>
      <c r="N92">
        <v>0</v>
      </c>
      <c r="O92">
        <v>0</v>
      </c>
      <c r="P92">
        <v>126459</v>
      </c>
      <c r="Q92">
        <v>0</v>
      </c>
      <c r="R92">
        <v>0</v>
      </c>
      <c r="S92">
        <v>0</v>
      </c>
      <c r="T92">
        <v>0</v>
      </c>
      <c r="U92">
        <v>28680</v>
      </c>
      <c r="V92">
        <v>43636</v>
      </c>
      <c r="W92">
        <v>0</v>
      </c>
      <c r="X92">
        <v>12659</v>
      </c>
      <c r="Y92">
        <v>0</v>
      </c>
      <c r="Z92">
        <v>44346</v>
      </c>
      <c r="AA92">
        <v>0</v>
      </c>
      <c r="AB92">
        <v>0</v>
      </c>
      <c r="AC92">
        <v>0</v>
      </c>
      <c r="AD92">
        <v>0</v>
      </c>
      <c r="AE92">
        <v>112836</v>
      </c>
      <c r="AF92">
        <v>0</v>
      </c>
      <c r="AG92">
        <v>0</v>
      </c>
      <c r="AH92">
        <v>5102</v>
      </c>
      <c r="AI92">
        <v>0</v>
      </c>
      <c r="AJ92">
        <v>0</v>
      </c>
      <c r="AK92">
        <v>970</v>
      </c>
      <c r="AL92">
        <v>0</v>
      </c>
      <c r="AM92">
        <v>0</v>
      </c>
      <c r="AN92">
        <v>0</v>
      </c>
      <c r="AO92">
        <v>0</v>
      </c>
      <c r="AP92">
        <v>0</v>
      </c>
      <c r="AQ92">
        <v>0</v>
      </c>
      <c r="AR92">
        <v>0</v>
      </c>
      <c r="AT92">
        <v>0</v>
      </c>
      <c r="AU92">
        <v>0</v>
      </c>
      <c r="AW92">
        <v>0</v>
      </c>
      <c r="AX92">
        <v>29063</v>
      </c>
      <c r="AY92">
        <v>0</v>
      </c>
    </row>
    <row r="93" spans="1:51" x14ac:dyDescent="0.3">
      <c r="A93" s="754">
        <v>384</v>
      </c>
      <c r="B93" t="s">
        <v>94</v>
      </c>
      <c r="D93">
        <v>0</v>
      </c>
      <c r="E93">
        <v>0</v>
      </c>
      <c r="F93">
        <v>0</v>
      </c>
      <c r="G93">
        <v>0</v>
      </c>
      <c r="H93">
        <v>0</v>
      </c>
      <c r="I93">
        <v>0</v>
      </c>
      <c r="J93">
        <v>0</v>
      </c>
      <c r="K93">
        <v>0</v>
      </c>
      <c r="M93">
        <v>0</v>
      </c>
      <c r="N93">
        <v>0</v>
      </c>
      <c r="O93">
        <v>0</v>
      </c>
      <c r="P93">
        <v>832108</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T93">
        <v>0</v>
      </c>
      <c r="AU93">
        <v>0</v>
      </c>
      <c r="AW93">
        <v>0</v>
      </c>
      <c r="AX93">
        <v>0</v>
      </c>
      <c r="AY93">
        <v>0</v>
      </c>
    </row>
    <row r="94" spans="1:51" x14ac:dyDescent="0.3">
      <c r="A94" s="754">
        <v>385</v>
      </c>
      <c r="B94" t="s">
        <v>85</v>
      </c>
      <c r="D94">
        <v>0</v>
      </c>
      <c r="E94">
        <v>0</v>
      </c>
      <c r="F94">
        <v>0</v>
      </c>
      <c r="G94">
        <v>0</v>
      </c>
      <c r="H94">
        <v>0</v>
      </c>
      <c r="I94">
        <v>0</v>
      </c>
      <c r="J94">
        <v>0</v>
      </c>
      <c r="K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1897590</v>
      </c>
      <c r="AL94">
        <v>0</v>
      </c>
      <c r="AM94">
        <v>0</v>
      </c>
      <c r="AN94">
        <v>0</v>
      </c>
      <c r="AO94">
        <v>0</v>
      </c>
      <c r="AP94">
        <v>0</v>
      </c>
      <c r="AQ94">
        <v>0</v>
      </c>
      <c r="AR94">
        <v>0</v>
      </c>
      <c r="AT94">
        <v>0</v>
      </c>
      <c r="AU94">
        <v>0</v>
      </c>
      <c r="AW94">
        <v>0</v>
      </c>
      <c r="AX94">
        <v>0</v>
      </c>
      <c r="AY94">
        <v>0</v>
      </c>
    </row>
    <row r="95" spans="1:51" x14ac:dyDescent="0.3">
      <c r="A95" s="754">
        <v>386</v>
      </c>
      <c r="B95" t="s">
        <v>161</v>
      </c>
      <c r="D95">
        <v>0</v>
      </c>
      <c r="E95">
        <v>0</v>
      </c>
      <c r="F95">
        <v>0</v>
      </c>
      <c r="G95">
        <v>0</v>
      </c>
      <c r="H95">
        <v>0</v>
      </c>
      <c r="I95">
        <v>0</v>
      </c>
      <c r="J95">
        <v>0</v>
      </c>
      <c r="K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T95">
        <v>0</v>
      </c>
      <c r="AU95">
        <v>0</v>
      </c>
      <c r="AW95">
        <v>0</v>
      </c>
      <c r="AX95">
        <v>0</v>
      </c>
      <c r="AY95">
        <v>0</v>
      </c>
    </row>
    <row r="96" spans="1:51" x14ac:dyDescent="0.3">
      <c r="A96" s="754">
        <v>387</v>
      </c>
      <c r="B96" t="s">
        <v>162</v>
      </c>
      <c r="D96">
        <v>0</v>
      </c>
      <c r="E96">
        <v>0</v>
      </c>
      <c r="F96">
        <v>0</v>
      </c>
      <c r="G96">
        <v>0</v>
      </c>
      <c r="H96">
        <v>0</v>
      </c>
      <c r="I96">
        <v>0</v>
      </c>
      <c r="J96">
        <v>0</v>
      </c>
      <c r="K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T96">
        <v>0</v>
      </c>
      <c r="AU96">
        <v>0</v>
      </c>
      <c r="AW96">
        <v>0</v>
      </c>
      <c r="AX96">
        <v>0</v>
      </c>
      <c r="AY96">
        <v>0</v>
      </c>
    </row>
    <row r="97" spans="1:51" x14ac:dyDescent="0.3">
      <c r="A97" s="754">
        <v>388</v>
      </c>
      <c r="B97" t="s">
        <v>156</v>
      </c>
      <c r="D97">
        <v>0</v>
      </c>
      <c r="E97">
        <v>0</v>
      </c>
      <c r="F97">
        <v>0</v>
      </c>
      <c r="G97">
        <v>0</v>
      </c>
      <c r="H97">
        <v>0</v>
      </c>
      <c r="I97">
        <v>0</v>
      </c>
      <c r="J97">
        <v>0</v>
      </c>
      <c r="K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T97">
        <v>0</v>
      </c>
      <c r="AU97">
        <v>0</v>
      </c>
      <c r="AW97">
        <v>0</v>
      </c>
      <c r="AX97">
        <v>0</v>
      </c>
      <c r="AY97">
        <v>0</v>
      </c>
    </row>
    <row r="98" spans="1:51" x14ac:dyDescent="0.3">
      <c r="A98" s="754">
        <v>389</v>
      </c>
      <c r="B98" t="s">
        <v>163</v>
      </c>
      <c r="D98">
        <v>0</v>
      </c>
      <c r="E98">
        <v>0</v>
      </c>
      <c r="F98">
        <v>0</v>
      </c>
      <c r="G98">
        <v>0</v>
      </c>
      <c r="H98">
        <v>0</v>
      </c>
      <c r="I98">
        <v>0</v>
      </c>
      <c r="J98">
        <v>0</v>
      </c>
      <c r="K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T98">
        <v>0</v>
      </c>
      <c r="AU98">
        <v>0</v>
      </c>
      <c r="AW98">
        <v>0</v>
      </c>
      <c r="AX98">
        <v>0</v>
      </c>
      <c r="AY98">
        <v>0</v>
      </c>
    </row>
    <row r="99" spans="1:51" x14ac:dyDescent="0.3">
      <c r="A99" s="754">
        <v>391</v>
      </c>
      <c r="B99" t="s">
        <v>168</v>
      </c>
      <c r="D99">
        <v>0</v>
      </c>
      <c r="E99">
        <v>0</v>
      </c>
      <c r="F99">
        <v>0</v>
      </c>
      <c r="G99">
        <v>0</v>
      </c>
      <c r="H99">
        <v>0</v>
      </c>
      <c r="I99">
        <v>0</v>
      </c>
      <c r="J99">
        <v>0</v>
      </c>
      <c r="K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T99">
        <v>0</v>
      </c>
      <c r="AU99">
        <v>0</v>
      </c>
      <c r="AW99">
        <v>0</v>
      </c>
      <c r="AX99">
        <v>0</v>
      </c>
      <c r="AY99">
        <v>0</v>
      </c>
    </row>
    <row r="100" spans="1:51" x14ac:dyDescent="0.3">
      <c r="A100" s="754">
        <v>500</v>
      </c>
      <c r="B100" t="s">
        <v>151</v>
      </c>
      <c r="D100">
        <v>0</v>
      </c>
      <c r="E100">
        <v>0</v>
      </c>
      <c r="F100">
        <v>0</v>
      </c>
      <c r="G100">
        <v>0</v>
      </c>
      <c r="H100">
        <v>0</v>
      </c>
      <c r="I100">
        <v>0</v>
      </c>
      <c r="J100">
        <v>0</v>
      </c>
      <c r="K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T100">
        <v>0</v>
      </c>
      <c r="AU100">
        <v>0</v>
      </c>
      <c r="AW100">
        <v>0</v>
      </c>
      <c r="AX100">
        <v>0</v>
      </c>
      <c r="AY100">
        <v>0</v>
      </c>
    </row>
    <row r="101" spans="1:51" x14ac:dyDescent="0.3">
      <c r="A101" s="754">
        <v>502</v>
      </c>
      <c r="B101" t="s">
        <v>153</v>
      </c>
      <c r="D101">
        <v>1310249</v>
      </c>
      <c r="E101">
        <v>7748909</v>
      </c>
      <c r="F101">
        <v>8275424</v>
      </c>
      <c r="G101">
        <v>0</v>
      </c>
      <c r="H101">
        <v>76608939</v>
      </c>
      <c r="I101">
        <v>0</v>
      </c>
      <c r="J101">
        <v>71214615</v>
      </c>
      <c r="K101">
        <v>13212510</v>
      </c>
      <c r="M101">
        <v>2839697</v>
      </c>
      <c r="N101">
        <v>7059834</v>
      </c>
      <c r="O101">
        <v>0</v>
      </c>
      <c r="P101">
        <v>127031217</v>
      </c>
      <c r="Q101">
        <v>1511218</v>
      </c>
      <c r="R101">
        <v>815997</v>
      </c>
      <c r="S101">
        <v>0</v>
      </c>
      <c r="T101">
        <v>0</v>
      </c>
      <c r="U101">
        <v>134139264</v>
      </c>
      <c r="V101">
        <v>3888933</v>
      </c>
      <c r="W101">
        <v>742212</v>
      </c>
      <c r="X101">
        <v>3247288</v>
      </c>
      <c r="Y101">
        <v>0</v>
      </c>
      <c r="Z101">
        <v>0</v>
      </c>
      <c r="AA101">
        <v>1436674</v>
      </c>
      <c r="AB101">
        <v>1257445</v>
      </c>
      <c r="AC101">
        <v>11596380</v>
      </c>
      <c r="AD101">
        <v>3405241</v>
      </c>
      <c r="AE101">
        <v>639621</v>
      </c>
      <c r="AF101">
        <v>44358716</v>
      </c>
      <c r="AG101">
        <v>24040201</v>
      </c>
      <c r="AH101">
        <v>20164159</v>
      </c>
      <c r="AI101">
        <v>13830370</v>
      </c>
      <c r="AJ101">
        <v>465582</v>
      </c>
      <c r="AK101">
        <v>1190931</v>
      </c>
      <c r="AL101">
        <v>24445277</v>
      </c>
      <c r="AM101">
        <v>3791439</v>
      </c>
      <c r="AN101">
        <v>8897690</v>
      </c>
      <c r="AO101">
        <v>0</v>
      </c>
      <c r="AP101">
        <v>248805</v>
      </c>
      <c r="AQ101">
        <v>1192171</v>
      </c>
      <c r="AR101">
        <v>396628</v>
      </c>
      <c r="AT101">
        <v>15360759</v>
      </c>
      <c r="AU101">
        <v>0</v>
      </c>
      <c r="AW101">
        <v>42963</v>
      </c>
      <c r="AX101">
        <v>3108758</v>
      </c>
      <c r="AY101">
        <v>1826330</v>
      </c>
    </row>
    <row r="102" spans="1:51" x14ac:dyDescent="0.3">
      <c r="A102" s="754">
        <v>503</v>
      </c>
      <c r="B102" t="s">
        <v>154</v>
      </c>
      <c r="D102">
        <v>40775</v>
      </c>
      <c r="E102">
        <v>789205</v>
      </c>
      <c r="F102">
        <v>228337</v>
      </c>
      <c r="G102">
        <v>0</v>
      </c>
      <c r="H102">
        <v>8686016</v>
      </c>
      <c r="I102">
        <v>0</v>
      </c>
      <c r="J102">
        <v>29409779</v>
      </c>
      <c r="K102">
        <v>0</v>
      </c>
      <c r="M102">
        <v>940162</v>
      </c>
      <c r="N102">
        <v>1001938</v>
      </c>
      <c r="O102">
        <v>0</v>
      </c>
      <c r="P102">
        <v>223793891</v>
      </c>
      <c r="Q102">
        <v>48340</v>
      </c>
      <c r="R102">
        <v>0</v>
      </c>
      <c r="S102">
        <v>0</v>
      </c>
      <c r="T102">
        <v>0</v>
      </c>
      <c r="U102">
        <v>10558861</v>
      </c>
      <c r="V102">
        <v>301042</v>
      </c>
      <c r="W102">
        <v>185136</v>
      </c>
      <c r="X102">
        <v>199934</v>
      </c>
      <c r="Y102">
        <v>0</v>
      </c>
      <c r="Z102">
        <v>0</v>
      </c>
      <c r="AA102">
        <v>800347</v>
      </c>
      <c r="AB102">
        <v>8475</v>
      </c>
      <c r="AC102">
        <v>3832700</v>
      </c>
      <c r="AD102">
        <v>440122</v>
      </c>
      <c r="AE102">
        <v>13830</v>
      </c>
      <c r="AF102">
        <v>4277381</v>
      </c>
      <c r="AG102">
        <v>6789762</v>
      </c>
      <c r="AH102">
        <v>0</v>
      </c>
      <c r="AI102">
        <v>585152</v>
      </c>
      <c r="AJ102">
        <v>0</v>
      </c>
      <c r="AK102">
        <v>0</v>
      </c>
      <c r="AL102">
        <v>0</v>
      </c>
      <c r="AM102">
        <v>251851</v>
      </c>
      <c r="AN102">
        <v>840027</v>
      </c>
      <c r="AO102">
        <v>0</v>
      </c>
      <c r="AP102">
        <v>157842</v>
      </c>
      <c r="AQ102">
        <v>448317</v>
      </c>
      <c r="AR102">
        <v>7698</v>
      </c>
      <c r="AT102">
        <v>965941</v>
      </c>
      <c r="AU102">
        <v>0</v>
      </c>
      <c r="AW102">
        <v>525</v>
      </c>
      <c r="AX102">
        <v>56848</v>
      </c>
      <c r="AY102">
        <v>0</v>
      </c>
    </row>
    <row r="103" spans="1:51" x14ac:dyDescent="0.3">
      <c r="A103" s="754">
        <v>504</v>
      </c>
      <c r="B103" t="s">
        <v>158</v>
      </c>
      <c r="D103">
        <v>0</v>
      </c>
      <c r="E103">
        <v>0</v>
      </c>
      <c r="F103">
        <v>0</v>
      </c>
      <c r="G103">
        <v>0</v>
      </c>
      <c r="H103">
        <v>0</v>
      </c>
      <c r="I103">
        <v>0</v>
      </c>
      <c r="J103">
        <v>0</v>
      </c>
      <c r="K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T103">
        <v>0</v>
      </c>
      <c r="AU103">
        <v>0</v>
      </c>
      <c r="AW103">
        <v>0</v>
      </c>
      <c r="AX103">
        <v>0</v>
      </c>
      <c r="AY103">
        <v>0</v>
      </c>
    </row>
    <row r="104" spans="1:51" x14ac:dyDescent="0.3">
      <c r="A104" s="754">
        <v>505</v>
      </c>
      <c r="B104" t="s">
        <v>159</v>
      </c>
      <c r="D104">
        <v>0</v>
      </c>
      <c r="E104">
        <v>0</v>
      </c>
      <c r="F104">
        <v>0</v>
      </c>
      <c r="G104">
        <v>0</v>
      </c>
      <c r="H104">
        <v>0</v>
      </c>
      <c r="I104">
        <v>0</v>
      </c>
      <c r="J104">
        <v>0</v>
      </c>
      <c r="K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T104">
        <v>0</v>
      </c>
      <c r="AU104">
        <v>0</v>
      </c>
      <c r="AW104">
        <v>0</v>
      </c>
      <c r="AX104">
        <v>0</v>
      </c>
      <c r="AY104">
        <v>0</v>
      </c>
    </row>
    <row r="105" spans="1:51" x14ac:dyDescent="0.3">
      <c r="A105" s="754">
        <v>506</v>
      </c>
      <c r="B105" t="s">
        <v>165</v>
      </c>
      <c r="D105">
        <v>0</v>
      </c>
      <c r="E105">
        <v>0</v>
      </c>
      <c r="F105">
        <v>0</v>
      </c>
      <c r="G105">
        <v>0</v>
      </c>
      <c r="H105">
        <v>0</v>
      </c>
      <c r="I105">
        <v>0</v>
      </c>
      <c r="J105">
        <v>0</v>
      </c>
      <c r="K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T105">
        <v>0</v>
      </c>
      <c r="AU105">
        <v>0</v>
      </c>
      <c r="AW105">
        <v>0</v>
      </c>
      <c r="AX105">
        <v>0</v>
      </c>
      <c r="AY105">
        <v>0</v>
      </c>
    </row>
    <row r="106" spans="1:51" x14ac:dyDescent="0.3">
      <c r="A106" s="754">
        <v>507</v>
      </c>
      <c r="B106" t="s">
        <v>851</v>
      </c>
      <c r="D106">
        <v>0</v>
      </c>
      <c r="E106">
        <v>0</v>
      </c>
      <c r="F106">
        <v>0</v>
      </c>
      <c r="G106">
        <v>0</v>
      </c>
      <c r="H106">
        <v>0</v>
      </c>
      <c r="I106">
        <v>0</v>
      </c>
      <c r="J106">
        <v>0</v>
      </c>
      <c r="K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T106">
        <v>0</v>
      </c>
      <c r="AU106">
        <v>0</v>
      </c>
      <c r="AW106">
        <v>0</v>
      </c>
      <c r="AX106">
        <v>0</v>
      </c>
      <c r="AY106">
        <v>0</v>
      </c>
    </row>
    <row r="107" spans="1:51" x14ac:dyDescent="0.3">
      <c r="A107" s="754">
        <v>508</v>
      </c>
      <c r="B107" t="s">
        <v>180</v>
      </c>
      <c r="D107">
        <v>0</v>
      </c>
      <c r="E107">
        <v>0</v>
      </c>
      <c r="F107">
        <v>0</v>
      </c>
      <c r="G107">
        <v>0</v>
      </c>
      <c r="H107">
        <v>0</v>
      </c>
      <c r="I107">
        <v>0</v>
      </c>
      <c r="J107">
        <v>0</v>
      </c>
      <c r="K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T107">
        <v>0</v>
      </c>
      <c r="AU107">
        <v>0</v>
      </c>
      <c r="AW107">
        <v>0</v>
      </c>
      <c r="AX107">
        <v>0</v>
      </c>
      <c r="AY107">
        <v>0</v>
      </c>
    </row>
    <row r="108" spans="1:51" x14ac:dyDescent="0.3">
      <c r="A108" s="754">
        <v>509</v>
      </c>
      <c r="B108" t="s">
        <v>181</v>
      </c>
      <c r="D108">
        <v>0</v>
      </c>
      <c r="E108">
        <v>0</v>
      </c>
      <c r="F108">
        <v>0</v>
      </c>
      <c r="G108">
        <v>0</v>
      </c>
      <c r="H108">
        <v>0</v>
      </c>
      <c r="I108">
        <v>0</v>
      </c>
      <c r="J108">
        <v>0</v>
      </c>
      <c r="K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T108">
        <v>0</v>
      </c>
      <c r="AU108">
        <v>0</v>
      </c>
      <c r="AW108">
        <v>0</v>
      </c>
      <c r="AX108">
        <v>0</v>
      </c>
      <c r="AY108">
        <v>0</v>
      </c>
    </row>
    <row r="109" spans="1:51" x14ac:dyDescent="0.3">
      <c r="A109" s="754">
        <v>510</v>
      </c>
      <c r="B109" t="s">
        <v>187</v>
      </c>
      <c r="D109">
        <v>137795</v>
      </c>
      <c r="E109">
        <v>3489</v>
      </c>
      <c r="F109">
        <v>16750</v>
      </c>
      <c r="G109">
        <v>703127</v>
      </c>
      <c r="H109">
        <v>498236</v>
      </c>
      <c r="I109">
        <v>0</v>
      </c>
      <c r="J109">
        <v>32798</v>
      </c>
      <c r="K109">
        <v>689367</v>
      </c>
      <c r="M109">
        <v>0</v>
      </c>
      <c r="N109">
        <v>3851</v>
      </c>
      <c r="O109">
        <v>0</v>
      </c>
      <c r="P109">
        <v>3278184</v>
      </c>
      <c r="Q109">
        <v>134147</v>
      </c>
      <c r="R109">
        <v>0</v>
      </c>
      <c r="S109">
        <v>3988</v>
      </c>
      <c r="T109">
        <v>4471</v>
      </c>
      <c r="U109">
        <v>1936751</v>
      </c>
      <c r="V109">
        <v>0</v>
      </c>
      <c r="W109">
        <v>7007</v>
      </c>
      <c r="X109">
        <v>141679</v>
      </c>
      <c r="Y109">
        <v>0</v>
      </c>
      <c r="Z109">
        <v>159375</v>
      </c>
      <c r="AA109">
        <v>0</v>
      </c>
      <c r="AB109">
        <v>0</v>
      </c>
      <c r="AC109">
        <v>0</v>
      </c>
      <c r="AD109">
        <v>1481</v>
      </c>
      <c r="AE109">
        <v>45987</v>
      </c>
      <c r="AF109">
        <v>1205384</v>
      </c>
      <c r="AG109">
        <v>2161992</v>
      </c>
      <c r="AH109">
        <v>117331</v>
      </c>
      <c r="AI109">
        <v>217882</v>
      </c>
      <c r="AJ109">
        <v>1850</v>
      </c>
      <c r="AK109">
        <v>638</v>
      </c>
      <c r="AL109">
        <v>519815</v>
      </c>
      <c r="AM109">
        <v>0</v>
      </c>
      <c r="AN109">
        <v>3788</v>
      </c>
      <c r="AO109">
        <v>0</v>
      </c>
      <c r="AP109">
        <v>738</v>
      </c>
      <c r="AQ109">
        <v>0</v>
      </c>
      <c r="AR109">
        <v>0</v>
      </c>
      <c r="AT109">
        <v>110863</v>
      </c>
      <c r="AU109">
        <v>0</v>
      </c>
      <c r="AW109">
        <v>0</v>
      </c>
      <c r="AX109">
        <v>136930</v>
      </c>
      <c r="AY109">
        <v>75246</v>
      </c>
    </row>
    <row r="110" spans="1:51" x14ac:dyDescent="0.3">
      <c r="A110" s="754">
        <v>511</v>
      </c>
      <c r="B110" t="s">
        <v>192</v>
      </c>
      <c r="D110">
        <v>0</v>
      </c>
      <c r="E110">
        <v>0</v>
      </c>
      <c r="F110">
        <v>0</v>
      </c>
      <c r="G110">
        <v>0</v>
      </c>
      <c r="H110">
        <v>0</v>
      </c>
      <c r="I110">
        <v>0</v>
      </c>
      <c r="J110">
        <v>0</v>
      </c>
      <c r="K110">
        <v>0</v>
      </c>
      <c r="M110">
        <v>0</v>
      </c>
      <c r="N110">
        <v>0</v>
      </c>
      <c r="O110">
        <v>0</v>
      </c>
      <c r="P110">
        <v>15452855</v>
      </c>
      <c r="Q110">
        <v>0</v>
      </c>
      <c r="R110">
        <v>0</v>
      </c>
      <c r="S110">
        <v>0</v>
      </c>
      <c r="T110">
        <v>0</v>
      </c>
      <c r="U110">
        <v>9506310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T110">
        <v>0</v>
      </c>
      <c r="AU110">
        <v>0</v>
      </c>
      <c r="AW110">
        <v>0</v>
      </c>
      <c r="AX110">
        <v>0</v>
      </c>
      <c r="AY110">
        <v>0</v>
      </c>
    </row>
    <row r="111" spans="1:51" x14ac:dyDescent="0.3">
      <c r="A111" s="754">
        <v>512</v>
      </c>
      <c r="B111" t="s">
        <v>219</v>
      </c>
      <c r="D111">
        <v>0</v>
      </c>
      <c r="E111">
        <v>0</v>
      </c>
      <c r="F111">
        <v>0</v>
      </c>
      <c r="G111">
        <v>0</v>
      </c>
      <c r="H111">
        <v>0</v>
      </c>
      <c r="I111">
        <v>0</v>
      </c>
      <c r="J111">
        <v>0</v>
      </c>
      <c r="K111">
        <v>0</v>
      </c>
      <c r="M111">
        <v>0</v>
      </c>
      <c r="N111">
        <v>0</v>
      </c>
      <c r="O111">
        <v>0</v>
      </c>
      <c r="P111">
        <v>0</v>
      </c>
      <c r="Q111">
        <v>0</v>
      </c>
      <c r="R111">
        <v>0</v>
      </c>
      <c r="S111">
        <v>0</v>
      </c>
      <c r="T111">
        <v>0</v>
      </c>
      <c r="U111">
        <v>6639244</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T111">
        <v>0</v>
      </c>
      <c r="AU111">
        <v>0</v>
      </c>
      <c r="AW111">
        <v>0</v>
      </c>
      <c r="AX111">
        <v>0</v>
      </c>
      <c r="AY111">
        <v>0</v>
      </c>
    </row>
    <row r="112" spans="1:51" x14ac:dyDescent="0.3">
      <c r="A112" s="754">
        <v>513</v>
      </c>
      <c r="B112" t="s">
        <v>225</v>
      </c>
      <c r="D112">
        <v>0</v>
      </c>
      <c r="E112">
        <v>0</v>
      </c>
      <c r="F112">
        <v>0</v>
      </c>
      <c r="G112">
        <v>0</v>
      </c>
      <c r="H112">
        <v>0</v>
      </c>
      <c r="I112">
        <v>0</v>
      </c>
      <c r="J112">
        <v>0</v>
      </c>
      <c r="K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T112">
        <v>0</v>
      </c>
      <c r="AU112">
        <v>0</v>
      </c>
      <c r="AW112">
        <v>0</v>
      </c>
      <c r="AX112">
        <v>0</v>
      </c>
      <c r="AY112">
        <v>0</v>
      </c>
    </row>
    <row r="113" spans="1:51" x14ac:dyDescent="0.3">
      <c r="A113" s="754">
        <v>514</v>
      </c>
      <c r="B113" t="s">
        <v>226</v>
      </c>
      <c r="D113">
        <v>0</v>
      </c>
      <c r="E113">
        <v>0</v>
      </c>
      <c r="F113">
        <v>0</v>
      </c>
      <c r="G113">
        <v>0</v>
      </c>
      <c r="H113">
        <v>0</v>
      </c>
      <c r="I113">
        <v>0</v>
      </c>
      <c r="J113">
        <v>0</v>
      </c>
      <c r="K113">
        <v>0</v>
      </c>
      <c r="M113">
        <v>0</v>
      </c>
      <c r="N113">
        <v>0</v>
      </c>
      <c r="O113">
        <v>0</v>
      </c>
      <c r="P113">
        <v>0</v>
      </c>
      <c r="Q113">
        <v>0</v>
      </c>
      <c r="R113">
        <v>0</v>
      </c>
      <c r="S113">
        <v>0</v>
      </c>
      <c r="T113">
        <v>0</v>
      </c>
      <c r="U113">
        <v>5059628</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T113">
        <v>0</v>
      </c>
      <c r="AU113">
        <v>0</v>
      </c>
      <c r="AW113">
        <v>0</v>
      </c>
      <c r="AX113">
        <v>0</v>
      </c>
      <c r="AY113">
        <v>0</v>
      </c>
    </row>
    <row r="114" spans="1:51" x14ac:dyDescent="0.3">
      <c r="A114" s="754">
        <v>515</v>
      </c>
      <c r="B114" t="s">
        <v>238</v>
      </c>
      <c r="D114">
        <v>185904</v>
      </c>
      <c r="E114">
        <v>351832</v>
      </c>
      <c r="F114">
        <v>0</v>
      </c>
      <c r="G114">
        <v>275813</v>
      </c>
      <c r="H114">
        <v>49064646</v>
      </c>
      <c r="I114">
        <v>3112634</v>
      </c>
      <c r="J114">
        <v>0</v>
      </c>
      <c r="K114">
        <v>622708</v>
      </c>
      <c r="M114">
        <v>0</v>
      </c>
      <c r="N114">
        <v>353692</v>
      </c>
      <c r="O114">
        <v>0</v>
      </c>
      <c r="P114">
        <v>13875011</v>
      </c>
      <c r="Q114">
        <v>0</v>
      </c>
      <c r="R114">
        <v>0</v>
      </c>
      <c r="S114">
        <v>561920</v>
      </c>
      <c r="T114">
        <v>0</v>
      </c>
      <c r="U114">
        <v>22098961</v>
      </c>
      <c r="V114">
        <v>120901</v>
      </c>
      <c r="W114">
        <v>0</v>
      </c>
      <c r="X114">
        <v>229355</v>
      </c>
      <c r="Y114">
        <v>395734</v>
      </c>
      <c r="Z114">
        <v>602858</v>
      </c>
      <c r="AA114">
        <v>26604937</v>
      </c>
      <c r="AB114">
        <v>721966</v>
      </c>
      <c r="AC114">
        <v>0</v>
      </c>
      <c r="AD114">
        <v>351572</v>
      </c>
      <c r="AE114">
        <v>0</v>
      </c>
      <c r="AF114">
        <v>11883201</v>
      </c>
      <c r="AG114">
        <v>0</v>
      </c>
      <c r="AH114">
        <v>527288</v>
      </c>
      <c r="AI114">
        <v>2351000</v>
      </c>
      <c r="AJ114">
        <v>0</v>
      </c>
      <c r="AK114">
        <v>0</v>
      </c>
      <c r="AL114">
        <v>50400523</v>
      </c>
      <c r="AM114">
        <v>0</v>
      </c>
      <c r="AN114">
        <v>351876</v>
      </c>
      <c r="AO114">
        <v>0</v>
      </c>
      <c r="AP114">
        <v>351523</v>
      </c>
      <c r="AQ114">
        <v>0</v>
      </c>
      <c r="AR114">
        <v>0</v>
      </c>
      <c r="AT114">
        <v>783214</v>
      </c>
      <c r="AU114">
        <v>0</v>
      </c>
      <c r="AW114">
        <v>268241</v>
      </c>
      <c r="AX114">
        <v>0</v>
      </c>
      <c r="AY114">
        <v>493441</v>
      </c>
    </row>
    <row r="115" spans="1:51" x14ac:dyDescent="0.3">
      <c r="A115" s="754">
        <v>516</v>
      </c>
      <c r="B115" t="s">
        <v>239</v>
      </c>
      <c r="D115">
        <v>24885708</v>
      </c>
      <c r="E115">
        <v>27527468</v>
      </c>
      <c r="F115">
        <v>47607468</v>
      </c>
      <c r="G115">
        <v>75805245</v>
      </c>
      <c r="H115">
        <v>541105268</v>
      </c>
      <c r="I115">
        <v>222715829</v>
      </c>
      <c r="J115">
        <v>924119111</v>
      </c>
      <c r="K115">
        <v>61092337</v>
      </c>
      <c r="M115">
        <v>38532964</v>
      </c>
      <c r="N115">
        <v>36453434</v>
      </c>
      <c r="O115">
        <v>5171576</v>
      </c>
      <c r="P115">
        <v>1170134611</v>
      </c>
      <c r="Q115">
        <v>6759864</v>
      </c>
      <c r="R115">
        <v>6572659</v>
      </c>
      <c r="S115">
        <v>31325728</v>
      </c>
      <c r="T115">
        <v>3770614</v>
      </c>
      <c r="U115">
        <v>410055821</v>
      </c>
      <c r="V115">
        <v>6333375</v>
      </c>
      <c r="W115">
        <v>2801834</v>
      </c>
      <c r="X115">
        <v>23393711</v>
      </c>
      <c r="Y115">
        <v>69999316</v>
      </c>
      <c r="Z115">
        <v>11095970</v>
      </c>
      <c r="AA115">
        <v>0</v>
      </c>
      <c r="AB115">
        <v>2958467</v>
      </c>
      <c r="AC115">
        <v>141277148</v>
      </c>
      <c r="AD115">
        <v>14385066</v>
      </c>
      <c r="AE115">
        <v>7160200</v>
      </c>
      <c r="AF115">
        <v>248304650</v>
      </c>
      <c r="AG115">
        <v>445699167</v>
      </c>
      <c r="AH115">
        <v>71944523</v>
      </c>
      <c r="AI115">
        <v>77126955</v>
      </c>
      <c r="AJ115">
        <v>8439958</v>
      </c>
      <c r="AK115">
        <v>1216149</v>
      </c>
      <c r="AL115">
        <v>34678462</v>
      </c>
      <c r="AM115">
        <v>19814317</v>
      </c>
      <c r="AN115">
        <v>33612442</v>
      </c>
      <c r="AO115">
        <v>8836745</v>
      </c>
      <c r="AP115">
        <v>7847750</v>
      </c>
      <c r="AQ115">
        <v>12836291</v>
      </c>
      <c r="AR115">
        <v>1517807</v>
      </c>
      <c r="AT115">
        <v>54594023</v>
      </c>
      <c r="AU115">
        <v>11823021</v>
      </c>
      <c r="AW115">
        <v>80742</v>
      </c>
      <c r="AX115">
        <v>12548606</v>
      </c>
      <c r="AY115">
        <v>37902281</v>
      </c>
    </row>
    <row r="116" spans="1:51" x14ac:dyDescent="0.3">
      <c r="A116" s="754">
        <v>517</v>
      </c>
      <c r="B116" t="s">
        <v>240</v>
      </c>
      <c r="D116">
        <v>0</v>
      </c>
      <c r="E116">
        <v>0</v>
      </c>
      <c r="F116">
        <v>0</v>
      </c>
      <c r="G116">
        <v>0</v>
      </c>
      <c r="H116">
        <v>0</v>
      </c>
      <c r="I116">
        <v>0</v>
      </c>
      <c r="J116">
        <v>0</v>
      </c>
      <c r="K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30847456</v>
      </c>
      <c r="AI116">
        <v>0</v>
      </c>
      <c r="AJ116">
        <v>0</v>
      </c>
      <c r="AK116">
        <v>0</v>
      </c>
      <c r="AL116">
        <v>0</v>
      </c>
      <c r="AM116">
        <v>0</v>
      </c>
      <c r="AN116">
        <v>0</v>
      </c>
      <c r="AO116">
        <v>0</v>
      </c>
      <c r="AP116">
        <v>0</v>
      </c>
      <c r="AQ116">
        <v>0</v>
      </c>
      <c r="AR116">
        <v>0</v>
      </c>
      <c r="AT116">
        <v>0</v>
      </c>
      <c r="AU116">
        <v>0</v>
      </c>
      <c r="AW116">
        <v>0</v>
      </c>
      <c r="AX116">
        <v>0</v>
      </c>
      <c r="AY116">
        <v>0</v>
      </c>
    </row>
    <row r="117" spans="1:51" x14ac:dyDescent="0.3">
      <c r="A117" s="754">
        <v>518</v>
      </c>
      <c r="B117" t="s">
        <v>241</v>
      </c>
      <c r="D117">
        <v>1060108</v>
      </c>
      <c r="E117">
        <v>478056</v>
      </c>
      <c r="F117">
        <v>9255011</v>
      </c>
      <c r="G117">
        <v>2893193</v>
      </c>
      <c r="H117">
        <v>93652010</v>
      </c>
      <c r="I117">
        <v>11528475</v>
      </c>
      <c r="J117">
        <v>65208907</v>
      </c>
      <c r="K117">
        <v>5379965</v>
      </c>
      <c r="M117">
        <v>358594</v>
      </c>
      <c r="N117">
        <v>942486</v>
      </c>
      <c r="O117">
        <v>0</v>
      </c>
      <c r="P117">
        <v>53353579</v>
      </c>
      <c r="Q117">
        <v>439370</v>
      </c>
      <c r="R117">
        <v>0</v>
      </c>
      <c r="S117">
        <v>978288</v>
      </c>
      <c r="T117">
        <v>96997</v>
      </c>
      <c r="U117">
        <v>27175619</v>
      </c>
      <c r="V117">
        <v>21102886</v>
      </c>
      <c r="W117">
        <v>395948</v>
      </c>
      <c r="X117">
        <v>651646</v>
      </c>
      <c r="Y117">
        <v>1727494</v>
      </c>
      <c r="Z117">
        <v>1562657</v>
      </c>
      <c r="AA117">
        <v>112597</v>
      </c>
      <c r="AB117">
        <v>44876</v>
      </c>
      <c r="AC117">
        <v>1081776</v>
      </c>
      <c r="AD117">
        <v>242158</v>
      </c>
      <c r="AE117">
        <v>279405</v>
      </c>
      <c r="AF117">
        <v>10319177</v>
      </c>
      <c r="AG117">
        <v>59882879</v>
      </c>
      <c r="AH117">
        <v>863222</v>
      </c>
      <c r="AI117">
        <v>0</v>
      </c>
      <c r="AJ117">
        <v>124245</v>
      </c>
      <c r="AK117">
        <v>244742</v>
      </c>
      <c r="AL117">
        <v>1313776</v>
      </c>
      <c r="AM117">
        <v>453066</v>
      </c>
      <c r="AN117">
        <v>557756</v>
      </c>
      <c r="AO117">
        <v>-1433</v>
      </c>
      <c r="AP117">
        <v>273420</v>
      </c>
      <c r="AQ117">
        <v>0</v>
      </c>
      <c r="AR117">
        <v>23728</v>
      </c>
      <c r="AT117">
        <v>2599833</v>
      </c>
      <c r="AU117">
        <v>0</v>
      </c>
      <c r="AW117">
        <v>18306</v>
      </c>
      <c r="AX117">
        <v>788644</v>
      </c>
      <c r="AY117">
        <v>342800</v>
      </c>
    </row>
    <row r="118" spans="1:51" x14ac:dyDescent="0.3">
      <c r="A118" s="754">
        <v>519</v>
      </c>
      <c r="B118" t="s">
        <v>242</v>
      </c>
      <c r="D118">
        <v>44648</v>
      </c>
      <c r="E118">
        <v>8796</v>
      </c>
      <c r="F118">
        <v>0</v>
      </c>
      <c r="G118">
        <v>7787</v>
      </c>
      <c r="H118">
        <v>975906</v>
      </c>
      <c r="I118">
        <v>164321</v>
      </c>
      <c r="J118">
        <v>0</v>
      </c>
      <c r="K118">
        <v>15526</v>
      </c>
      <c r="M118">
        <v>0</v>
      </c>
      <c r="N118">
        <v>8842</v>
      </c>
      <c r="O118">
        <v>0</v>
      </c>
      <c r="P118">
        <v>403403</v>
      </c>
      <c r="Q118">
        <v>0</v>
      </c>
      <c r="R118">
        <v>0</v>
      </c>
      <c r="S118">
        <v>17552</v>
      </c>
      <c r="T118">
        <v>0</v>
      </c>
      <c r="U118">
        <v>712055</v>
      </c>
      <c r="V118">
        <v>2997</v>
      </c>
      <c r="W118">
        <v>0</v>
      </c>
      <c r="X118">
        <v>6798</v>
      </c>
      <c r="Y118">
        <v>9893</v>
      </c>
      <c r="Z118">
        <v>14726</v>
      </c>
      <c r="AA118">
        <v>1065841</v>
      </c>
      <c r="AB118">
        <v>14303</v>
      </c>
      <c r="AC118">
        <v>0</v>
      </c>
      <c r="AD118">
        <v>8789</v>
      </c>
      <c r="AE118">
        <v>0</v>
      </c>
      <c r="AF118">
        <v>370079</v>
      </c>
      <c r="AG118">
        <v>0</v>
      </c>
      <c r="AH118">
        <v>0</v>
      </c>
      <c r="AI118">
        <v>39950</v>
      </c>
      <c r="AJ118">
        <v>0</v>
      </c>
      <c r="AK118">
        <v>0</v>
      </c>
      <c r="AL118">
        <v>682580</v>
      </c>
      <c r="AM118">
        <v>0</v>
      </c>
      <c r="AN118">
        <v>8797</v>
      </c>
      <c r="AO118">
        <v>0</v>
      </c>
      <c r="AP118">
        <v>8788</v>
      </c>
      <c r="AQ118">
        <v>0</v>
      </c>
      <c r="AR118">
        <v>0</v>
      </c>
      <c r="AT118">
        <v>24919</v>
      </c>
      <c r="AU118">
        <v>0</v>
      </c>
      <c r="AW118">
        <v>202844</v>
      </c>
      <c r="AX118">
        <v>0</v>
      </c>
      <c r="AY118">
        <v>11874</v>
      </c>
    </row>
    <row r="119" spans="1:51" x14ac:dyDescent="0.3">
      <c r="A119" s="754">
        <v>520</v>
      </c>
      <c r="B119" t="s">
        <v>243</v>
      </c>
      <c r="D119">
        <v>599353</v>
      </c>
      <c r="E119">
        <v>664229</v>
      </c>
      <c r="F119">
        <v>1099903</v>
      </c>
      <c r="G119">
        <v>1554617</v>
      </c>
      <c r="H119">
        <v>6906956</v>
      </c>
      <c r="I119">
        <v>6454101</v>
      </c>
      <c r="J119">
        <v>22839456</v>
      </c>
      <c r="K119">
        <v>1248031</v>
      </c>
      <c r="M119">
        <v>843222</v>
      </c>
      <c r="N119">
        <v>907629</v>
      </c>
      <c r="O119">
        <v>103432</v>
      </c>
      <c r="P119">
        <v>26204280</v>
      </c>
      <c r="Q119">
        <v>199899</v>
      </c>
      <c r="R119">
        <v>164316</v>
      </c>
      <c r="S119">
        <v>806156</v>
      </c>
      <c r="T119">
        <v>114538</v>
      </c>
      <c r="U119">
        <v>10137677</v>
      </c>
      <c r="V119">
        <v>114814</v>
      </c>
      <c r="W119">
        <v>59759</v>
      </c>
      <c r="X119">
        <v>427899</v>
      </c>
      <c r="Y119">
        <v>1612936</v>
      </c>
      <c r="Z119">
        <v>263068</v>
      </c>
      <c r="AA119">
        <v>0</v>
      </c>
      <c r="AB119">
        <v>73962</v>
      </c>
      <c r="AC119">
        <v>3405028</v>
      </c>
      <c r="AD119">
        <v>351549</v>
      </c>
      <c r="AE119">
        <v>217361</v>
      </c>
      <c r="AF119">
        <v>5320830</v>
      </c>
      <c r="AG119">
        <v>8858348</v>
      </c>
      <c r="AH119">
        <v>2391283</v>
      </c>
      <c r="AI119">
        <v>2271869</v>
      </c>
      <c r="AJ119">
        <v>168982</v>
      </c>
      <c r="AK119">
        <v>34119</v>
      </c>
      <c r="AL119">
        <v>1218952</v>
      </c>
      <c r="AM119">
        <v>499788</v>
      </c>
      <c r="AN119">
        <v>833570</v>
      </c>
      <c r="AO119">
        <v>195884</v>
      </c>
      <c r="AP119">
        <v>198153</v>
      </c>
      <c r="AQ119">
        <v>321208</v>
      </c>
      <c r="AR119">
        <v>30356</v>
      </c>
      <c r="AT119">
        <v>1446288</v>
      </c>
      <c r="AU119">
        <v>55622</v>
      </c>
      <c r="AW119">
        <v>78808</v>
      </c>
      <c r="AX119">
        <v>254404</v>
      </c>
      <c r="AY119">
        <v>909451</v>
      </c>
    </row>
    <row r="120" spans="1:51" x14ac:dyDescent="0.3">
      <c r="A120" s="754">
        <v>521</v>
      </c>
      <c r="B120" t="s">
        <v>244</v>
      </c>
      <c r="D120">
        <v>0</v>
      </c>
      <c r="E120">
        <v>0</v>
      </c>
      <c r="F120">
        <v>0</v>
      </c>
      <c r="G120">
        <v>0</v>
      </c>
      <c r="H120">
        <v>0</v>
      </c>
      <c r="I120">
        <v>0</v>
      </c>
      <c r="J120">
        <v>0</v>
      </c>
      <c r="K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419016</v>
      </c>
      <c r="AG120">
        <v>0</v>
      </c>
      <c r="AH120">
        <v>960500</v>
      </c>
      <c r="AI120">
        <v>0</v>
      </c>
      <c r="AJ120">
        <v>0</v>
      </c>
      <c r="AK120">
        <v>0</v>
      </c>
      <c r="AL120">
        <v>0</v>
      </c>
      <c r="AM120">
        <v>0</v>
      </c>
      <c r="AN120">
        <v>0</v>
      </c>
      <c r="AO120">
        <v>0</v>
      </c>
      <c r="AP120">
        <v>0</v>
      </c>
      <c r="AQ120">
        <v>0</v>
      </c>
      <c r="AR120">
        <v>0</v>
      </c>
      <c r="AT120">
        <v>0</v>
      </c>
      <c r="AU120">
        <v>0</v>
      </c>
      <c r="AW120">
        <v>0</v>
      </c>
      <c r="AX120">
        <v>0</v>
      </c>
      <c r="AY120">
        <v>0</v>
      </c>
    </row>
    <row r="121" spans="1:51" x14ac:dyDescent="0.3">
      <c r="A121" s="754">
        <v>522</v>
      </c>
      <c r="B121" t="s">
        <v>245</v>
      </c>
      <c r="D121">
        <v>42183</v>
      </c>
      <c r="E121">
        <v>41472</v>
      </c>
      <c r="F121">
        <v>928001</v>
      </c>
      <c r="G121">
        <v>173922</v>
      </c>
      <c r="H121">
        <v>4456182</v>
      </c>
      <c r="I121">
        <v>579030</v>
      </c>
      <c r="J121">
        <v>4818220</v>
      </c>
      <c r="K121">
        <v>286214</v>
      </c>
      <c r="M121">
        <v>24399</v>
      </c>
      <c r="N121">
        <v>67491</v>
      </c>
      <c r="O121">
        <v>0</v>
      </c>
      <c r="P121">
        <v>2861158</v>
      </c>
      <c r="Q121">
        <v>32367</v>
      </c>
      <c r="R121">
        <v>0</v>
      </c>
      <c r="S121">
        <v>58663</v>
      </c>
      <c r="T121">
        <v>1232</v>
      </c>
      <c r="U121">
        <v>1516245</v>
      </c>
      <c r="V121">
        <v>527034</v>
      </c>
      <c r="W121">
        <v>21166</v>
      </c>
      <c r="X121">
        <v>53704</v>
      </c>
      <c r="Y121">
        <v>104608</v>
      </c>
      <c r="Z121">
        <v>100397</v>
      </c>
      <c r="AA121">
        <v>8251</v>
      </c>
      <c r="AB121">
        <v>282</v>
      </c>
      <c r="AC121">
        <v>76842</v>
      </c>
      <c r="AD121">
        <v>18783</v>
      </c>
      <c r="AE121">
        <v>23420</v>
      </c>
      <c r="AF121">
        <v>275434</v>
      </c>
      <c r="AG121">
        <v>2414243</v>
      </c>
      <c r="AH121">
        <v>0</v>
      </c>
      <c r="AI121">
        <v>0</v>
      </c>
      <c r="AJ121">
        <v>4294</v>
      </c>
      <c r="AK121">
        <v>9229</v>
      </c>
      <c r="AL121">
        <v>94232</v>
      </c>
      <c r="AM121">
        <v>29506</v>
      </c>
      <c r="AN121">
        <v>50776</v>
      </c>
      <c r="AO121">
        <v>21523</v>
      </c>
      <c r="AP121">
        <v>19008</v>
      </c>
      <c r="AQ121">
        <v>0</v>
      </c>
      <c r="AR121">
        <v>1245</v>
      </c>
      <c r="AT121">
        <v>111985</v>
      </c>
      <c r="AU121">
        <v>0</v>
      </c>
      <c r="AW121">
        <v>16992</v>
      </c>
      <c r="AX121">
        <v>53029</v>
      </c>
      <c r="AY121">
        <v>50786</v>
      </c>
    </row>
    <row r="122" spans="1:51" x14ac:dyDescent="0.3">
      <c r="A122" s="754">
        <v>523</v>
      </c>
      <c r="B122" t="s">
        <v>246</v>
      </c>
      <c r="D122">
        <v>115281</v>
      </c>
      <c r="E122">
        <v>79164</v>
      </c>
      <c r="F122">
        <v>0</v>
      </c>
      <c r="G122">
        <v>222423</v>
      </c>
      <c r="H122">
        <v>25434320</v>
      </c>
      <c r="I122">
        <v>1527642</v>
      </c>
      <c r="J122">
        <v>0</v>
      </c>
      <c r="K122">
        <v>291702</v>
      </c>
      <c r="M122">
        <v>0</v>
      </c>
      <c r="N122">
        <v>79578</v>
      </c>
      <c r="O122">
        <v>0</v>
      </c>
      <c r="P122">
        <v>5519783</v>
      </c>
      <c r="Q122">
        <v>0</v>
      </c>
      <c r="R122">
        <v>0</v>
      </c>
      <c r="S122">
        <v>164463</v>
      </c>
      <c r="T122">
        <v>0</v>
      </c>
      <c r="U122">
        <v>3910098</v>
      </c>
      <c r="V122">
        <v>88512</v>
      </c>
      <c r="W122">
        <v>0</v>
      </c>
      <c r="X122">
        <v>94394</v>
      </c>
      <c r="Y122">
        <v>167692</v>
      </c>
      <c r="Z122">
        <v>214818</v>
      </c>
      <c r="AA122">
        <v>6774106</v>
      </c>
      <c r="AB122">
        <v>213010</v>
      </c>
      <c r="AC122">
        <v>0</v>
      </c>
      <c r="AD122">
        <v>79101</v>
      </c>
      <c r="AE122">
        <v>0</v>
      </c>
      <c r="AF122">
        <v>10015144</v>
      </c>
      <c r="AG122">
        <v>0</v>
      </c>
      <c r="AH122">
        <v>0</v>
      </c>
      <c r="AI122">
        <v>993856</v>
      </c>
      <c r="AJ122">
        <v>0</v>
      </c>
      <c r="AK122">
        <v>0</v>
      </c>
      <c r="AL122">
        <v>8223222</v>
      </c>
      <c r="AM122">
        <v>0</v>
      </c>
      <c r="AN122">
        <v>79173</v>
      </c>
      <c r="AO122">
        <v>0</v>
      </c>
      <c r="AP122">
        <v>79092</v>
      </c>
      <c r="AQ122">
        <v>0</v>
      </c>
      <c r="AR122">
        <v>0</v>
      </c>
      <c r="AT122">
        <v>413851</v>
      </c>
      <c r="AU122">
        <v>0</v>
      </c>
      <c r="AW122">
        <v>0</v>
      </c>
      <c r="AX122">
        <v>0</v>
      </c>
      <c r="AY122">
        <v>105452</v>
      </c>
    </row>
    <row r="123" spans="1:51" x14ac:dyDescent="0.3">
      <c r="A123" s="754">
        <v>524</v>
      </c>
      <c r="B123" t="s">
        <v>247</v>
      </c>
      <c r="D123">
        <v>14440866</v>
      </c>
      <c r="E123">
        <v>10491922</v>
      </c>
      <c r="F123">
        <v>19796865</v>
      </c>
      <c r="G123">
        <v>18228862</v>
      </c>
      <c r="H123">
        <v>105218216</v>
      </c>
      <c r="I123">
        <v>110564001</v>
      </c>
      <c r="J123">
        <v>233851419</v>
      </c>
      <c r="K123">
        <v>27544188</v>
      </c>
      <c r="M123">
        <v>15199141</v>
      </c>
      <c r="N123">
        <v>15237176</v>
      </c>
      <c r="O123">
        <v>1714591</v>
      </c>
      <c r="P123">
        <v>450121130</v>
      </c>
      <c r="Q123">
        <v>4194623</v>
      </c>
      <c r="R123">
        <v>2300429</v>
      </c>
      <c r="S123">
        <v>12424884</v>
      </c>
      <c r="T123">
        <v>2847650</v>
      </c>
      <c r="U123">
        <v>183868306</v>
      </c>
      <c r="V123">
        <v>4431336</v>
      </c>
      <c r="W123">
        <v>1762670</v>
      </c>
      <c r="X123">
        <v>4564019</v>
      </c>
      <c r="Y123">
        <v>31397196</v>
      </c>
      <c r="Z123">
        <v>7065678</v>
      </c>
      <c r="AA123">
        <v>0</v>
      </c>
      <c r="AB123">
        <v>1973414</v>
      </c>
      <c r="AC123">
        <v>46480161</v>
      </c>
      <c r="AD123">
        <v>5183398</v>
      </c>
      <c r="AE123">
        <v>5271326</v>
      </c>
      <c r="AF123">
        <v>87615300</v>
      </c>
      <c r="AG123">
        <v>173896692</v>
      </c>
      <c r="AH123">
        <v>25314572</v>
      </c>
      <c r="AI123">
        <v>40109483</v>
      </c>
      <c r="AJ123">
        <v>2662003</v>
      </c>
      <c r="AK123">
        <v>902770</v>
      </c>
      <c r="AL123">
        <v>11272947</v>
      </c>
      <c r="AM123">
        <v>9652258</v>
      </c>
      <c r="AN123">
        <v>11949504</v>
      </c>
      <c r="AO123">
        <v>4815513</v>
      </c>
      <c r="AP123">
        <v>4016722</v>
      </c>
      <c r="AQ123">
        <v>3050753</v>
      </c>
      <c r="AR123">
        <v>649280</v>
      </c>
      <c r="AT123">
        <v>24476727</v>
      </c>
      <c r="AU123">
        <v>963372</v>
      </c>
      <c r="AW123">
        <v>0</v>
      </c>
      <c r="AX123">
        <v>4931076</v>
      </c>
      <c r="AY123">
        <v>14579067</v>
      </c>
    </row>
    <row r="124" spans="1:51" x14ac:dyDescent="0.3">
      <c r="A124" s="754">
        <v>525</v>
      </c>
      <c r="B124" t="s">
        <v>248</v>
      </c>
      <c r="D124">
        <v>0</v>
      </c>
      <c r="E124">
        <v>0</v>
      </c>
      <c r="F124">
        <v>0</v>
      </c>
      <c r="G124">
        <v>0</v>
      </c>
      <c r="H124">
        <v>0</v>
      </c>
      <c r="I124">
        <v>0</v>
      </c>
      <c r="J124">
        <v>0</v>
      </c>
      <c r="K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14131740</v>
      </c>
      <c r="AI124">
        <v>0</v>
      </c>
      <c r="AJ124">
        <v>0</v>
      </c>
      <c r="AK124">
        <v>0</v>
      </c>
      <c r="AL124">
        <v>0</v>
      </c>
      <c r="AM124">
        <v>0</v>
      </c>
      <c r="AN124">
        <v>0</v>
      </c>
      <c r="AO124">
        <v>0</v>
      </c>
      <c r="AP124">
        <v>0</v>
      </c>
      <c r="AQ124">
        <v>0</v>
      </c>
      <c r="AR124">
        <v>0</v>
      </c>
      <c r="AT124">
        <v>0</v>
      </c>
      <c r="AU124">
        <v>0</v>
      </c>
      <c r="AW124">
        <v>0</v>
      </c>
      <c r="AX124">
        <v>0</v>
      </c>
      <c r="AY124">
        <v>0</v>
      </c>
    </row>
    <row r="125" spans="1:51" x14ac:dyDescent="0.3">
      <c r="A125" s="754">
        <v>526</v>
      </c>
      <c r="B125" t="s">
        <v>249</v>
      </c>
      <c r="D125">
        <v>904140</v>
      </c>
      <c r="E125">
        <v>310906</v>
      </c>
      <c r="F125">
        <v>6318564</v>
      </c>
      <c r="G125">
        <v>1583092</v>
      </c>
      <c r="H125">
        <v>91216613</v>
      </c>
      <c r="I125">
        <v>7730732</v>
      </c>
      <c r="J125">
        <v>32051088</v>
      </c>
      <c r="K125">
        <v>3546611</v>
      </c>
      <c r="M125">
        <v>198859</v>
      </c>
      <c r="N125">
        <v>436280</v>
      </c>
      <c r="O125">
        <v>0</v>
      </c>
      <c r="P125">
        <v>41093131</v>
      </c>
      <c r="Q125">
        <v>260538</v>
      </c>
      <c r="R125">
        <v>0</v>
      </c>
      <c r="S125">
        <v>219914</v>
      </c>
      <c r="T125">
        <v>89056</v>
      </c>
      <c r="U125">
        <v>19275180</v>
      </c>
      <c r="V125">
        <v>4191023</v>
      </c>
      <c r="W125">
        <v>271836</v>
      </c>
      <c r="X125">
        <v>501623</v>
      </c>
      <c r="Y125">
        <v>410238</v>
      </c>
      <c r="Z125">
        <v>655187</v>
      </c>
      <c r="AA125">
        <v>25950</v>
      </c>
      <c r="AB125">
        <v>42092</v>
      </c>
      <c r="AC125">
        <v>741956</v>
      </c>
      <c r="AD125">
        <v>137327</v>
      </c>
      <c r="AE125">
        <v>182051</v>
      </c>
      <c r="AF125">
        <v>8811532</v>
      </c>
      <c r="AG125">
        <v>40275833</v>
      </c>
      <c r="AH125">
        <v>0</v>
      </c>
      <c r="AI125">
        <v>0</v>
      </c>
      <c r="AJ125">
        <v>107314</v>
      </c>
      <c r="AK125">
        <v>39828</v>
      </c>
      <c r="AL125">
        <v>1033237</v>
      </c>
      <c r="AM125">
        <v>378381</v>
      </c>
      <c r="AN125">
        <v>392612</v>
      </c>
      <c r="AO125">
        <v>100358</v>
      </c>
      <c r="AP125">
        <v>148521</v>
      </c>
      <c r="AQ125">
        <v>0</v>
      </c>
      <c r="AR125">
        <v>19396</v>
      </c>
      <c r="AT125">
        <v>1645889</v>
      </c>
      <c r="AU125">
        <v>0</v>
      </c>
      <c r="AW125">
        <v>0</v>
      </c>
      <c r="AX125">
        <v>596246</v>
      </c>
      <c r="AY125">
        <v>212427</v>
      </c>
    </row>
    <row r="126" spans="1:51" x14ac:dyDescent="0.3">
      <c r="A126" s="754">
        <v>527</v>
      </c>
      <c r="B126" t="s">
        <v>250</v>
      </c>
      <c r="D126">
        <v>0</v>
      </c>
      <c r="E126">
        <v>0</v>
      </c>
      <c r="F126">
        <v>0</v>
      </c>
      <c r="G126">
        <v>0</v>
      </c>
      <c r="H126">
        <v>0</v>
      </c>
      <c r="I126">
        <v>0</v>
      </c>
      <c r="J126">
        <v>0</v>
      </c>
      <c r="K126">
        <v>0</v>
      </c>
      <c r="M126">
        <v>0</v>
      </c>
      <c r="N126">
        <v>0</v>
      </c>
      <c r="O126">
        <v>0</v>
      </c>
      <c r="P126">
        <v>52250111</v>
      </c>
      <c r="Q126">
        <v>0</v>
      </c>
      <c r="R126">
        <v>0</v>
      </c>
      <c r="S126">
        <v>0</v>
      </c>
      <c r="T126">
        <v>0</v>
      </c>
      <c r="U126">
        <v>15679138</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T126">
        <v>0</v>
      </c>
      <c r="AU126">
        <v>0</v>
      </c>
      <c r="AW126">
        <v>0</v>
      </c>
      <c r="AX126">
        <v>0</v>
      </c>
      <c r="AY126">
        <v>0</v>
      </c>
    </row>
    <row r="127" spans="1:51" x14ac:dyDescent="0.3">
      <c r="A127" s="754">
        <v>528</v>
      </c>
      <c r="B127" t="s">
        <v>233</v>
      </c>
      <c r="D127">
        <v>0</v>
      </c>
      <c r="E127">
        <v>0</v>
      </c>
      <c r="F127">
        <v>0</v>
      </c>
      <c r="G127">
        <v>0</v>
      </c>
      <c r="H127">
        <v>0</v>
      </c>
      <c r="I127">
        <v>0</v>
      </c>
      <c r="J127">
        <v>0</v>
      </c>
      <c r="K127">
        <v>936659</v>
      </c>
      <c r="M127">
        <v>0</v>
      </c>
      <c r="N127">
        <v>0</v>
      </c>
      <c r="O127">
        <v>0</v>
      </c>
      <c r="P127">
        <v>0</v>
      </c>
      <c r="Q127">
        <v>0</v>
      </c>
      <c r="R127">
        <v>0</v>
      </c>
      <c r="S127">
        <v>0</v>
      </c>
      <c r="T127">
        <v>0</v>
      </c>
      <c r="U127">
        <v>0</v>
      </c>
      <c r="V127">
        <v>0</v>
      </c>
      <c r="W127">
        <v>0</v>
      </c>
      <c r="X127">
        <v>301288</v>
      </c>
      <c r="Y127">
        <v>0</v>
      </c>
      <c r="Z127">
        <v>0</v>
      </c>
      <c r="AA127">
        <v>0</v>
      </c>
      <c r="AB127">
        <v>0</v>
      </c>
      <c r="AC127">
        <v>0</v>
      </c>
      <c r="AD127">
        <v>0</v>
      </c>
      <c r="AE127">
        <v>0</v>
      </c>
      <c r="AF127">
        <v>0</v>
      </c>
      <c r="AG127">
        <v>0</v>
      </c>
      <c r="AH127">
        <v>0</v>
      </c>
      <c r="AI127">
        <v>0</v>
      </c>
      <c r="AJ127">
        <v>0</v>
      </c>
      <c r="AK127">
        <v>128531</v>
      </c>
      <c r="AL127">
        <v>0</v>
      </c>
      <c r="AM127">
        <v>0</v>
      </c>
      <c r="AN127">
        <v>0</v>
      </c>
      <c r="AO127">
        <v>0</v>
      </c>
      <c r="AP127">
        <v>0</v>
      </c>
      <c r="AQ127">
        <v>0</v>
      </c>
      <c r="AR127">
        <v>0</v>
      </c>
      <c r="AT127">
        <v>0</v>
      </c>
      <c r="AU127">
        <v>0</v>
      </c>
      <c r="AW127">
        <v>0</v>
      </c>
      <c r="AX127">
        <v>0</v>
      </c>
      <c r="AY127">
        <v>0</v>
      </c>
    </row>
    <row r="128" spans="1:51" x14ac:dyDescent="0.3">
      <c r="A128" s="754">
        <v>529</v>
      </c>
      <c r="B128" t="s">
        <v>234</v>
      </c>
      <c r="D128">
        <v>0</v>
      </c>
      <c r="E128">
        <v>0</v>
      </c>
      <c r="F128">
        <v>0</v>
      </c>
      <c r="G128">
        <v>0</v>
      </c>
      <c r="H128">
        <v>0</v>
      </c>
      <c r="I128">
        <v>0</v>
      </c>
      <c r="J128">
        <v>0</v>
      </c>
      <c r="K128">
        <v>44464</v>
      </c>
      <c r="M128">
        <v>0</v>
      </c>
      <c r="N128">
        <v>0</v>
      </c>
      <c r="O128">
        <v>0</v>
      </c>
      <c r="P128">
        <v>0</v>
      </c>
      <c r="Q128">
        <v>0</v>
      </c>
      <c r="R128">
        <v>0</v>
      </c>
      <c r="S128">
        <v>0</v>
      </c>
      <c r="T128">
        <v>0</v>
      </c>
      <c r="U128">
        <v>0</v>
      </c>
      <c r="V128">
        <v>0</v>
      </c>
      <c r="W128">
        <v>0</v>
      </c>
      <c r="X128">
        <v>24240</v>
      </c>
      <c r="Y128">
        <v>0</v>
      </c>
      <c r="Z128">
        <v>0</v>
      </c>
      <c r="AA128">
        <v>0</v>
      </c>
      <c r="AB128">
        <v>0</v>
      </c>
      <c r="AC128">
        <v>0</v>
      </c>
      <c r="AD128">
        <v>0</v>
      </c>
      <c r="AE128">
        <v>0</v>
      </c>
      <c r="AF128">
        <v>0</v>
      </c>
      <c r="AG128">
        <v>0</v>
      </c>
      <c r="AH128">
        <v>0</v>
      </c>
      <c r="AI128">
        <v>0</v>
      </c>
      <c r="AJ128">
        <v>0</v>
      </c>
      <c r="AK128">
        <v>15566</v>
      </c>
      <c r="AL128">
        <v>0</v>
      </c>
      <c r="AM128">
        <v>0</v>
      </c>
      <c r="AN128">
        <v>0</v>
      </c>
      <c r="AO128">
        <v>0</v>
      </c>
      <c r="AP128">
        <v>0</v>
      </c>
      <c r="AQ128">
        <v>0</v>
      </c>
      <c r="AR128">
        <v>0</v>
      </c>
      <c r="AT128">
        <v>0</v>
      </c>
      <c r="AU128">
        <v>0</v>
      </c>
      <c r="AW128">
        <v>0</v>
      </c>
      <c r="AX128">
        <v>0</v>
      </c>
      <c r="AY128">
        <v>0</v>
      </c>
    </row>
    <row r="129" spans="1:51" x14ac:dyDescent="0.3">
      <c r="A129" s="754">
        <v>530</v>
      </c>
      <c r="B129" t="s">
        <v>235</v>
      </c>
      <c r="D129">
        <v>0</v>
      </c>
      <c r="E129">
        <v>0</v>
      </c>
      <c r="F129">
        <v>0</v>
      </c>
      <c r="G129">
        <v>0</v>
      </c>
      <c r="H129">
        <v>0</v>
      </c>
      <c r="I129">
        <v>0</v>
      </c>
      <c r="J129">
        <v>0</v>
      </c>
      <c r="K129">
        <v>16936</v>
      </c>
      <c r="M129">
        <v>0</v>
      </c>
      <c r="N129">
        <v>0</v>
      </c>
      <c r="O129">
        <v>0</v>
      </c>
      <c r="P129">
        <v>0</v>
      </c>
      <c r="Q129">
        <v>0</v>
      </c>
      <c r="R129">
        <v>0</v>
      </c>
      <c r="S129">
        <v>0</v>
      </c>
      <c r="T129">
        <v>0</v>
      </c>
      <c r="U129">
        <v>0</v>
      </c>
      <c r="V129">
        <v>0</v>
      </c>
      <c r="W129">
        <v>0</v>
      </c>
      <c r="X129">
        <v>2620</v>
      </c>
      <c r="Y129">
        <v>0</v>
      </c>
      <c r="Z129">
        <v>0</v>
      </c>
      <c r="AA129">
        <v>0</v>
      </c>
      <c r="AB129">
        <v>0</v>
      </c>
      <c r="AC129">
        <v>0</v>
      </c>
      <c r="AD129">
        <v>0</v>
      </c>
      <c r="AE129">
        <v>0</v>
      </c>
      <c r="AF129">
        <v>0</v>
      </c>
      <c r="AG129">
        <v>0</v>
      </c>
      <c r="AH129">
        <v>0</v>
      </c>
      <c r="AI129">
        <v>0</v>
      </c>
      <c r="AJ129">
        <v>0</v>
      </c>
      <c r="AK129">
        <v>566</v>
      </c>
      <c r="AL129">
        <v>0</v>
      </c>
      <c r="AM129">
        <v>0</v>
      </c>
      <c r="AN129">
        <v>0</v>
      </c>
      <c r="AO129">
        <v>0</v>
      </c>
      <c r="AP129">
        <v>0</v>
      </c>
      <c r="AQ129">
        <v>0</v>
      </c>
      <c r="AR129">
        <v>0</v>
      </c>
      <c r="AT129">
        <v>0</v>
      </c>
      <c r="AU129">
        <v>0</v>
      </c>
      <c r="AW129">
        <v>0</v>
      </c>
      <c r="AX129">
        <v>0</v>
      </c>
      <c r="AY129">
        <v>0</v>
      </c>
    </row>
    <row r="130" spans="1:51" x14ac:dyDescent="0.3">
      <c r="A130" s="754">
        <v>531</v>
      </c>
      <c r="B130" t="s">
        <v>236</v>
      </c>
      <c r="D130">
        <v>0</v>
      </c>
      <c r="E130">
        <v>0</v>
      </c>
      <c r="F130">
        <v>0</v>
      </c>
      <c r="G130">
        <v>0</v>
      </c>
      <c r="H130">
        <v>0</v>
      </c>
      <c r="I130">
        <v>0</v>
      </c>
      <c r="J130">
        <v>0</v>
      </c>
      <c r="K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T130">
        <v>0</v>
      </c>
      <c r="AU130">
        <v>0</v>
      </c>
      <c r="AW130">
        <v>0</v>
      </c>
      <c r="AX130">
        <v>0</v>
      </c>
      <c r="AY130">
        <v>0</v>
      </c>
    </row>
    <row r="131" spans="1:51" x14ac:dyDescent="0.3">
      <c r="A131" s="754">
        <v>532</v>
      </c>
      <c r="B131" t="s">
        <v>852</v>
      </c>
      <c r="D131">
        <v>0</v>
      </c>
      <c r="E131">
        <v>0</v>
      </c>
      <c r="F131">
        <v>0</v>
      </c>
      <c r="G131">
        <v>0</v>
      </c>
      <c r="H131">
        <v>0</v>
      </c>
      <c r="I131">
        <v>0</v>
      </c>
      <c r="J131">
        <v>0</v>
      </c>
      <c r="K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T131">
        <v>0</v>
      </c>
      <c r="AU131">
        <v>0</v>
      </c>
      <c r="AW131">
        <v>0</v>
      </c>
      <c r="AX131">
        <v>0</v>
      </c>
      <c r="AY131">
        <v>0</v>
      </c>
    </row>
    <row r="132" spans="1:51" x14ac:dyDescent="0.3">
      <c r="A132" s="754">
        <v>533</v>
      </c>
      <c r="B132" t="s">
        <v>853</v>
      </c>
      <c r="D132">
        <v>0</v>
      </c>
      <c r="E132">
        <v>0</v>
      </c>
      <c r="F132">
        <v>0</v>
      </c>
      <c r="G132">
        <v>0</v>
      </c>
      <c r="H132">
        <v>0</v>
      </c>
      <c r="I132">
        <v>0</v>
      </c>
      <c r="J132">
        <v>0</v>
      </c>
      <c r="K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T132">
        <v>0</v>
      </c>
      <c r="AU132">
        <v>0</v>
      </c>
      <c r="AW132">
        <v>0</v>
      </c>
      <c r="AX132">
        <v>0</v>
      </c>
      <c r="AY132">
        <v>0</v>
      </c>
    </row>
    <row r="133" spans="1:51" x14ac:dyDescent="0.3">
      <c r="A133" s="754">
        <v>535</v>
      </c>
      <c r="B133" t="s">
        <v>220</v>
      </c>
      <c r="D133">
        <v>0</v>
      </c>
      <c r="E133">
        <v>0</v>
      </c>
      <c r="F133">
        <v>0</v>
      </c>
      <c r="G133">
        <v>0</v>
      </c>
      <c r="H133">
        <v>0</v>
      </c>
      <c r="I133">
        <v>59367596</v>
      </c>
      <c r="J133">
        <v>16253554</v>
      </c>
      <c r="K133">
        <v>0</v>
      </c>
      <c r="M133">
        <v>0</v>
      </c>
      <c r="N133">
        <v>0</v>
      </c>
      <c r="O133">
        <v>0</v>
      </c>
      <c r="P133">
        <v>49690602</v>
      </c>
      <c r="Q133">
        <v>0</v>
      </c>
      <c r="R133">
        <v>0</v>
      </c>
      <c r="S133">
        <v>0</v>
      </c>
      <c r="T133">
        <v>0</v>
      </c>
      <c r="U133">
        <v>735268</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T133">
        <v>0</v>
      </c>
      <c r="AU133">
        <v>0</v>
      </c>
      <c r="AW133">
        <v>0</v>
      </c>
      <c r="AX133">
        <v>0</v>
      </c>
      <c r="AY133">
        <v>0</v>
      </c>
    </row>
    <row r="134" spans="1:51" x14ac:dyDescent="0.3">
      <c r="A134" s="754">
        <v>536</v>
      </c>
      <c r="B134" t="s">
        <v>166</v>
      </c>
      <c r="D134">
        <v>0</v>
      </c>
      <c r="E134">
        <v>0</v>
      </c>
      <c r="F134">
        <v>0</v>
      </c>
      <c r="G134">
        <v>0</v>
      </c>
      <c r="H134">
        <v>0</v>
      </c>
      <c r="I134">
        <v>0</v>
      </c>
      <c r="J134">
        <v>0</v>
      </c>
      <c r="K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T134">
        <v>0</v>
      </c>
      <c r="AU134">
        <v>0</v>
      </c>
      <c r="AW134">
        <v>0</v>
      </c>
      <c r="AX134">
        <v>0</v>
      </c>
      <c r="AY134">
        <v>0</v>
      </c>
    </row>
    <row r="135" spans="1:51" x14ac:dyDescent="0.3">
      <c r="A135" s="754">
        <v>537</v>
      </c>
      <c r="B135" t="s">
        <v>256</v>
      </c>
      <c r="D135">
        <v>2</v>
      </c>
      <c r="E135">
        <v>1</v>
      </c>
      <c r="F135">
        <v>1</v>
      </c>
      <c r="G135">
        <v>2</v>
      </c>
      <c r="H135">
        <v>1</v>
      </c>
      <c r="I135">
        <v>1</v>
      </c>
      <c r="J135">
        <v>2</v>
      </c>
      <c r="K135">
        <v>2</v>
      </c>
      <c r="M135">
        <v>2</v>
      </c>
      <c r="N135">
        <v>1</v>
      </c>
      <c r="O135">
        <v>2</v>
      </c>
      <c r="P135">
        <v>1</v>
      </c>
      <c r="Q135">
        <v>2</v>
      </c>
      <c r="R135">
        <v>2</v>
      </c>
      <c r="S135">
        <v>1</v>
      </c>
      <c r="T135">
        <v>2</v>
      </c>
      <c r="U135">
        <v>2</v>
      </c>
      <c r="V135">
        <v>2</v>
      </c>
      <c r="W135">
        <v>2</v>
      </c>
      <c r="X135">
        <v>1</v>
      </c>
      <c r="Y135">
        <v>2</v>
      </c>
      <c r="Z135">
        <v>1</v>
      </c>
      <c r="AA135">
        <v>2</v>
      </c>
      <c r="AB135">
        <v>2</v>
      </c>
      <c r="AC135">
        <v>2</v>
      </c>
      <c r="AD135">
        <v>1</v>
      </c>
      <c r="AE135">
        <v>2</v>
      </c>
      <c r="AF135">
        <v>1</v>
      </c>
      <c r="AG135">
        <v>1</v>
      </c>
      <c r="AH135">
        <v>1</v>
      </c>
      <c r="AI135">
        <v>1</v>
      </c>
      <c r="AJ135">
        <v>2</v>
      </c>
      <c r="AK135">
        <v>1</v>
      </c>
      <c r="AL135">
        <v>1</v>
      </c>
      <c r="AM135">
        <v>2</v>
      </c>
      <c r="AN135">
        <v>1</v>
      </c>
      <c r="AO135">
        <v>2</v>
      </c>
      <c r="AP135">
        <v>1</v>
      </c>
      <c r="AQ135">
        <v>1</v>
      </c>
      <c r="AR135">
        <v>2</v>
      </c>
      <c r="AT135">
        <v>2</v>
      </c>
      <c r="AU135">
        <v>2</v>
      </c>
      <c r="AW135">
        <v>2</v>
      </c>
      <c r="AX135">
        <v>1</v>
      </c>
      <c r="AY135">
        <v>1</v>
      </c>
    </row>
    <row r="136" spans="1:51" x14ac:dyDescent="0.3">
      <c r="A136" s="754">
        <v>538</v>
      </c>
      <c r="B136" t="s">
        <v>255</v>
      </c>
      <c r="D136">
        <v>2</v>
      </c>
      <c r="E136">
        <v>1</v>
      </c>
      <c r="F136">
        <v>1</v>
      </c>
      <c r="G136">
        <v>2</v>
      </c>
      <c r="H136">
        <v>1</v>
      </c>
      <c r="I136">
        <v>1</v>
      </c>
      <c r="J136">
        <v>1</v>
      </c>
      <c r="K136">
        <v>1</v>
      </c>
      <c r="M136">
        <v>2</v>
      </c>
      <c r="N136">
        <v>1</v>
      </c>
      <c r="O136">
        <v>1</v>
      </c>
      <c r="P136">
        <v>1</v>
      </c>
      <c r="Q136">
        <v>1</v>
      </c>
      <c r="R136">
        <v>2</v>
      </c>
      <c r="S136">
        <v>1</v>
      </c>
      <c r="T136">
        <v>2</v>
      </c>
      <c r="U136">
        <v>1</v>
      </c>
      <c r="V136">
        <v>2</v>
      </c>
      <c r="W136">
        <v>2</v>
      </c>
      <c r="X136">
        <v>1</v>
      </c>
      <c r="Y136">
        <v>2</v>
      </c>
      <c r="Z136">
        <v>2</v>
      </c>
      <c r="AA136">
        <v>1</v>
      </c>
      <c r="AB136">
        <v>1</v>
      </c>
      <c r="AC136">
        <v>2</v>
      </c>
      <c r="AD136">
        <v>1</v>
      </c>
      <c r="AE136">
        <v>2</v>
      </c>
      <c r="AF136">
        <v>1</v>
      </c>
      <c r="AG136">
        <v>1</v>
      </c>
      <c r="AH136">
        <v>1</v>
      </c>
      <c r="AI136">
        <v>1</v>
      </c>
      <c r="AJ136">
        <v>2</v>
      </c>
      <c r="AK136">
        <v>1</v>
      </c>
      <c r="AL136">
        <v>2</v>
      </c>
      <c r="AM136">
        <v>2</v>
      </c>
      <c r="AN136">
        <v>1</v>
      </c>
      <c r="AO136">
        <v>1</v>
      </c>
      <c r="AP136">
        <v>1</v>
      </c>
      <c r="AQ136">
        <v>1</v>
      </c>
      <c r="AR136">
        <v>2</v>
      </c>
      <c r="AT136">
        <v>2</v>
      </c>
      <c r="AU136">
        <v>2</v>
      </c>
      <c r="AW136">
        <v>2</v>
      </c>
      <c r="AX136">
        <v>2</v>
      </c>
      <c r="AY136">
        <v>1</v>
      </c>
    </row>
    <row r="137" spans="1:51" x14ac:dyDescent="0.3">
      <c r="A137" s="754">
        <v>540</v>
      </c>
      <c r="B137" t="s">
        <v>229</v>
      </c>
      <c r="D137">
        <v>0</v>
      </c>
      <c r="E137">
        <v>0</v>
      </c>
      <c r="F137">
        <v>0</v>
      </c>
      <c r="G137">
        <v>0</v>
      </c>
      <c r="H137">
        <v>0</v>
      </c>
      <c r="I137">
        <v>0</v>
      </c>
      <c r="J137">
        <v>0</v>
      </c>
      <c r="K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T137">
        <v>0</v>
      </c>
      <c r="AU137">
        <v>0</v>
      </c>
      <c r="AW137">
        <v>0</v>
      </c>
      <c r="AX137">
        <v>0</v>
      </c>
      <c r="AY137">
        <v>0</v>
      </c>
    </row>
    <row r="138" spans="1:51" x14ac:dyDescent="0.3">
      <c r="A138" s="754">
        <v>541</v>
      </c>
      <c r="B138" t="s">
        <v>286</v>
      </c>
      <c r="D138">
        <v>-501644</v>
      </c>
      <c r="E138">
        <v>952697</v>
      </c>
      <c r="F138">
        <v>227489</v>
      </c>
      <c r="G138">
        <v>12373482</v>
      </c>
      <c r="H138">
        <v>6480937</v>
      </c>
      <c r="I138">
        <v>10809586</v>
      </c>
      <c r="J138">
        <v>4839763</v>
      </c>
      <c r="K138">
        <v>-2977540</v>
      </c>
      <c r="M138">
        <v>249600</v>
      </c>
      <c r="N138">
        <v>948766</v>
      </c>
      <c r="O138">
        <v>0</v>
      </c>
      <c r="P138">
        <v>118847916</v>
      </c>
      <c r="Q138">
        <v>217603</v>
      </c>
      <c r="R138">
        <v>30468</v>
      </c>
      <c r="S138">
        <v>0</v>
      </c>
      <c r="T138">
        <v>111981</v>
      </c>
      <c r="U138">
        <v>7763477</v>
      </c>
      <c r="V138">
        <v>0</v>
      </c>
      <c r="W138">
        <v>97459</v>
      </c>
      <c r="X138">
        <v>67666</v>
      </c>
      <c r="Y138">
        <v>0</v>
      </c>
      <c r="Z138">
        <v>305901</v>
      </c>
      <c r="AA138">
        <v>8640</v>
      </c>
      <c r="AB138">
        <v>113133</v>
      </c>
      <c r="AC138">
        <v>641413</v>
      </c>
      <c r="AD138">
        <v>186909</v>
      </c>
      <c r="AE138">
        <v>0</v>
      </c>
      <c r="AF138">
        <v>9154364</v>
      </c>
      <c r="AG138">
        <v>-925170</v>
      </c>
      <c r="AH138">
        <v>-594613</v>
      </c>
      <c r="AI138">
        <v>522592</v>
      </c>
      <c r="AJ138">
        <v>0</v>
      </c>
      <c r="AK138">
        <v>69810</v>
      </c>
      <c r="AL138">
        <v>-4123197</v>
      </c>
      <c r="AM138">
        <v>109765</v>
      </c>
      <c r="AN138">
        <v>1108488</v>
      </c>
      <c r="AO138">
        <v>274555</v>
      </c>
      <c r="AP138">
        <v>271437</v>
      </c>
      <c r="AQ138">
        <v>237405</v>
      </c>
      <c r="AR138">
        <v>67171</v>
      </c>
      <c r="AT138">
        <v>1259354</v>
      </c>
      <c r="AU138">
        <v>0</v>
      </c>
      <c r="AW138">
        <v>0</v>
      </c>
      <c r="AX138">
        <v>-175619</v>
      </c>
      <c r="AY138">
        <v>218525</v>
      </c>
    </row>
    <row r="139" spans="1:51" x14ac:dyDescent="0.3">
      <c r="A139" s="754">
        <v>542</v>
      </c>
      <c r="B139" t="s">
        <v>855</v>
      </c>
      <c r="D139">
        <v>0</v>
      </c>
      <c r="E139">
        <v>0</v>
      </c>
      <c r="F139">
        <v>0</v>
      </c>
      <c r="G139">
        <v>0</v>
      </c>
      <c r="H139">
        <v>13829434</v>
      </c>
      <c r="I139">
        <v>1286912</v>
      </c>
      <c r="J139">
        <v>734617</v>
      </c>
      <c r="K139">
        <v>0</v>
      </c>
      <c r="M139">
        <v>0</v>
      </c>
      <c r="N139">
        <v>0</v>
      </c>
      <c r="O139">
        <v>0</v>
      </c>
      <c r="P139">
        <v>8354500</v>
      </c>
      <c r="Q139">
        <v>0</v>
      </c>
      <c r="R139">
        <v>0</v>
      </c>
      <c r="S139">
        <v>0</v>
      </c>
      <c r="T139">
        <v>0</v>
      </c>
      <c r="U139">
        <v>0</v>
      </c>
      <c r="V139">
        <v>0</v>
      </c>
      <c r="W139">
        <v>0</v>
      </c>
      <c r="X139">
        <v>657000</v>
      </c>
      <c r="Y139">
        <v>0</v>
      </c>
      <c r="Z139">
        <v>80000</v>
      </c>
      <c r="AA139">
        <v>0</v>
      </c>
      <c r="AB139">
        <v>0</v>
      </c>
      <c r="AC139">
        <v>0</v>
      </c>
      <c r="AD139">
        <v>0</v>
      </c>
      <c r="AE139">
        <v>0</v>
      </c>
      <c r="AF139">
        <v>1750000</v>
      </c>
      <c r="AG139">
        <v>0</v>
      </c>
      <c r="AH139">
        <v>0</v>
      </c>
      <c r="AI139">
        <v>0</v>
      </c>
      <c r="AJ139">
        <v>0</v>
      </c>
      <c r="AK139">
        <v>0</v>
      </c>
      <c r="AL139">
        <v>645949</v>
      </c>
      <c r="AM139">
        <v>0</v>
      </c>
      <c r="AN139">
        <v>0</v>
      </c>
      <c r="AO139">
        <v>664800</v>
      </c>
      <c r="AP139">
        <v>0</v>
      </c>
      <c r="AQ139">
        <v>0</v>
      </c>
      <c r="AR139">
        <v>0</v>
      </c>
      <c r="AT139">
        <v>0</v>
      </c>
      <c r="AU139">
        <v>0</v>
      </c>
      <c r="AW139">
        <v>0</v>
      </c>
      <c r="AX139">
        <v>0</v>
      </c>
      <c r="AY139">
        <v>0</v>
      </c>
    </row>
    <row r="140" spans="1:51" x14ac:dyDescent="0.3">
      <c r="A140" s="754">
        <v>544</v>
      </c>
      <c r="B140" t="s">
        <v>52</v>
      </c>
      <c r="D140">
        <v>0</v>
      </c>
      <c r="E140">
        <v>0</v>
      </c>
      <c r="F140">
        <v>0</v>
      </c>
      <c r="G140">
        <v>0</v>
      </c>
      <c r="H140">
        <v>0</v>
      </c>
      <c r="I140">
        <v>0</v>
      </c>
      <c r="J140">
        <v>0</v>
      </c>
      <c r="K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1.7000000000000001E-2</v>
      </c>
      <c r="AL140">
        <v>0</v>
      </c>
      <c r="AM140">
        <v>0</v>
      </c>
      <c r="AN140">
        <v>0</v>
      </c>
      <c r="AO140">
        <v>0</v>
      </c>
      <c r="AP140">
        <v>0</v>
      </c>
      <c r="AQ140">
        <v>0</v>
      </c>
      <c r="AR140">
        <v>0</v>
      </c>
      <c r="AT140">
        <v>0</v>
      </c>
      <c r="AU140">
        <v>0</v>
      </c>
      <c r="AW140">
        <v>0</v>
      </c>
      <c r="AX140">
        <v>0</v>
      </c>
      <c r="AY140">
        <v>0</v>
      </c>
    </row>
    <row r="141" spans="1:51" x14ac:dyDescent="0.3">
      <c r="A141" s="754">
        <v>545</v>
      </c>
      <c r="B141" t="s">
        <v>53</v>
      </c>
      <c r="D141">
        <v>0</v>
      </c>
      <c r="E141">
        <v>0</v>
      </c>
      <c r="F141">
        <v>0</v>
      </c>
      <c r="G141">
        <v>0</v>
      </c>
      <c r="H141">
        <v>0</v>
      </c>
      <c r="I141">
        <v>0</v>
      </c>
      <c r="J141">
        <v>0</v>
      </c>
      <c r="K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T141">
        <v>0</v>
      </c>
      <c r="AU141">
        <v>0</v>
      </c>
      <c r="AW141">
        <v>0</v>
      </c>
      <c r="AX141">
        <v>0</v>
      </c>
      <c r="AY141">
        <v>0</v>
      </c>
    </row>
    <row r="142" spans="1:51" x14ac:dyDescent="0.3">
      <c r="A142" s="754">
        <v>547</v>
      </c>
      <c r="B142" t="s">
        <v>857</v>
      </c>
      <c r="D142">
        <v>2</v>
      </c>
      <c r="E142">
        <v>2</v>
      </c>
      <c r="F142">
        <v>2</v>
      </c>
      <c r="G142">
        <v>2</v>
      </c>
      <c r="H142">
        <v>3</v>
      </c>
      <c r="I142">
        <v>3</v>
      </c>
      <c r="J142">
        <v>3</v>
      </c>
      <c r="K142">
        <v>3</v>
      </c>
      <c r="M142">
        <v>3</v>
      </c>
      <c r="N142">
        <v>3</v>
      </c>
      <c r="O142">
        <v>0</v>
      </c>
      <c r="P142">
        <v>3</v>
      </c>
      <c r="Q142">
        <v>2</v>
      </c>
      <c r="R142">
        <v>2</v>
      </c>
      <c r="S142">
        <v>2</v>
      </c>
      <c r="T142">
        <v>2</v>
      </c>
      <c r="U142">
        <v>3</v>
      </c>
      <c r="V142">
        <v>2</v>
      </c>
      <c r="W142">
        <v>2</v>
      </c>
      <c r="X142">
        <v>2</v>
      </c>
      <c r="Y142">
        <v>2</v>
      </c>
      <c r="Z142">
        <v>3</v>
      </c>
      <c r="AA142">
        <v>2</v>
      </c>
      <c r="AB142">
        <v>2</v>
      </c>
      <c r="AC142">
        <v>2</v>
      </c>
      <c r="AD142">
        <v>2</v>
      </c>
      <c r="AE142">
        <v>0</v>
      </c>
      <c r="AF142">
        <v>3</v>
      </c>
      <c r="AG142">
        <v>3</v>
      </c>
      <c r="AH142">
        <v>2</v>
      </c>
      <c r="AI142">
        <v>1</v>
      </c>
      <c r="AJ142">
        <v>2</v>
      </c>
      <c r="AK142">
        <v>0</v>
      </c>
      <c r="AL142">
        <v>2</v>
      </c>
      <c r="AM142">
        <v>0</v>
      </c>
      <c r="AN142">
        <v>2</v>
      </c>
      <c r="AO142">
        <v>2</v>
      </c>
      <c r="AP142">
        <v>2</v>
      </c>
      <c r="AQ142">
        <v>2</v>
      </c>
      <c r="AR142">
        <v>2</v>
      </c>
      <c r="AT142">
        <v>3</v>
      </c>
      <c r="AU142">
        <v>2</v>
      </c>
      <c r="AW142">
        <v>2</v>
      </c>
      <c r="AX142">
        <v>2</v>
      </c>
      <c r="AY142">
        <v>2</v>
      </c>
    </row>
    <row r="143" spans="1:51" x14ac:dyDescent="0.3">
      <c r="A143" s="754">
        <v>554</v>
      </c>
      <c r="B143" t="s">
        <v>297</v>
      </c>
      <c r="J143">
        <v>617629</v>
      </c>
      <c r="K143">
        <v>4896930</v>
      </c>
      <c r="M143">
        <v>4172379</v>
      </c>
      <c r="AY143">
        <v>754274</v>
      </c>
    </row>
    <row r="144" spans="1:51" x14ac:dyDescent="0.3">
      <c r="A144" s="754">
        <v>555</v>
      </c>
      <c r="B144" t="s">
        <v>298</v>
      </c>
      <c r="J144">
        <v>0</v>
      </c>
      <c r="K144">
        <v>4896750</v>
      </c>
      <c r="M144">
        <v>4172379</v>
      </c>
      <c r="AY144">
        <v>592132</v>
      </c>
    </row>
    <row r="145" spans="1:51" x14ac:dyDescent="0.3">
      <c r="A145" s="754">
        <v>556</v>
      </c>
      <c r="B145" t="s">
        <v>299</v>
      </c>
      <c r="J145">
        <v>637323</v>
      </c>
      <c r="K145">
        <v>38250</v>
      </c>
      <c r="M145">
        <v>0</v>
      </c>
      <c r="AY145">
        <v>1520901</v>
      </c>
    </row>
    <row r="146" spans="1:51" x14ac:dyDescent="0.3">
      <c r="A146" s="754">
        <v>557</v>
      </c>
      <c r="B146" t="s">
        <v>300</v>
      </c>
      <c r="J146">
        <v>615652</v>
      </c>
      <c r="K146">
        <v>0</v>
      </c>
      <c r="M146">
        <v>0</v>
      </c>
      <c r="AY146">
        <v>1483920</v>
      </c>
    </row>
    <row r="147" spans="1:51" x14ac:dyDescent="0.3">
      <c r="A147" s="754">
        <v>575</v>
      </c>
      <c r="B147" t="s">
        <v>278</v>
      </c>
      <c r="D147">
        <v>0</v>
      </c>
      <c r="E147">
        <v>0</v>
      </c>
      <c r="F147">
        <v>0</v>
      </c>
      <c r="G147">
        <v>0</v>
      </c>
      <c r="H147">
        <v>0</v>
      </c>
      <c r="I147">
        <v>0</v>
      </c>
      <c r="J147">
        <v>0</v>
      </c>
      <c r="K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T147">
        <v>0</v>
      </c>
      <c r="AU147">
        <v>0</v>
      </c>
      <c r="AW147">
        <v>0</v>
      </c>
      <c r="AX147">
        <v>0</v>
      </c>
      <c r="AY147">
        <v>0</v>
      </c>
    </row>
    <row r="148" spans="1:51" x14ac:dyDescent="0.3">
      <c r="A148" s="754">
        <v>576</v>
      </c>
      <c r="B148" t="s">
        <v>279</v>
      </c>
      <c r="D148">
        <v>0</v>
      </c>
      <c r="E148">
        <v>0</v>
      </c>
      <c r="F148">
        <v>0</v>
      </c>
      <c r="G148">
        <v>0</v>
      </c>
      <c r="H148">
        <v>0</v>
      </c>
      <c r="I148">
        <v>0</v>
      </c>
      <c r="J148">
        <v>0</v>
      </c>
      <c r="K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T148">
        <v>0</v>
      </c>
      <c r="AU148">
        <v>0</v>
      </c>
      <c r="AW148">
        <v>0</v>
      </c>
      <c r="AX148">
        <v>0</v>
      </c>
      <c r="AY148">
        <v>0</v>
      </c>
    </row>
    <row r="149" spans="1:51" x14ac:dyDescent="0.3">
      <c r="A149" s="754">
        <v>577</v>
      </c>
      <c r="B149" t="s">
        <v>870</v>
      </c>
      <c r="D149">
        <v>2</v>
      </c>
      <c r="E149">
        <v>0</v>
      </c>
      <c r="F149">
        <v>2</v>
      </c>
      <c r="G149">
        <v>2</v>
      </c>
      <c r="H149">
        <v>2</v>
      </c>
      <c r="I149">
        <v>2</v>
      </c>
      <c r="J149">
        <v>2</v>
      </c>
      <c r="K149">
        <v>2</v>
      </c>
      <c r="M149">
        <v>2</v>
      </c>
      <c r="N149">
        <v>2</v>
      </c>
      <c r="O149">
        <v>0</v>
      </c>
      <c r="P149">
        <v>2</v>
      </c>
      <c r="Q149">
        <v>2</v>
      </c>
      <c r="R149">
        <v>2</v>
      </c>
      <c r="S149">
        <v>0</v>
      </c>
      <c r="T149">
        <v>2</v>
      </c>
      <c r="U149">
        <v>2</v>
      </c>
      <c r="V149">
        <v>1</v>
      </c>
      <c r="W149">
        <v>0</v>
      </c>
      <c r="X149">
        <v>2</v>
      </c>
      <c r="Y149">
        <v>0</v>
      </c>
      <c r="Z149">
        <v>2</v>
      </c>
      <c r="AA149">
        <v>2</v>
      </c>
      <c r="AB149">
        <v>2</v>
      </c>
      <c r="AC149">
        <v>0</v>
      </c>
      <c r="AD149">
        <v>0</v>
      </c>
      <c r="AE149">
        <v>0</v>
      </c>
      <c r="AF149">
        <v>0</v>
      </c>
      <c r="AG149">
        <v>2</v>
      </c>
      <c r="AH149">
        <v>2</v>
      </c>
      <c r="AI149">
        <v>0</v>
      </c>
      <c r="AJ149">
        <v>0</v>
      </c>
      <c r="AK149">
        <v>0</v>
      </c>
      <c r="AL149">
        <v>2</v>
      </c>
      <c r="AM149">
        <v>0</v>
      </c>
      <c r="AN149">
        <v>0</v>
      </c>
      <c r="AO149">
        <v>2</v>
      </c>
      <c r="AP149">
        <v>0</v>
      </c>
      <c r="AQ149">
        <v>0</v>
      </c>
      <c r="AR149">
        <v>2</v>
      </c>
      <c r="AT149">
        <v>2</v>
      </c>
      <c r="AU149">
        <v>2</v>
      </c>
      <c r="AW149">
        <v>0</v>
      </c>
      <c r="AX149">
        <v>2</v>
      </c>
      <c r="AY149">
        <v>2</v>
      </c>
    </row>
    <row r="150" spans="1:51" x14ac:dyDescent="0.3">
      <c r="A150" s="754">
        <v>578</v>
      </c>
      <c r="B150" t="s">
        <v>871</v>
      </c>
      <c r="D150">
        <v>0</v>
      </c>
      <c r="E150">
        <v>0</v>
      </c>
      <c r="F150">
        <v>0</v>
      </c>
      <c r="G150">
        <v>0</v>
      </c>
      <c r="H150">
        <v>0</v>
      </c>
      <c r="I150">
        <v>0</v>
      </c>
      <c r="J150">
        <v>0</v>
      </c>
      <c r="K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T150">
        <v>0</v>
      </c>
      <c r="AU150">
        <v>0</v>
      </c>
      <c r="AW150">
        <v>0</v>
      </c>
      <c r="AX150">
        <v>0</v>
      </c>
      <c r="AY150">
        <v>0</v>
      </c>
    </row>
    <row r="151" spans="1:51" x14ac:dyDescent="0.3">
      <c r="A151" s="754">
        <v>579</v>
      </c>
      <c r="B151" t="s">
        <v>872</v>
      </c>
      <c r="D151">
        <v>0</v>
      </c>
      <c r="E151">
        <v>0</v>
      </c>
      <c r="F151">
        <v>0</v>
      </c>
      <c r="G151">
        <v>0</v>
      </c>
      <c r="H151">
        <v>0</v>
      </c>
      <c r="I151">
        <v>0</v>
      </c>
      <c r="J151">
        <v>0</v>
      </c>
      <c r="K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T151">
        <v>0</v>
      </c>
      <c r="AU151">
        <v>0</v>
      </c>
      <c r="AW151">
        <v>0</v>
      </c>
      <c r="AX151">
        <v>0</v>
      </c>
      <c r="AY151">
        <v>0</v>
      </c>
    </row>
    <row r="152" spans="1:51" x14ac:dyDescent="0.3">
      <c r="A152" s="754">
        <v>580</v>
      </c>
      <c r="B152" t="s">
        <v>873</v>
      </c>
      <c r="D152">
        <v>0</v>
      </c>
      <c r="E152">
        <v>0</v>
      </c>
      <c r="F152">
        <v>0</v>
      </c>
      <c r="G152">
        <v>0</v>
      </c>
      <c r="H152">
        <v>0</v>
      </c>
      <c r="I152">
        <v>0</v>
      </c>
      <c r="J152">
        <v>0</v>
      </c>
      <c r="K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T152">
        <v>0</v>
      </c>
      <c r="AU152">
        <v>0</v>
      </c>
      <c r="AW152">
        <v>0</v>
      </c>
      <c r="AX152">
        <v>0</v>
      </c>
      <c r="AY152">
        <v>0</v>
      </c>
    </row>
    <row r="153" spans="1:51" x14ac:dyDescent="0.3">
      <c r="A153" s="754">
        <v>581</v>
      </c>
      <c r="B153" t="s">
        <v>874</v>
      </c>
      <c r="D153">
        <v>0</v>
      </c>
      <c r="E153">
        <v>0</v>
      </c>
      <c r="F153">
        <v>0</v>
      </c>
      <c r="G153">
        <v>0</v>
      </c>
      <c r="H153">
        <v>0</v>
      </c>
      <c r="I153">
        <v>0</v>
      </c>
      <c r="J153">
        <v>0</v>
      </c>
      <c r="K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T153">
        <v>0</v>
      </c>
      <c r="AU153">
        <v>0</v>
      </c>
      <c r="AW153">
        <v>0</v>
      </c>
      <c r="AX153">
        <v>0</v>
      </c>
      <c r="AY153">
        <v>0</v>
      </c>
    </row>
    <row r="154" spans="1:51" x14ac:dyDescent="0.3">
      <c r="A154" s="754">
        <v>586</v>
      </c>
      <c r="B154" t="s">
        <v>876</v>
      </c>
      <c r="D154">
        <v>0</v>
      </c>
      <c r="E154">
        <v>0</v>
      </c>
      <c r="F154">
        <v>0</v>
      </c>
      <c r="G154">
        <v>0</v>
      </c>
      <c r="H154">
        <v>0</v>
      </c>
      <c r="I154">
        <v>0</v>
      </c>
      <c r="J154">
        <v>0</v>
      </c>
      <c r="K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T154">
        <v>0</v>
      </c>
      <c r="AU154">
        <v>0</v>
      </c>
      <c r="AW154">
        <v>0</v>
      </c>
      <c r="AX154">
        <v>0</v>
      </c>
      <c r="AY154">
        <v>0</v>
      </c>
    </row>
    <row r="155" spans="1:51" x14ac:dyDescent="0.3">
      <c r="A155" s="754">
        <v>590</v>
      </c>
      <c r="B155" t="s">
        <v>1422</v>
      </c>
    </row>
    <row r="156" spans="1:51" x14ac:dyDescent="0.3">
      <c r="A156" s="754">
        <v>591</v>
      </c>
      <c r="B156" t="s">
        <v>307</v>
      </c>
      <c r="D156">
        <v>2730644</v>
      </c>
      <c r="E156">
        <v>2396179</v>
      </c>
      <c r="F156">
        <v>6049001</v>
      </c>
      <c r="G156">
        <v>0</v>
      </c>
      <c r="H156">
        <v>31645654</v>
      </c>
      <c r="I156">
        <v>0</v>
      </c>
      <c r="J156">
        <v>93342458</v>
      </c>
      <c r="K156">
        <v>8506207</v>
      </c>
      <c r="M156">
        <v>2891682</v>
      </c>
      <c r="N156">
        <v>3248135</v>
      </c>
      <c r="O156">
        <v>0</v>
      </c>
      <c r="P156">
        <v>328083001</v>
      </c>
      <c r="Q156">
        <v>919796</v>
      </c>
      <c r="R156">
        <v>362890</v>
      </c>
      <c r="S156">
        <v>2387528</v>
      </c>
      <c r="T156">
        <v>0</v>
      </c>
      <c r="U156">
        <v>257781635</v>
      </c>
      <c r="V156">
        <v>3145946</v>
      </c>
      <c r="W156">
        <v>439400</v>
      </c>
      <c r="X156">
        <v>3054033</v>
      </c>
      <c r="Y156">
        <v>6311471</v>
      </c>
      <c r="Z156">
        <v>0</v>
      </c>
      <c r="AA156">
        <v>2475594</v>
      </c>
      <c r="AB156">
        <v>457005</v>
      </c>
      <c r="AC156">
        <v>9868743</v>
      </c>
      <c r="AD156">
        <v>1270665</v>
      </c>
      <c r="AE156">
        <v>0</v>
      </c>
      <c r="AF156">
        <v>28834913</v>
      </c>
      <c r="AG156">
        <v>37430675</v>
      </c>
      <c r="AH156">
        <v>8477647</v>
      </c>
      <c r="AI156">
        <v>8049417</v>
      </c>
      <c r="AJ156">
        <v>0</v>
      </c>
      <c r="AK156">
        <v>294773</v>
      </c>
      <c r="AL156">
        <v>10204604</v>
      </c>
      <c r="AM156">
        <v>2186136</v>
      </c>
      <c r="AN156">
        <v>2500822</v>
      </c>
      <c r="AO156">
        <v>0</v>
      </c>
      <c r="AP156">
        <v>651891</v>
      </c>
      <c r="AQ156">
        <v>677643</v>
      </c>
      <c r="AR156">
        <v>217277</v>
      </c>
      <c r="AT156">
        <v>5154921</v>
      </c>
      <c r="AU156">
        <v>55622</v>
      </c>
      <c r="AW156">
        <v>40128</v>
      </c>
      <c r="AX156">
        <v>2202172</v>
      </c>
      <c r="AY156">
        <v>2777240</v>
      </c>
    </row>
    <row r="157" spans="1:51" x14ac:dyDescent="0.3">
      <c r="A157" s="754">
        <v>592</v>
      </c>
      <c r="B157" t="s">
        <v>308</v>
      </c>
      <c r="D157">
        <v>-158611</v>
      </c>
      <c r="E157">
        <v>1211876</v>
      </c>
      <c r="F157">
        <v>2251004</v>
      </c>
      <c r="G157">
        <v>0</v>
      </c>
      <c r="H157">
        <v>20319658</v>
      </c>
      <c r="I157">
        <v>0</v>
      </c>
      <c r="J157">
        <v>12827360</v>
      </c>
      <c r="K157">
        <v>2450613</v>
      </c>
      <c r="M157">
        <v>538771</v>
      </c>
      <c r="N157">
        <v>564722</v>
      </c>
      <c r="O157">
        <v>0</v>
      </c>
      <c r="P157">
        <v>23047769</v>
      </c>
      <c r="Q157">
        <v>178575</v>
      </c>
      <c r="R157">
        <v>-86690</v>
      </c>
      <c r="S157">
        <v>1009566</v>
      </c>
      <c r="T157">
        <v>0</v>
      </c>
      <c r="U157">
        <v>24004436</v>
      </c>
      <c r="V157">
        <v>610377</v>
      </c>
      <c r="W157">
        <v>76838</v>
      </c>
      <c r="X157">
        <v>111256</v>
      </c>
      <c r="Y157">
        <v>1295506</v>
      </c>
      <c r="Z157">
        <v>0</v>
      </c>
      <c r="AA157">
        <v>-709223</v>
      </c>
      <c r="AB157">
        <v>27340</v>
      </c>
      <c r="AC157">
        <v>518619</v>
      </c>
      <c r="AD157">
        <v>491512</v>
      </c>
      <c r="AE157">
        <v>0</v>
      </c>
      <c r="AF157">
        <v>14212755</v>
      </c>
      <c r="AG157">
        <v>3970705</v>
      </c>
      <c r="AH157">
        <v>442849</v>
      </c>
      <c r="AI157">
        <v>1223373</v>
      </c>
      <c r="AJ157">
        <v>0</v>
      </c>
      <c r="AK157">
        <v>-1225</v>
      </c>
      <c r="AL157">
        <v>4896324</v>
      </c>
      <c r="AM157">
        <v>22121</v>
      </c>
      <c r="AN157">
        <v>765142</v>
      </c>
      <c r="AO157">
        <v>0</v>
      </c>
      <c r="AP157">
        <v>169487</v>
      </c>
      <c r="AQ157">
        <v>66472</v>
      </c>
      <c r="AR157">
        <v>35570</v>
      </c>
      <c r="AT157">
        <v>1511569</v>
      </c>
      <c r="AU157">
        <v>-55622</v>
      </c>
      <c r="AW157">
        <v>-475</v>
      </c>
      <c r="AX157">
        <v>12364</v>
      </c>
      <c r="AY157">
        <v>1815075</v>
      </c>
    </row>
    <row r="158" spans="1:51" x14ac:dyDescent="0.3">
      <c r="A158" s="754">
        <v>596</v>
      </c>
      <c r="B158" t="s">
        <v>310</v>
      </c>
      <c r="D158">
        <v>52</v>
      </c>
      <c r="E158">
        <v>52</v>
      </c>
      <c r="F158">
        <v>52</v>
      </c>
      <c r="G158">
        <v>52</v>
      </c>
      <c r="H158">
        <v>52</v>
      </c>
      <c r="I158" s="787">
        <v>52</v>
      </c>
      <c r="J158" s="787">
        <v>52</v>
      </c>
      <c r="K158">
        <v>52</v>
      </c>
      <c r="M158">
        <v>52</v>
      </c>
      <c r="N158">
        <v>52</v>
      </c>
      <c r="O158">
        <v>52</v>
      </c>
      <c r="P158">
        <v>52</v>
      </c>
      <c r="Q158">
        <v>52</v>
      </c>
      <c r="R158">
        <v>52</v>
      </c>
      <c r="S158">
        <v>52</v>
      </c>
      <c r="T158">
        <v>52</v>
      </c>
      <c r="U158">
        <v>52</v>
      </c>
      <c r="V158">
        <v>52</v>
      </c>
      <c r="W158">
        <v>52</v>
      </c>
      <c r="X158">
        <v>52</v>
      </c>
      <c r="Y158">
        <v>52</v>
      </c>
      <c r="Z158">
        <v>52</v>
      </c>
      <c r="AA158">
        <v>52</v>
      </c>
      <c r="AB158">
        <v>52</v>
      </c>
      <c r="AC158">
        <v>52</v>
      </c>
      <c r="AD158">
        <v>52</v>
      </c>
      <c r="AE158">
        <v>52</v>
      </c>
      <c r="AF158">
        <v>52</v>
      </c>
      <c r="AG158">
        <v>52</v>
      </c>
      <c r="AH158">
        <v>52</v>
      </c>
      <c r="AI158">
        <v>52</v>
      </c>
      <c r="AJ158">
        <v>52</v>
      </c>
      <c r="AK158">
        <v>52</v>
      </c>
      <c r="AL158">
        <v>52</v>
      </c>
      <c r="AM158">
        <v>52</v>
      </c>
      <c r="AN158">
        <v>52</v>
      </c>
      <c r="AO158">
        <v>52</v>
      </c>
      <c r="AP158">
        <v>52</v>
      </c>
      <c r="AQ158">
        <v>52</v>
      </c>
      <c r="AR158">
        <v>52</v>
      </c>
      <c r="AT158">
        <v>52</v>
      </c>
      <c r="AU158">
        <v>52</v>
      </c>
      <c r="AW158">
        <v>52</v>
      </c>
      <c r="AX158">
        <v>52</v>
      </c>
      <c r="AY158">
        <v>52</v>
      </c>
    </row>
    <row r="159" spans="1:51" x14ac:dyDescent="0.3">
      <c r="A159" s="754">
        <v>597</v>
      </c>
      <c r="B159" t="s">
        <v>313</v>
      </c>
      <c r="D159">
        <v>0</v>
      </c>
      <c r="E159">
        <v>3282</v>
      </c>
      <c r="F159">
        <v>0</v>
      </c>
      <c r="G159">
        <v>0</v>
      </c>
      <c r="H159">
        <v>87001</v>
      </c>
      <c r="I159">
        <v>0</v>
      </c>
      <c r="J159">
        <v>0</v>
      </c>
      <c r="K159">
        <v>6910</v>
      </c>
      <c r="M159">
        <v>1229</v>
      </c>
      <c r="N159">
        <v>34896</v>
      </c>
      <c r="O159">
        <v>0</v>
      </c>
      <c r="P159">
        <v>-7713415</v>
      </c>
      <c r="Q159">
        <v>0</v>
      </c>
      <c r="R159">
        <v>0</v>
      </c>
      <c r="S159">
        <v>0</v>
      </c>
      <c r="T159">
        <v>0</v>
      </c>
      <c r="U159">
        <v>1042893</v>
      </c>
      <c r="V159">
        <v>2616</v>
      </c>
      <c r="W159">
        <v>2148</v>
      </c>
      <c r="X159">
        <v>0</v>
      </c>
      <c r="Y159">
        <v>765</v>
      </c>
      <c r="Z159">
        <v>0</v>
      </c>
      <c r="AA159">
        <v>0</v>
      </c>
      <c r="AB159">
        <v>124</v>
      </c>
      <c r="AC159">
        <v>28800</v>
      </c>
      <c r="AD159">
        <v>3711</v>
      </c>
      <c r="AE159">
        <v>0</v>
      </c>
      <c r="AF159">
        <v>0</v>
      </c>
      <c r="AG159">
        <v>0</v>
      </c>
      <c r="AH159">
        <v>34282</v>
      </c>
      <c r="AI159">
        <v>0</v>
      </c>
      <c r="AJ159">
        <v>134</v>
      </c>
      <c r="AK159">
        <v>0</v>
      </c>
      <c r="AL159">
        <v>27519</v>
      </c>
      <c r="AM159">
        <v>0</v>
      </c>
      <c r="AN159">
        <v>50064</v>
      </c>
      <c r="AO159">
        <v>0</v>
      </c>
      <c r="AP159">
        <v>2088</v>
      </c>
      <c r="AQ159">
        <v>0</v>
      </c>
      <c r="AR159">
        <v>389</v>
      </c>
      <c r="AT159">
        <v>0</v>
      </c>
      <c r="AU159">
        <v>0</v>
      </c>
      <c r="AW159">
        <v>0</v>
      </c>
      <c r="AX159">
        <v>5518</v>
      </c>
      <c r="AY159">
        <v>0</v>
      </c>
    </row>
    <row r="160" spans="1:51" x14ac:dyDescent="0.3">
      <c r="A160" s="754">
        <v>598</v>
      </c>
      <c r="B160" t="s">
        <v>318</v>
      </c>
      <c r="D160">
        <v>0</v>
      </c>
      <c r="E160">
        <v>0</v>
      </c>
      <c r="F160">
        <v>0</v>
      </c>
      <c r="G160">
        <v>0</v>
      </c>
      <c r="H160">
        <v>0</v>
      </c>
      <c r="I160">
        <v>0</v>
      </c>
      <c r="J160">
        <v>0</v>
      </c>
      <c r="K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T160">
        <v>0</v>
      </c>
      <c r="AU160">
        <v>0</v>
      </c>
      <c r="AW160">
        <v>0</v>
      </c>
      <c r="AX160">
        <v>0</v>
      </c>
      <c r="AY160">
        <v>0</v>
      </c>
    </row>
    <row r="161" spans="1:51" x14ac:dyDescent="0.3">
      <c r="A161" s="754">
        <v>599</v>
      </c>
      <c r="B161" t="s">
        <v>317</v>
      </c>
      <c r="D161">
        <v>0</v>
      </c>
      <c r="E161">
        <v>0</v>
      </c>
      <c r="F161">
        <v>0</v>
      </c>
      <c r="G161">
        <v>0</v>
      </c>
      <c r="H161">
        <v>0</v>
      </c>
      <c r="I161">
        <v>0</v>
      </c>
      <c r="J161">
        <v>0</v>
      </c>
      <c r="K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T161">
        <v>0</v>
      </c>
      <c r="AU161">
        <v>0</v>
      </c>
      <c r="AW161">
        <v>0</v>
      </c>
      <c r="AX161">
        <v>0</v>
      </c>
      <c r="AY161">
        <v>0</v>
      </c>
    </row>
    <row r="162" spans="1:51" x14ac:dyDescent="0.3">
      <c r="A162" s="754">
        <v>602</v>
      </c>
      <c r="B162" t="s">
        <v>319</v>
      </c>
      <c r="D162">
        <v>0</v>
      </c>
      <c r="E162">
        <v>0</v>
      </c>
      <c r="F162">
        <v>0</v>
      </c>
      <c r="G162">
        <v>0</v>
      </c>
      <c r="H162">
        <v>0</v>
      </c>
      <c r="I162">
        <v>0</v>
      </c>
      <c r="J162">
        <v>0</v>
      </c>
      <c r="K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T162">
        <v>0</v>
      </c>
      <c r="AU162">
        <v>0</v>
      </c>
      <c r="AW162">
        <v>0</v>
      </c>
      <c r="AX162">
        <v>0</v>
      </c>
      <c r="AY162">
        <v>0</v>
      </c>
    </row>
    <row r="163" spans="1:51" x14ac:dyDescent="0.3">
      <c r="A163" s="754">
        <v>606</v>
      </c>
      <c r="B163" t="s">
        <v>882</v>
      </c>
      <c r="J163">
        <v>1</v>
      </c>
      <c r="K163">
        <v>1</v>
      </c>
      <c r="M163">
        <v>1</v>
      </c>
      <c r="AY163">
        <v>1</v>
      </c>
    </row>
    <row r="164" spans="1:51" x14ac:dyDescent="0.3">
      <c r="A164" s="754">
        <v>619</v>
      </c>
      <c r="B164" t="s">
        <v>883</v>
      </c>
      <c r="D164">
        <v>0</v>
      </c>
      <c r="E164">
        <v>0</v>
      </c>
      <c r="F164">
        <v>0</v>
      </c>
      <c r="G164">
        <v>0</v>
      </c>
      <c r="H164">
        <v>0</v>
      </c>
      <c r="I164">
        <v>0</v>
      </c>
      <c r="J164">
        <v>0</v>
      </c>
      <c r="K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T164">
        <v>0</v>
      </c>
      <c r="AU164">
        <v>0</v>
      </c>
      <c r="AW164">
        <v>0</v>
      </c>
      <c r="AX164">
        <v>0</v>
      </c>
      <c r="AY164">
        <v>0</v>
      </c>
    </row>
    <row r="165" spans="1:51" x14ac:dyDescent="0.3">
      <c r="A165" s="754">
        <v>620</v>
      </c>
      <c r="B165" t="s">
        <v>884</v>
      </c>
      <c r="D165">
        <v>2</v>
      </c>
      <c r="E165">
        <v>2</v>
      </c>
      <c r="F165">
        <v>2</v>
      </c>
      <c r="G165">
        <v>2</v>
      </c>
      <c r="H165">
        <v>2</v>
      </c>
      <c r="I165">
        <v>2</v>
      </c>
      <c r="J165">
        <v>2</v>
      </c>
      <c r="K165">
        <v>2</v>
      </c>
      <c r="M165">
        <v>2</v>
      </c>
      <c r="N165">
        <v>2</v>
      </c>
      <c r="O165">
        <v>2</v>
      </c>
      <c r="P165">
        <v>2</v>
      </c>
      <c r="Q165">
        <v>2</v>
      </c>
      <c r="R165">
        <v>2</v>
      </c>
      <c r="S165">
        <v>0</v>
      </c>
      <c r="T165">
        <v>2</v>
      </c>
      <c r="U165">
        <v>1</v>
      </c>
      <c r="V165">
        <v>2</v>
      </c>
      <c r="W165">
        <v>2</v>
      </c>
      <c r="X165">
        <v>2</v>
      </c>
      <c r="Y165">
        <v>2</v>
      </c>
      <c r="Z165">
        <v>2</v>
      </c>
      <c r="AA165">
        <v>2</v>
      </c>
      <c r="AB165">
        <v>2</v>
      </c>
      <c r="AC165">
        <v>2</v>
      </c>
      <c r="AD165">
        <v>2</v>
      </c>
      <c r="AE165">
        <v>0</v>
      </c>
      <c r="AF165">
        <v>1</v>
      </c>
      <c r="AG165">
        <v>1</v>
      </c>
      <c r="AH165">
        <v>2</v>
      </c>
      <c r="AI165">
        <v>2</v>
      </c>
      <c r="AJ165">
        <v>2</v>
      </c>
      <c r="AK165">
        <v>2</v>
      </c>
      <c r="AL165">
        <v>2</v>
      </c>
      <c r="AM165">
        <v>2</v>
      </c>
      <c r="AN165">
        <v>2</v>
      </c>
      <c r="AO165">
        <v>2</v>
      </c>
      <c r="AP165">
        <v>2</v>
      </c>
      <c r="AQ165">
        <v>2</v>
      </c>
      <c r="AR165">
        <v>2</v>
      </c>
      <c r="AT165">
        <v>2</v>
      </c>
      <c r="AU165">
        <v>2</v>
      </c>
      <c r="AW165">
        <v>2</v>
      </c>
      <c r="AX165">
        <v>2</v>
      </c>
      <c r="AY165">
        <v>1</v>
      </c>
    </row>
    <row r="166" spans="1:51" x14ac:dyDescent="0.3">
      <c r="A166" s="754">
        <v>621</v>
      </c>
      <c r="B166" t="s">
        <v>885</v>
      </c>
      <c r="D166">
        <v>0</v>
      </c>
      <c r="E166">
        <v>0</v>
      </c>
      <c r="F166">
        <v>0</v>
      </c>
      <c r="G166">
        <v>0</v>
      </c>
      <c r="H166">
        <v>0</v>
      </c>
      <c r="I166">
        <v>0</v>
      </c>
      <c r="J166">
        <v>0</v>
      </c>
      <c r="K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T166">
        <v>0</v>
      </c>
      <c r="AU166">
        <v>0</v>
      </c>
      <c r="AW166">
        <v>0</v>
      </c>
      <c r="AX166">
        <v>0</v>
      </c>
      <c r="AY166">
        <v>0</v>
      </c>
    </row>
    <row r="167" spans="1:51" x14ac:dyDescent="0.3">
      <c r="A167" s="754">
        <v>622</v>
      </c>
      <c r="B167" t="s">
        <v>886</v>
      </c>
      <c r="D167">
        <v>44781</v>
      </c>
      <c r="E167">
        <v>0</v>
      </c>
      <c r="F167">
        <v>226359</v>
      </c>
      <c r="G167">
        <v>454558</v>
      </c>
      <c r="H167">
        <v>0</v>
      </c>
      <c r="I167">
        <v>784741</v>
      </c>
      <c r="J167">
        <v>3708235</v>
      </c>
      <c r="K167">
        <v>439682</v>
      </c>
      <c r="M167">
        <v>58430</v>
      </c>
      <c r="N167">
        <v>270680</v>
      </c>
      <c r="O167">
        <v>0</v>
      </c>
      <c r="P167">
        <v>9451408</v>
      </c>
      <c r="Q167">
        <v>32358</v>
      </c>
      <c r="R167">
        <v>0</v>
      </c>
      <c r="S167">
        <v>0</v>
      </c>
      <c r="T167">
        <v>21470</v>
      </c>
      <c r="U167">
        <v>6356908</v>
      </c>
      <c r="V167">
        <v>0</v>
      </c>
      <c r="W167">
        <v>1</v>
      </c>
      <c r="X167">
        <v>102444</v>
      </c>
      <c r="Y167">
        <v>12729</v>
      </c>
      <c r="Z167">
        <v>115480</v>
      </c>
      <c r="AA167">
        <v>0</v>
      </c>
      <c r="AB167">
        <v>6441</v>
      </c>
      <c r="AC167">
        <v>0</v>
      </c>
      <c r="AD167">
        <v>0</v>
      </c>
      <c r="AE167">
        <v>1</v>
      </c>
      <c r="AF167">
        <v>0</v>
      </c>
      <c r="AG167">
        <v>1875283</v>
      </c>
      <c r="AH167">
        <v>219151</v>
      </c>
      <c r="AI167">
        <v>0</v>
      </c>
      <c r="AJ167">
        <v>0</v>
      </c>
      <c r="AK167">
        <v>0</v>
      </c>
      <c r="AL167">
        <v>511761</v>
      </c>
      <c r="AM167">
        <v>55209</v>
      </c>
      <c r="AN167">
        <v>0</v>
      </c>
      <c r="AO167">
        <v>46928</v>
      </c>
      <c r="AP167">
        <v>0</v>
      </c>
      <c r="AQ167">
        <v>0</v>
      </c>
      <c r="AR167">
        <v>0</v>
      </c>
      <c r="AT167">
        <v>263165</v>
      </c>
      <c r="AU167">
        <v>0</v>
      </c>
      <c r="AW167">
        <v>0</v>
      </c>
      <c r="AX167">
        <v>154433</v>
      </c>
      <c r="AY167">
        <v>106278</v>
      </c>
    </row>
    <row r="168" spans="1:51" x14ac:dyDescent="0.3">
      <c r="A168" s="754">
        <v>626</v>
      </c>
      <c r="B168" t="s">
        <v>887</v>
      </c>
      <c r="D168">
        <v>0</v>
      </c>
      <c r="E168">
        <v>0</v>
      </c>
      <c r="F168">
        <v>0</v>
      </c>
      <c r="G168">
        <v>0</v>
      </c>
      <c r="H168">
        <v>0</v>
      </c>
      <c r="I168">
        <v>0</v>
      </c>
      <c r="J168">
        <v>0</v>
      </c>
      <c r="K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27170</v>
      </c>
      <c r="AL168">
        <v>0</v>
      </c>
      <c r="AM168">
        <v>0</v>
      </c>
      <c r="AN168">
        <v>0</v>
      </c>
      <c r="AO168">
        <v>0</v>
      </c>
      <c r="AP168">
        <v>0</v>
      </c>
      <c r="AQ168">
        <v>0</v>
      </c>
      <c r="AR168">
        <v>0</v>
      </c>
      <c r="AT168">
        <v>0</v>
      </c>
      <c r="AU168">
        <v>0</v>
      </c>
      <c r="AW168">
        <v>0</v>
      </c>
      <c r="AX168">
        <v>0</v>
      </c>
      <c r="AY168">
        <v>0</v>
      </c>
    </row>
    <row r="169" spans="1:51" x14ac:dyDescent="0.3">
      <c r="A169" s="754">
        <v>627</v>
      </c>
      <c r="B169" t="s">
        <v>888</v>
      </c>
      <c r="D169">
        <v>0</v>
      </c>
      <c r="E169">
        <v>0</v>
      </c>
      <c r="F169">
        <v>0</v>
      </c>
      <c r="G169">
        <v>0</v>
      </c>
      <c r="H169">
        <v>0</v>
      </c>
      <c r="I169">
        <v>0</v>
      </c>
      <c r="J169">
        <v>0</v>
      </c>
      <c r="K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T169">
        <v>0</v>
      </c>
      <c r="AU169">
        <v>0</v>
      </c>
      <c r="AW169">
        <v>0</v>
      </c>
      <c r="AX169">
        <v>0</v>
      </c>
      <c r="AY169">
        <v>0</v>
      </c>
    </row>
    <row r="170" spans="1:51" x14ac:dyDescent="0.3">
      <c r="A170" s="754">
        <v>628</v>
      </c>
      <c r="B170" t="s">
        <v>889</v>
      </c>
      <c r="D170">
        <v>0</v>
      </c>
      <c r="E170">
        <v>0</v>
      </c>
      <c r="F170">
        <v>0</v>
      </c>
      <c r="G170">
        <v>0</v>
      </c>
      <c r="H170">
        <v>0</v>
      </c>
      <c r="I170">
        <v>0</v>
      </c>
      <c r="J170">
        <v>0</v>
      </c>
      <c r="K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T170">
        <v>0</v>
      </c>
      <c r="AU170">
        <v>0</v>
      </c>
      <c r="AW170">
        <v>0</v>
      </c>
      <c r="AX170">
        <v>0</v>
      </c>
      <c r="AY170">
        <v>0</v>
      </c>
    </row>
    <row r="171" spans="1:51" x14ac:dyDescent="0.3">
      <c r="A171" s="754">
        <v>629</v>
      </c>
      <c r="B171" t="s">
        <v>890</v>
      </c>
      <c r="D171">
        <v>0</v>
      </c>
      <c r="E171">
        <v>0</v>
      </c>
      <c r="F171">
        <v>0</v>
      </c>
      <c r="G171">
        <v>0</v>
      </c>
      <c r="H171">
        <v>0</v>
      </c>
      <c r="I171">
        <v>0</v>
      </c>
      <c r="J171">
        <v>0</v>
      </c>
      <c r="K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T171">
        <v>0</v>
      </c>
      <c r="AU171">
        <v>0</v>
      </c>
      <c r="AW171">
        <v>0</v>
      </c>
      <c r="AX171">
        <v>0</v>
      </c>
      <c r="AY171">
        <v>0</v>
      </c>
    </row>
    <row r="172" spans="1:51" x14ac:dyDescent="0.3">
      <c r="A172" s="754">
        <v>630</v>
      </c>
      <c r="B172" t="s">
        <v>891</v>
      </c>
      <c r="D172">
        <v>0</v>
      </c>
      <c r="E172">
        <v>0</v>
      </c>
      <c r="F172">
        <v>0</v>
      </c>
      <c r="G172">
        <v>0</v>
      </c>
      <c r="H172">
        <v>0</v>
      </c>
      <c r="I172">
        <v>0</v>
      </c>
      <c r="J172">
        <v>0</v>
      </c>
      <c r="K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T172">
        <v>0</v>
      </c>
      <c r="AU172">
        <v>0</v>
      </c>
      <c r="AW172">
        <v>0</v>
      </c>
      <c r="AX172">
        <v>0</v>
      </c>
      <c r="AY172">
        <v>0</v>
      </c>
    </row>
    <row r="173" spans="1:51" x14ac:dyDescent="0.3">
      <c r="A173" s="754">
        <v>631</v>
      </c>
      <c r="B173" t="s">
        <v>892</v>
      </c>
      <c r="D173">
        <v>0</v>
      </c>
      <c r="E173">
        <v>0</v>
      </c>
      <c r="F173">
        <v>0</v>
      </c>
      <c r="G173">
        <v>0</v>
      </c>
      <c r="H173">
        <v>0</v>
      </c>
      <c r="I173">
        <v>0</v>
      </c>
      <c r="J173">
        <v>0</v>
      </c>
      <c r="K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T173">
        <v>0</v>
      </c>
      <c r="AU173">
        <v>0</v>
      </c>
      <c r="AW173">
        <v>0</v>
      </c>
      <c r="AX173">
        <v>0</v>
      </c>
      <c r="AY173">
        <v>0</v>
      </c>
    </row>
    <row r="174" spans="1:51" x14ac:dyDescent="0.3">
      <c r="A174" s="754">
        <v>632</v>
      </c>
      <c r="B174" t="s">
        <v>893</v>
      </c>
      <c r="D174">
        <v>0</v>
      </c>
      <c r="E174">
        <v>0</v>
      </c>
      <c r="F174">
        <v>0</v>
      </c>
      <c r="G174">
        <v>0</v>
      </c>
      <c r="H174">
        <v>0</v>
      </c>
      <c r="I174">
        <v>0</v>
      </c>
      <c r="J174">
        <v>0</v>
      </c>
      <c r="K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T174">
        <v>0</v>
      </c>
      <c r="AU174">
        <v>0</v>
      </c>
      <c r="AW174">
        <v>0</v>
      </c>
      <c r="AX174">
        <v>0</v>
      </c>
      <c r="AY174">
        <v>0</v>
      </c>
    </row>
    <row r="175" spans="1:51" x14ac:dyDescent="0.3">
      <c r="A175" s="754">
        <v>633</v>
      </c>
      <c r="B175" t="s">
        <v>350</v>
      </c>
      <c r="D175">
        <v>307619</v>
      </c>
      <c r="E175">
        <v>1117317</v>
      </c>
      <c r="F175">
        <v>3191878</v>
      </c>
      <c r="G175">
        <v>6831562</v>
      </c>
      <c r="H175">
        <v>12849524</v>
      </c>
      <c r="I175">
        <v>6071290</v>
      </c>
      <c r="J175">
        <v>38691904</v>
      </c>
      <c r="K175">
        <v>2258961</v>
      </c>
      <c r="M175">
        <v>2426382</v>
      </c>
      <c r="N175">
        <v>1540854</v>
      </c>
      <c r="O175">
        <v>59416</v>
      </c>
      <c r="P175">
        <v>49363380</v>
      </c>
      <c r="Q175">
        <v>159692</v>
      </c>
      <c r="R175">
        <v>821072</v>
      </c>
      <c r="S175">
        <v>792432</v>
      </c>
      <c r="T175">
        <v>43311</v>
      </c>
      <c r="U175">
        <v>10278973</v>
      </c>
      <c r="V175">
        <v>1292874</v>
      </c>
      <c r="W175">
        <v>27597</v>
      </c>
      <c r="X175">
        <v>1173875</v>
      </c>
      <c r="Y175">
        <v>1696564</v>
      </c>
      <c r="Z175">
        <v>380292</v>
      </c>
      <c r="AA175">
        <v>331303</v>
      </c>
      <c r="AB175">
        <v>24808</v>
      </c>
      <c r="AC175">
        <v>3160240</v>
      </c>
      <c r="AD175">
        <v>669404</v>
      </c>
      <c r="AE175">
        <v>207982</v>
      </c>
      <c r="AF175">
        <v>10493856</v>
      </c>
      <c r="AG175">
        <v>13122441</v>
      </c>
      <c r="AH175">
        <v>2357226</v>
      </c>
      <c r="AI175">
        <v>1725144</v>
      </c>
      <c r="AJ175">
        <v>103218</v>
      </c>
      <c r="AK175">
        <v>27170</v>
      </c>
      <c r="AL175">
        <v>4043521</v>
      </c>
      <c r="AM175">
        <v>346224</v>
      </c>
      <c r="AN175">
        <v>1337309</v>
      </c>
      <c r="AO175">
        <v>306161</v>
      </c>
      <c r="AP175">
        <v>285037</v>
      </c>
      <c r="AQ175">
        <v>249527</v>
      </c>
      <c r="AR175">
        <v>2409</v>
      </c>
      <c r="AT175">
        <v>1013032</v>
      </c>
      <c r="AU175">
        <v>0</v>
      </c>
      <c r="AW175">
        <v>1962</v>
      </c>
      <c r="AX175">
        <v>369075</v>
      </c>
      <c r="AY175">
        <v>706387</v>
      </c>
    </row>
    <row r="176" spans="1:51" x14ac:dyDescent="0.3">
      <c r="A176" s="754">
        <v>634</v>
      </c>
      <c r="B176" t="s">
        <v>351</v>
      </c>
      <c r="D176">
        <v>0</v>
      </c>
      <c r="E176">
        <v>0</v>
      </c>
      <c r="F176">
        <v>0</v>
      </c>
      <c r="G176">
        <v>0</v>
      </c>
      <c r="H176">
        <v>0</v>
      </c>
      <c r="I176">
        <v>0</v>
      </c>
      <c r="J176">
        <v>0</v>
      </c>
      <c r="K176">
        <v>0</v>
      </c>
      <c r="M176">
        <v>257000</v>
      </c>
      <c r="N176">
        <v>0</v>
      </c>
      <c r="O176">
        <v>17000</v>
      </c>
      <c r="P176">
        <v>0</v>
      </c>
      <c r="Q176">
        <v>0</v>
      </c>
      <c r="R176">
        <v>0</v>
      </c>
      <c r="S176">
        <v>0</v>
      </c>
      <c r="T176">
        <v>23000</v>
      </c>
      <c r="U176">
        <v>0</v>
      </c>
      <c r="V176">
        <v>0</v>
      </c>
      <c r="W176">
        <v>0</v>
      </c>
      <c r="X176">
        <v>0</v>
      </c>
      <c r="Y176">
        <v>0</v>
      </c>
      <c r="Z176">
        <v>0</v>
      </c>
      <c r="AA176">
        <v>0</v>
      </c>
      <c r="AB176">
        <v>0</v>
      </c>
      <c r="AC176">
        <v>0</v>
      </c>
      <c r="AD176">
        <v>0</v>
      </c>
      <c r="AE176">
        <v>0</v>
      </c>
      <c r="AF176">
        <v>0</v>
      </c>
      <c r="AG176">
        <v>0</v>
      </c>
      <c r="AH176">
        <v>0</v>
      </c>
      <c r="AI176">
        <v>0</v>
      </c>
      <c r="AJ176">
        <v>59000</v>
      </c>
      <c r="AK176">
        <v>0</v>
      </c>
      <c r="AL176">
        <v>0</v>
      </c>
      <c r="AM176">
        <v>148881</v>
      </c>
      <c r="AN176">
        <v>0</v>
      </c>
      <c r="AO176">
        <v>0</v>
      </c>
      <c r="AP176">
        <v>0</v>
      </c>
      <c r="AQ176">
        <v>0</v>
      </c>
      <c r="AR176">
        <v>0</v>
      </c>
      <c r="AT176">
        <v>161000</v>
      </c>
      <c r="AU176">
        <v>0</v>
      </c>
      <c r="AW176">
        <v>0</v>
      </c>
      <c r="AX176">
        <v>0</v>
      </c>
      <c r="AY176">
        <v>0</v>
      </c>
    </row>
    <row r="177" spans="1:51" x14ac:dyDescent="0.3">
      <c r="A177" s="754">
        <v>635</v>
      </c>
      <c r="B177" t="s">
        <v>352</v>
      </c>
      <c r="D177">
        <v>0</v>
      </c>
      <c r="E177">
        <v>8755</v>
      </c>
      <c r="F177">
        <v>91554</v>
      </c>
      <c r="G177">
        <v>0</v>
      </c>
      <c r="H177">
        <v>60000</v>
      </c>
      <c r="I177">
        <v>268672</v>
      </c>
      <c r="J177">
        <v>1051191</v>
      </c>
      <c r="K177">
        <v>192832</v>
      </c>
      <c r="M177">
        <v>30000</v>
      </c>
      <c r="N177">
        <v>9042</v>
      </c>
      <c r="O177">
        <v>0</v>
      </c>
      <c r="P177">
        <v>1596416</v>
      </c>
      <c r="Q177">
        <v>0</v>
      </c>
      <c r="R177">
        <v>0</v>
      </c>
      <c r="S177">
        <v>41884</v>
      </c>
      <c r="T177">
        <v>0</v>
      </c>
      <c r="U177">
        <v>811392</v>
      </c>
      <c r="V177">
        <v>43663</v>
      </c>
      <c r="W177">
        <v>0</v>
      </c>
      <c r="X177">
        <v>0</v>
      </c>
      <c r="Y177">
        <v>0</v>
      </c>
      <c r="Z177">
        <v>0</v>
      </c>
      <c r="AA177">
        <v>0</v>
      </c>
      <c r="AB177">
        <v>0</v>
      </c>
      <c r="AC177">
        <v>110980</v>
      </c>
      <c r="AD177">
        <v>2930</v>
      </c>
      <c r="AE177">
        <v>0</v>
      </c>
      <c r="AF177">
        <v>494493</v>
      </c>
      <c r="AG177">
        <v>517732</v>
      </c>
      <c r="AH177">
        <v>77941</v>
      </c>
      <c r="AI177">
        <v>0</v>
      </c>
      <c r="AJ177">
        <v>0</v>
      </c>
      <c r="AK177">
        <v>0</v>
      </c>
      <c r="AL177">
        <v>222760</v>
      </c>
      <c r="AM177">
        <v>0</v>
      </c>
      <c r="AN177">
        <v>8164</v>
      </c>
      <c r="AO177">
        <v>3784</v>
      </c>
      <c r="AP177">
        <v>1142</v>
      </c>
      <c r="AQ177">
        <v>0</v>
      </c>
      <c r="AR177">
        <v>0</v>
      </c>
      <c r="AT177">
        <v>0</v>
      </c>
      <c r="AU177">
        <v>0</v>
      </c>
      <c r="AW177">
        <v>0</v>
      </c>
      <c r="AX177">
        <v>8616</v>
      </c>
      <c r="AY177">
        <v>25443</v>
      </c>
    </row>
    <row r="178" spans="1:51" x14ac:dyDescent="0.3">
      <c r="A178" s="754">
        <v>636</v>
      </c>
      <c r="B178" t="s">
        <v>1423</v>
      </c>
      <c r="D178">
        <v>0</v>
      </c>
      <c r="E178">
        <v>0</v>
      </c>
      <c r="F178">
        <v>0</v>
      </c>
      <c r="G178">
        <v>0</v>
      </c>
      <c r="H178">
        <v>0</v>
      </c>
      <c r="I178">
        <v>0</v>
      </c>
      <c r="J178">
        <v>0</v>
      </c>
      <c r="K178">
        <v>0</v>
      </c>
      <c r="M178">
        <v>58430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T178">
        <v>0</v>
      </c>
      <c r="AU178">
        <v>0</v>
      </c>
      <c r="AW178">
        <v>0</v>
      </c>
      <c r="AX178">
        <v>0</v>
      </c>
      <c r="AY178">
        <v>0</v>
      </c>
    </row>
    <row r="179" spans="1:51" x14ac:dyDescent="0.3">
      <c r="A179" s="754">
        <v>637</v>
      </c>
      <c r="B179" t="s">
        <v>1424</v>
      </c>
      <c r="D179">
        <v>0</v>
      </c>
      <c r="E179">
        <v>760205</v>
      </c>
      <c r="F179">
        <v>228337</v>
      </c>
      <c r="G179">
        <v>0</v>
      </c>
      <c r="H179">
        <v>7758569</v>
      </c>
      <c r="I179">
        <v>1065032</v>
      </c>
      <c r="J179">
        <v>3639831</v>
      </c>
      <c r="K179">
        <v>0</v>
      </c>
      <c r="M179">
        <v>0</v>
      </c>
      <c r="N179">
        <v>964938</v>
      </c>
      <c r="O179">
        <v>0</v>
      </c>
      <c r="P179">
        <v>16056690</v>
      </c>
      <c r="Q179">
        <v>48340</v>
      </c>
      <c r="R179">
        <v>0</v>
      </c>
      <c r="S179">
        <v>334736</v>
      </c>
      <c r="T179">
        <v>0</v>
      </c>
      <c r="U179">
        <v>1682368</v>
      </c>
      <c r="V179">
        <v>241042</v>
      </c>
      <c r="W179">
        <v>7715</v>
      </c>
      <c r="X179">
        <v>199934</v>
      </c>
      <c r="Y179">
        <v>0</v>
      </c>
      <c r="Z179">
        <v>53500</v>
      </c>
      <c r="AA179">
        <v>0</v>
      </c>
      <c r="AB179">
        <v>8475</v>
      </c>
      <c r="AC179">
        <v>0</v>
      </c>
      <c r="AD179">
        <v>440121</v>
      </c>
      <c r="AE179">
        <v>0</v>
      </c>
      <c r="AF179">
        <v>0</v>
      </c>
      <c r="AG179">
        <v>2202552</v>
      </c>
      <c r="AH179">
        <v>0</v>
      </c>
      <c r="AI179">
        <v>464559</v>
      </c>
      <c r="AJ179">
        <v>0</v>
      </c>
      <c r="AK179">
        <v>0</v>
      </c>
      <c r="AL179">
        <v>0</v>
      </c>
      <c r="AM179">
        <v>0</v>
      </c>
      <c r="AN179">
        <v>781027</v>
      </c>
      <c r="AO179">
        <v>222705</v>
      </c>
      <c r="AP179">
        <v>157842</v>
      </c>
      <c r="AQ179">
        <v>61945</v>
      </c>
      <c r="AR179">
        <v>0</v>
      </c>
      <c r="AT179">
        <v>161000</v>
      </c>
      <c r="AU179">
        <v>0</v>
      </c>
      <c r="AW179">
        <v>525</v>
      </c>
      <c r="AX179">
        <v>62243</v>
      </c>
      <c r="AY179">
        <v>0</v>
      </c>
    </row>
    <row r="180" spans="1:51" x14ac:dyDescent="0.3">
      <c r="A180" s="754">
        <v>638</v>
      </c>
      <c r="B180" t="s">
        <v>1425</v>
      </c>
      <c r="D180">
        <v>0</v>
      </c>
      <c r="E180">
        <v>0</v>
      </c>
      <c r="F180">
        <v>0</v>
      </c>
      <c r="G180">
        <v>0</v>
      </c>
      <c r="H180">
        <v>0</v>
      </c>
      <c r="I180">
        <v>0</v>
      </c>
      <c r="J180">
        <v>0</v>
      </c>
      <c r="K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T180">
        <v>0</v>
      </c>
      <c r="AU180">
        <v>0</v>
      </c>
      <c r="AW180">
        <v>0</v>
      </c>
      <c r="AX180">
        <v>0</v>
      </c>
      <c r="AY180">
        <v>0</v>
      </c>
    </row>
    <row r="181" spans="1:51" x14ac:dyDescent="0.3">
      <c r="A181" s="754">
        <v>639</v>
      </c>
      <c r="B181" t="s">
        <v>1426</v>
      </c>
      <c r="D181">
        <v>0</v>
      </c>
      <c r="E181">
        <v>0</v>
      </c>
      <c r="F181">
        <v>0</v>
      </c>
      <c r="G181">
        <v>0</v>
      </c>
      <c r="H181">
        <v>0</v>
      </c>
      <c r="I181">
        <v>0</v>
      </c>
      <c r="J181">
        <v>0</v>
      </c>
      <c r="K181">
        <v>0</v>
      </c>
      <c r="M181">
        <v>0</v>
      </c>
      <c r="N181">
        <v>0</v>
      </c>
      <c r="O181">
        <v>0</v>
      </c>
      <c r="P181">
        <v>25812885</v>
      </c>
      <c r="Q181">
        <v>0</v>
      </c>
      <c r="R181">
        <v>0</v>
      </c>
      <c r="S181">
        <v>0</v>
      </c>
      <c r="T181">
        <v>0</v>
      </c>
      <c r="U181">
        <v>22305990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T181">
        <v>0</v>
      </c>
      <c r="AU181">
        <v>0</v>
      </c>
      <c r="AW181">
        <v>0</v>
      </c>
      <c r="AX181">
        <v>0</v>
      </c>
      <c r="AY181">
        <v>0</v>
      </c>
    </row>
    <row r="182" spans="1:51" x14ac:dyDescent="0.3">
      <c r="A182" s="754">
        <v>640</v>
      </c>
      <c r="B182" t="s">
        <v>1427</v>
      </c>
      <c r="D182">
        <v>0</v>
      </c>
      <c r="E182">
        <v>0</v>
      </c>
      <c r="F182">
        <v>0</v>
      </c>
      <c r="G182">
        <v>0</v>
      </c>
      <c r="H182">
        <v>0</v>
      </c>
      <c r="I182">
        <v>0</v>
      </c>
      <c r="J182">
        <v>0</v>
      </c>
      <c r="K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T182">
        <v>0</v>
      </c>
      <c r="AU182">
        <v>0</v>
      </c>
      <c r="AW182">
        <v>0</v>
      </c>
      <c r="AX182">
        <v>0</v>
      </c>
      <c r="AY182">
        <v>0</v>
      </c>
    </row>
    <row r="183" spans="1:51" x14ac:dyDescent="0.3">
      <c r="A183" s="754">
        <v>641</v>
      </c>
      <c r="B183" t="s">
        <v>1428</v>
      </c>
      <c r="D183">
        <v>0</v>
      </c>
      <c r="E183">
        <v>0</v>
      </c>
      <c r="F183">
        <v>0</v>
      </c>
      <c r="G183">
        <v>0</v>
      </c>
      <c r="H183">
        <v>0</v>
      </c>
      <c r="I183">
        <v>0</v>
      </c>
      <c r="J183">
        <v>0</v>
      </c>
      <c r="K183">
        <v>0</v>
      </c>
      <c r="M183">
        <v>0</v>
      </c>
      <c r="N183">
        <v>0</v>
      </c>
      <c r="O183">
        <v>0</v>
      </c>
      <c r="P183">
        <v>1656606</v>
      </c>
      <c r="Q183">
        <v>0</v>
      </c>
      <c r="R183">
        <v>0</v>
      </c>
      <c r="S183">
        <v>0</v>
      </c>
      <c r="T183">
        <v>0</v>
      </c>
      <c r="U183">
        <v>925888</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T183">
        <v>0</v>
      </c>
      <c r="AU183">
        <v>0</v>
      </c>
      <c r="AW183">
        <v>0</v>
      </c>
      <c r="AX183">
        <v>0</v>
      </c>
      <c r="AY183">
        <v>0</v>
      </c>
    </row>
    <row r="184" spans="1:51" x14ac:dyDescent="0.3">
      <c r="A184" s="754">
        <v>642</v>
      </c>
      <c r="B184" t="s">
        <v>1429</v>
      </c>
      <c r="D184">
        <v>0</v>
      </c>
      <c r="E184">
        <v>0</v>
      </c>
      <c r="F184">
        <v>0</v>
      </c>
      <c r="G184">
        <v>0</v>
      </c>
      <c r="H184">
        <v>0</v>
      </c>
      <c r="I184">
        <v>0</v>
      </c>
      <c r="J184">
        <v>0</v>
      </c>
      <c r="K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T184">
        <v>0</v>
      </c>
      <c r="AU184">
        <v>0</v>
      </c>
      <c r="AW184">
        <v>0</v>
      </c>
      <c r="AX184">
        <v>0</v>
      </c>
      <c r="AY184">
        <v>0</v>
      </c>
    </row>
    <row r="185" spans="1:51" x14ac:dyDescent="0.3">
      <c r="A185" s="754">
        <v>643</v>
      </c>
      <c r="B185" t="s">
        <v>1430</v>
      </c>
      <c r="D185">
        <v>0</v>
      </c>
      <c r="E185">
        <v>0</v>
      </c>
      <c r="F185">
        <v>0</v>
      </c>
      <c r="G185">
        <v>0</v>
      </c>
      <c r="H185">
        <v>0</v>
      </c>
      <c r="I185">
        <v>0</v>
      </c>
      <c r="J185">
        <v>0</v>
      </c>
      <c r="K185">
        <v>0</v>
      </c>
      <c r="M185">
        <v>0</v>
      </c>
      <c r="N185">
        <v>0</v>
      </c>
      <c r="O185">
        <v>0</v>
      </c>
      <c r="P185">
        <v>10377707</v>
      </c>
      <c r="Q185">
        <v>0</v>
      </c>
      <c r="R185">
        <v>0</v>
      </c>
      <c r="S185">
        <v>0</v>
      </c>
      <c r="T185">
        <v>0</v>
      </c>
      <c r="U185">
        <v>4348342</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T185">
        <v>0</v>
      </c>
      <c r="AU185">
        <v>0</v>
      </c>
      <c r="AW185">
        <v>0</v>
      </c>
      <c r="AX185">
        <v>0</v>
      </c>
      <c r="AY185">
        <v>0</v>
      </c>
    </row>
    <row r="186" spans="1:51" x14ac:dyDescent="0.3">
      <c r="A186" s="754">
        <v>644</v>
      </c>
      <c r="B186" t="s">
        <v>1431</v>
      </c>
      <c r="D186">
        <v>0</v>
      </c>
      <c r="E186">
        <v>0</v>
      </c>
      <c r="F186">
        <v>0</v>
      </c>
      <c r="G186">
        <v>0</v>
      </c>
      <c r="H186">
        <v>0</v>
      </c>
      <c r="I186">
        <v>0</v>
      </c>
      <c r="J186">
        <v>0</v>
      </c>
      <c r="K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T186">
        <v>0</v>
      </c>
      <c r="AU186">
        <v>0</v>
      </c>
      <c r="AW186">
        <v>0</v>
      </c>
      <c r="AX186">
        <v>0</v>
      </c>
      <c r="AY186">
        <v>0</v>
      </c>
    </row>
    <row r="187" spans="1:51" x14ac:dyDescent="0.3">
      <c r="A187" s="754">
        <v>645</v>
      </c>
      <c r="B187" t="s">
        <v>363</v>
      </c>
      <c r="D187">
        <v>0</v>
      </c>
      <c r="E187">
        <v>0</v>
      </c>
      <c r="F187">
        <v>0</v>
      </c>
      <c r="G187">
        <v>0</v>
      </c>
      <c r="H187">
        <v>0</v>
      </c>
      <c r="I187">
        <v>0</v>
      </c>
      <c r="J187">
        <v>0</v>
      </c>
      <c r="K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T187">
        <v>0</v>
      </c>
      <c r="AU187">
        <v>0</v>
      </c>
      <c r="AW187">
        <v>0</v>
      </c>
      <c r="AX187">
        <v>0</v>
      </c>
      <c r="AY187">
        <v>0</v>
      </c>
    </row>
    <row r="188" spans="1:51" x14ac:dyDescent="0.3">
      <c r="A188" s="754">
        <v>646</v>
      </c>
      <c r="B188" t="s">
        <v>336</v>
      </c>
      <c r="D188">
        <v>0</v>
      </c>
      <c r="E188">
        <v>0</v>
      </c>
      <c r="F188">
        <v>0</v>
      </c>
      <c r="G188">
        <v>0</v>
      </c>
      <c r="H188">
        <v>0</v>
      </c>
      <c r="I188">
        <v>0</v>
      </c>
      <c r="J188">
        <v>0</v>
      </c>
      <c r="K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T188">
        <v>0</v>
      </c>
      <c r="AU188">
        <v>0</v>
      </c>
      <c r="AW188">
        <v>0</v>
      </c>
      <c r="AX188">
        <v>0</v>
      </c>
      <c r="AY188">
        <v>0</v>
      </c>
    </row>
    <row r="189" spans="1:51" x14ac:dyDescent="0.3">
      <c r="A189" s="754">
        <v>647</v>
      </c>
      <c r="B189" t="s">
        <v>894</v>
      </c>
      <c r="D189">
        <v>0</v>
      </c>
      <c r="E189">
        <v>0</v>
      </c>
      <c r="F189">
        <v>0</v>
      </c>
      <c r="G189">
        <v>0</v>
      </c>
      <c r="H189">
        <v>0</v>
      </c>
      <c r="I189">
        <v>0</v>
      </c>
      <c r="J189">
        <v>0</v>
      </c>
      <c r="K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T189">
        <v>0</v>
      </c>
      <c r="AU189">
        <v>0</v>
      </c>
      <c r="AW189">
        <v>0</v>
      </c>
      <c r="AX189">
        <v>0</v>
      </c>
      <c r="AY189">
        <v>0</v>
      </c>
    </row>
    <row r="190" spans="1:51" x14ac:dyDescent="0.3">
      <c r="A190" s="754">
        <v>654</v>
      </c>
      <c r="B190" t="s">
        <v>384</v>
      </c>
      <c r="D190">
        <v>1929341</v>
      </c>
      <c r="E190">
        <v>8994422</v>
      </c>
      <c r="F190">
        <v>9633230</v>
      </c>
      <c r="G190">
        <v>53198716</v>
      </c>
      <c r="H190">
        <v>92202156</v>
      </c>
      <c r="I190">
        <v>111756167</v>
      </c>
      <c r="J190">
        <v>94278247</v>
      </c>
      <c r="K190">
        <v>17457169</v>
      </c>
      <c r="M190">
        <v>3981053</v>
      </c>
      <c r="N190">
        <v>8751814</v>
      </c>
      <c r="O190">
        <v>71004</v>
      </c>
      <c r="P190">
        <v>205986400</v>
      </c>
      <c r="Q190">
        <v>1822347</v>
      </c>
      <c r="R190">
        <v>859030</v>
      </c>
      <c r="S190">
        <v>8301417</v>
      </c>
      <c r="T190">
        <v>947425</v>
      </c>
      <c r="U190">
        <v>32180628</v>
      </c>
      <c r="V190">
        <v>4438270</v>
      </c>
      <c r="W190">
        <v>977004</v>
      </c>
      <c r="X190">
        <v>4117635</v>
      </c>
      <c r="Y190">
        <v>4019986</v>
      </c>
      <c r="Z190">
        <v>1886705</v>
      </c>
      <c r="AA190">
        <v>2237107</v>
      </c>
      <c r="AB190">
        <v>1316176</v>
      </c>
      <c r="AC190">
        <v>11626780</v>
      </c>
      <c r="AD190">
        <v>4136038</v>
      </c>
      <c r="AE190">
        <v>757658</v>
      </c>
      <c r="AF190">
        <v>51617255</v>
      </c>
      <c r="AG190">
        <v>37945441</v>
      </c>
      <c r="AH190">
        <v>15940761</v>
      </c>
      <c r="AI190">
        <v>15540905</v>
      </c>
      <c r="AJ190">
        <v>543185</v>
      </c>
      <c r="AK190">
        <v>1210392</v>
      </c>
      <c r="AL190">
        <v>28087027</v>
      </c>
      <c r="AM190">
        <v>4232403</v>
      </c>
      <c r="AN190">
        <v>10364066</v>
      </c>
      <c r="AO190">
        <v>2936989</v>
      </c>
      <c r="AP190">
        <v>2794304</v>
      </c>
      <c r="AQ190">
        <v>1751620</v>
      </c>
      <c r="AR190">
        <v>398156</v>
      </c>
      <c r="AT190">
        <v>17735475</v>
      </c>
      <c r="AU190">
        <v>0</v>
      </c>
      <c r="AW190">
        <v>45898</v>
      </c>
      <c r="AX190">
        <v>3777030</v>
      </c>
      <c r="AY190">
        <v>2830956</v>
      </c>
    </row>
    <row r="191" spans="1:51" x14ac:dyDescent="0.3">
      <c r="A191" s="754">
        <v>655</v>
      </c>
      <c r="B191" t="s">
        <v>895</v>
      </c>
      <c r="D191">
        <v>40775</v>
      </c>
      <c r="E191">
        <v>789205</v>
      </c>
      <c r="F191">
        <v>228337</v>
      </c>
      <c r="G191">
        <v>941212</v>
      </c>
      <c r="H191">
        <v>7697635</v>
      </c>
      <c r="I191">
        <v>64539481</v>
      </c>
      <c r="J191">
        <v>29409779</v>
      </c>
      <c r="K191">
        <v>0</v>
      </c>
      <c r="M191">
        <v>940162</v>
      </c>
      <c r="N191">
        <v>1001938</v>
      </c>
      <c r="O191">
        <v>689</v>
      </c>
      <c r="P191">
        <v>142808890</v>
      </c>
      <c r="Q191">
        <v>48340</v>
      </c>
      <c r="R191">
        <v>0</v>
      </c>
      <c r="S191">
        <v>432544</v>
      </c>
      <c r="T191">
        <v>6050</v>
      </c>
      <c r="U191">
        <v>1682368</v>
      </c>
      <c r="V191">
        <v>301042</v>
      </c>
      <c r="W191">
        <v>185136</v>
      </c>
      <c r="X191">
        <v>199934</v>
      </c>
      <c r="Y191">
        <v>0</v>
      </c>
      <c r="Z191">
        <v>53500</v>
      </c>
      <c r="AA191">
        <v>800347</v>
      </c>
      <c r="AB191">
        <v>8475</v>
      </c>
      <c r="AC191">
        <v>3832700</v>
      </c>
      <c r="AD191">
        <v>440122</v>
      </c>
      <c r="AE191">
        <v>13830</v>
      </c>
      <c r="AF191">
        <v>0</v>
      </c>
      <c r="AG191">
        <v>6466041</v>
      </c>
      <c r="AH191">
        <v>0</v>
      </c>
      <c r="AI191">
        <v>585152</v>
      </c>
      <c r="AJ191">
        <v>0</v>
      </c>
      <c r="AK191">
        <v>0</v>
      </c>
      <c r="AL191">
        <v>0</v>
      </c>
      <c r="AM191">
        <v>251851</v>
      </c>
      <c r="AN191">
        <v>840027</v>
      </c>
      <c r="AO191">
        <v>222705</v>
      </c>
      <c r="AP191">
        <v>157842</v>
      </c>
      <c r="AQ191">
        <v>448317</v>
      </c>
      <c r="AR191">
        <v>0</v>
      </c>
      <c r="AT191">
        <v>965941</v>
      </c>
      <c r="AU191">
        <v>0</v>
      </c>
      <c r="AW191">
        <v>525</v>
      </c>
      <c r="AX191">
        <v>56848</v>
      </c>
      <c r="AY191">
        <v>0</v>
      </c>
    </row>
    <row r="192" spans="1:51" x14ac:dyDescent="0.3">
      <c r="A192" s="754">
        <v>657</v>
      </c>
      <c r="B192" t="s">
        <v>896</v>
      </c>
      <c r="D192">
        <v>0</v>
      </c>
      <c r="E192">
        <v>0</v>
      </c>
      <c r="F192">
        <v>0</v>
      </c>
      <c r="G192">
        <v>0</v>
      </c>
      <c r="H192">
        <v>0</v>
      </c>
      <c r="I192">
        <v>0</v>
      </c>
      <c r="J192">
        <v>0</v>
      </c>
      <c r="K192">
        <v>0</v>
      </c>
      <c r="M192">
        <v>0</v>
      </c>
      <c r="N192">
        <v>0</v>
      </c>
      <c r="O192">
        <v>0</v>
      </c>
      <c r="P192">
        <v>233244847</v>
      </c>
      <c r="Q192">
        <v>0</v>
      </c>
      <c r="R192">
        <v>0</v>
      </c>
      <c r="S192">
        <v>0</v>
      </c>
      <c r="T192">
        <v>0</v>
      </c>
      <c r="U192">
        <v>73841507</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T192">
        <v>0</v>
      </c>
      <c r="AU192">
        <v>0</v>
      </c>
      <c r="AW192">
        <v>0</v>
      </c>
      <c r="AX192">
        <v>0</v>
      </c>
      <c r="AY192">
        <v>0</v>
      </c>
    </row>
    <row r="193" spans="1:51" x14ac:dyDescent="0.3">
      <c r="A193" s="754">
        <v>658</v>
      </c>
      <c r="B193" t="s">
        <v>897</v>
      </c>
      <c r="D193">
        <v>0</v>
      </c>
      <c r="E193">
        <v>0</v>
      </c>
      <c r="F193">
        <v>0</v>
      </c>
      <c r="G193">
        <v>0</v>
      </c>
      <c r="H193">
        <v>0</v>
      </c>
      <c r="I193">
        <v>0</v>
      </c>
      <c r="J193">
        <v>0</v>
      </c>
      <c r="K193">
        <v>0</v>
      </c>
      <c r="M193">
        <v>0</v>
      </c>
      <c r="N193">
        <v>0</v>
      </c>
      <c r="O193">
        <v>0</v>
      </c>
      <c r="P193">
        <v>97376821</v>
      </c>
      <c r="Q193">
        <v>0</v>
      </c>
      <c r="R193">
        <v>0</v>
      </c>
      <c r="S193">
        <v>0</v>
      </c>
      <c r="T193">
        <v>0</v>
      </c>
      <c r="U193">
        <v>4348342</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T193">
        <v>0</v>
      </c>
      <c r="AU193">
        <v>0</v>
      </c>
      <c r="AW193">
        <v>0</v>
      </c>
      <c r="AX193">
        <v>0</v>
      </c>
      <c r="AY193">
        <v>0</v>
      </c>
    </row>
    <row r="194" spans="1:51" x14ac:dyDescent="0.3">
      <c r="A194" s="754">
        <v>659</v>
      </c>
      <c r="B194" t="s">
        <v>898</v>
      </c>
      <c r="D194">
        <v>0</v>
      </c>
      <c r="E194">
        <v>0</v>
      </c>
      <c r="F194">
        <v>0</v>
      </c>
      <c r="G194">
        <v>0</v>
      </c>
      <c r="H194">
        <v>4049000</v>
      </c>
      <c r="I194">
        <v>3366004</v>
      </c>
      <c r="J194">
        <v>4385580</v>
      </c>
      <c r="K194">
        <v>2838414</v>
      </c>
      <c r="M194">
        <v>1231257</v>
      </c>
      <c r="N194">
        <v>2470900</v>
      </c>
      <c r="O194">
        <v>0</v>
      </c>
      <c r="P194">
        <v>26693679</v>
      </c>
      <c r="Q194">
        <v>0</v>
      </c>
      <c r="R194">
        <v>0</v>
      </c>
      <c r="S194">
        <v>0</v>
      </c>
      <c r="T194">
        <v>0</v>
      </c>
      <c r="U194">
        <v>40437582</v>
      </c>
      <c r="V194">
        <v>0</v>
      </c>
      <c r="W194">
        <v>0</v>
      </c>
      <c r="X194">
        <v>0</v>
      </c>
      <c r="Y194">
        <v>0</v>
      </c>
      <c r="Z194">
        <v>0</v>
      </c>
      <c r="AA194">
        <v>0</v>
      </c>
      <c r="AB194">
        <v>0</v>
      </c>
      <c r="AC194">
        <v>0</v>
      </c>
      <c r="AD194">
        <v>0</v>
      </c>
      <c r="AE194">
        <v>0</v>
      </c>
      <c r="AF194">
        <v>4807613</v>
      </c>
      <c r="AG194">
        <v>15281858</v>
      </c>
      <c r="AH194">
        <v>0</v>
      </c>
      <c r="AI194">
        <v>3715223</v>
      </c>
      <c r="AJ194">
        <v>0</v>
      </c>
      <c r="AK194">
        <v>0</v>
      </c>
      <c r="AL194">
        <v>0</v>
      </c>
      <c r="AM194">
        <v>0</v>
      </c>
      <c r="AN194">
        <v>0</v>
      </c>
      <c r="AO194">
        <v>0</v>
      </c>
      <c r="AP194">
        <v>0</v>
      </c>
      <c r="AQ194">
        <v>0</v>
      </c>
      <c r="AR194">
        <v>0</v>
      </c>
      <c r="AT194">
        <v>2211538</v>
      </c>
      <c r="AU194">
        <v>0</v>
      </c>
      <c r="AW194">
        <v>0</v>
      </c>
      <c r="AX194">
        <v>0</v>
      </c>
      <c r="AY194">
        <v>0</v>
      </c>
    </row>
    <row r="195" spans="1:51" x14ac:dyDescent="0.3">
      <c r="A195" s="754">
        <v>660</v>
      </c>
      <c r="B195" t="s">
        <v>899</v>
      </c>
      <c r="D195">
        <v>0</v>
      </c>
      <c r="E195">
        <v>0</v>
      </c>
      <c r="F195">
        <v>0</v>
      </c>
      <c r="G195">
        <v>0</v>
      </c>
      <c r="H195">
        <v>0</v>
      </c>
      <c r="I195">
        <v>0</v>
      </c>
      <c r="J195">
        <v>0</v>
      </c>
      <c r="K195">
        <v>0</v>
      </c>
      <c r="M195">
        <v>0</v>
      </c>
      <c r="N195">
        <v>0</v>
      </c>
      <c r="O195">
        <v>0</v>
      </c>
      <c r="P195">
        <v>0</v>
      </c>
      <c r="Q195">
        <v>0</v>
      </c>
      <c r="R195">
        <v>0</v>
      </c>
      <c r="S195">
        <v>0</v>
      </c>
      <c r="T195">
        <v>0</v>
      </c>
      <c r="U195">
        <v>6639245</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T195">
        <v>0</v>
      </c>
      <c r="AU195">
        <v>0</v>
      </c>
      <c r="AW195">
        <v>0</v>
      </c>
      <c r="AX195">
        <v>0</v>
      </c>
      <c r="AY195">
        <v>0</v>
      </c>
    </row>
    <row r="196" spans="1:51" x14ac:dyDescent="0.3">
      <c r="A196" s="754">
        <v>661</v>
      </c>
      <c r="B196" t="s">
        <v>388</v>
      </c>
      <c r="D196">
        <v>0</v>
      </c>
      <c r="E196">
        <v>0</v>
      </c>
      <c r="F196">
        <v>0</v>
      </c>
      <c r="G196">
        <v>0</v>
      </c>
      <c r="H196">
        <v>0</v>
      </c>
      <c r="I196">
        <v>0</v>
      </c>
      <c r="J196">
        <v>0</v>
      </c>
      <c r="K196">
        <v>0</v>
      </c>
      <c r="M196">
        <v>0</v>
      </c>
      <c r="N196">
        <v>0</v>
      </c>
      <c r="O196">
        <v>0</v>
      </c>
      <c r="P196">
        <v>0</v>
      </c>
      <c r="Q196">
        <v>0</v>
      </c>
      <c r="R196">
        <v>0</v>
      </c>
      <c r="S196">
        <v>0</v>
      </c>
      <c r="T196">
        <v>0</v>
      </c>
      <c r="U196">
        <v>16.399999999999999</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T196">
        <v>0</v>
      </c>
      <c r="AU196">
        <v>0</v>
      </c>
      <c r="AW196">
        <v>0</v>
      </c>
      <c r="AX196">
        <v>0</v>
      </c>
      <c r="AY196">
        <v>0</v>
      </c>
    </row>
    <row r="197" spans="1:51" x14ac:dyDescent="0.3">
      <c r="A197" s="754">
        <v>662</v>
      </c>
      <c r="B197" t="s">
        <v>418</v>
      </c>
      <c r="J197">
        <v>0</v>
      </c>
      <c r="K197">
        <v>0</v>
      </c>
      <c r="M197">
        <v>0</v>
      </c>
      <c r="AY197">
        <v>0</v>
      </c>
    </row>
    <row r="198" spans="1:51" x14ac:dyDescent="0.3">
      <c r="A198" s="754">
        <v>663</v>
      </c>
      <c r="B198" t="s">
        <v>900</v>
      </c>
      <c r="J198">
        <v>0</v>
      </c>
      <c r="K198">
        <v>0</v>
      </c>
      <c r="M198">
        <v>0</v>
      </c>
      <c r="AY198">
        <v>0</v>
      </c>
    </row>
    <row r="199" spans="1:51" x14ac:dyDescent="0.3">
      <c r="A199" s="754">
        <v>906</v>
      </c>
      <c r="B199" t="s">
        <v>901</v>
      </c>
      <c r="D199">
        <v>1</v>
      </c>
      <c r="E199">
        <v>1</v>
      </c>
      <c r="F199">
        <v>1</v>
      </c>
      <c r="G199">
        <v>1</v>
      </c>
      <c r="H199">
        <v>1</v>
      </c>
      <c r="I199">
        <v>1</v>
      </c>
      <c r="J199">
        <v>1</v>
      </c>
      <c r="K199">
        <v>1</v>
      </c>
      <c r="M199">
        <v>1</v>
      </c>
      <c r="N199">
        <v>1</v>
      </c>
      <c r="O199">
        <v>1</v>
      </c>
      <c r="P199">
        <v>1</v>
      </c>
      <c r="Q199">
        <v>1</v>
      </c>
      <c r="R199">
        <v>1</v>
      </c>
      <c r="S199">
        <v>1</v>
      </c>
      <c r="T199">
        <v>1</v>
      </c>
      <c r="U199">
        <v>1</v>
      </c>
      <c r="V199">
        <v>1</v>
      </c>
      <c r="W199">
        <v>1</v>
      </c>
      <c r="X199">
        <v>1</v>
      </c>
      <c r="Y199">
        <v>1</v>
      </c>
      <c r="Z199">
        <v>1</v>
      </c>
      <c r="AA199">
        <v>1</v>
      </c>
      <c r="AB199">
        <v>1</v>
      </c>
      <c r="AC199">
        <v>1</v>
      </c>
      <c r="AD199">
        <v>1</v>
      </c>
      <c r="AE199">
        <v>1</v>
      </c>
      <c r="AF199">
        <v>1</v>
      </c>
      <c r="AG199">
        <v>1</v>
      </c>
      <c r="AH199">
        <v>1</v>
      </c>
      <c r="AI199">
        <v>1</v>
      </c>
      <c r="AJ199">
        <v>1</v>
      </c>
      <c r="AK199">
        <v>1</v>
      </c>
      <c r="AL199">
        <v>1</v>
      </c>
      <c r="AM199">
        <v>1</v>
      </c>
      <c r="AN199">
        <v>1</v>
      </c>
      <c r="AO199">
        <v>1</v>
      </c>
      <c r="AP199">
        <v>1</v>
      </c>
      <c r="AQ199">
        <v>1</v>
      </c>
      <c r="AR199">
        <v>1</v>
      </c>
      <c r="AT199">
        <v>1</v>
      </c>
      <c r="AU199">
        <v>1</v>
      </c>
      <c r="AW199">
        <v>1</v>
      </c>
      <c r="AX199">
        <v>1</v>
      </c>
      <c r="AY199">
        <v>1</v>
      </c>
    </row>
    <row r="200" spans="1:51" x14ac:dyDescent="0.3">
      <c r="A200" s="754">
        <v>907</v>
      </c>
      <c r="B200" t="s">
        <v>902</v>
      </c>
      <c r="D200">
        <v>1</v>
      </c>
      <c r="E200">
        <v>2</v>
      </c>
      <c r="F200">
        <v>2</v>
      </c>
      <c r="G200">
        <v>2</v>
      </c>
      <c r="H200">
        <v>2</v>
      </c>
      <c r="I200">
        <v>2</v>
      </c>
      <c r="J200">
        <v>2</v>
      </c>
      <c r="K200">
        <v>2</v>
      </c>
      <c r="M200">
        <v>1</v>
      </c>
      <c r="N200">
        <v>2</v>
      </c>
      <c r="O200">
        <v>1</v>
      </c>
      <c r="P200">
        <v>2</v>
      </c>
      <c r="Q200">
        <v>2</v>
      </c>
      <c r="R200">
        <v>2</v>
      </c>
      <c r="S200">
        <v>2</v>
      </c>
      <c r="T200">
        <v>2</v>
      </c>
      <c r="U200">
        <v>2</v>
      </c>
      <c r="V200">
        <v>1</v>
      </c>
      <c r="W200">
        <v>2</v>
      </c>
      <c r="X200">
        <v>2</v>
      </c>
      <c r="Y200">
        <v>2</v>
      </c>
      <c r="Z200">
        <v>2</v>
      </c>
      <c r="AA200">
        <v>2</v>
      </c>
      <c r="AB200">
        <v>1</v>
      </c>
      <c r="AC200">
        <v>2</v>
      </c>
      <c r="AD200">
        <v>2</v>
      </c>
      <c r="AE200">
        <v>2</v>
      </c>
      <c r="AF200">
        <v>2</v>
      </c>
      <c r="AG200">
        <v>2</v>
      </c>
      <c r="AH200">
        <v>2</v>
      </c>
      <c r="AI200">
        <v>2</v>
      </c>
      <c r="AJ200">
        <v>2</v>
      </c>
      <c r="AK200">
        <v>2</v>
      </c>
      <c r="AL200">
        <v>2</v>
      </c>
      <c r="AM200">
        <v>1</v>
      </c>
      <c r="AN200">
        <v>2</v>
      </c>
      <c r="AO200">
        <v>2</v>
      </c>
      <c r="AP200">
        <v>2</v>
      </c>
      <c r="AQ200">
        <v>2</v>
      </c>
      <c r="AR200">
        <v>2</v>
      </c>
      <c r="AT200">
        <v>2</v>
      </c>
      <c r="AU200">
        <v>2</v>
      </c>
      <c r="AW200">
        <v>1</v>
      </c>
      <c r="AX200">
        <v>2</v>
      </c>
      <c r="AY200">
        <v>2</v>
      </c>
    </row>
    <row r="201" spans="1:51" x14ac:dyDescent="0.3">
      <c r="A201" s="754">
        <v>947</v>
      </c>
      <c r="B201" t="s">
        <v>903</v>
      </c>
      <c r="D201" t="s">
        <v>1093</v>
      </c>
      <c r="E201" t="s">
        <v>1094</v>
      </c>
      <c r="F201" t="s">
        <v>1095</v>
      </c>
      <c r="G201" t="s">
        <v>1096</v>
      </c>
      <c r="H201" t="s">
        <v>1096</v>
      </c>
      <c r="I201" t="s">
        <v>1432</v>
      </c>
      <c r="J201">
        <v>0</v>
      </c>
      <c r="K201" t="s">
        <v>1099</v>
      </c>
      <c r="M201" t="s">
        <v>1100</v>
      </c>
      <c r="N201" t="s">
        <v>1101</v>
      </c>
      <c r="O201" t="s">
        <v>1433</v>
      </c>
      <c r="P201" t="s">
        <v>1102</v>
      </c>
      <c r="Q201" t="s">
        <v>1103</v>
      </c>
      <c r="R201" t="s">
        <v>1434</v>
      </c>
      <c r="S201" t="s">
        <v>972</v>
      </c>
      <c r="T201" t="s">
        <v>1002</v>
      </c>
      <c r="U201" t="s">
        <v>1105</v>
      </c>
      <c r="V201" t="s">
        <v>973</v>
      </c>
      <c r="W201" t="s">
        <v>969</v>
      </c>
      <c r="X201" t="s">
        <v>1106</v>
      </c>
      <c r="Y201" t="s">
        <v>1328</v>
      </c>
      <c r="Z201" t="s">
        <v>972</v>
      </c>
      <c r="AA201" t="s">
        <v>904</v>
      </c>
      <c r="AB201" t="s">
        <v>1108</v>
      </c>
      <c r="AC201" t="s">
        <v>1109</v>
      </c>
      <c r="AD201" t="s">
        <v>1110</v>
      </c>
      <c r="AE201" t="s">
        <v>1435</v>
      </c>
      <c r="AF201" t="s">
        <v>971</v>
      </c>
      <c r="AG201" t="s">
        <v>1112</v>
      </c>
      <c r="AH201" t="s">
        <v>1113</v>
      </c>
      <c r="AI201" t="s">
        <v>970</v>
      </c>
      <c r="AJ201" t="s">
        <v>1114</v>
      </c>
      <c r="AK201" t="s">
        <v>1115</v>
      </c>
      <c r="AL201" t="s">
        <v>1116</v>
      </c>
      <c r="AM201" t="s">
        <v>1117</v>
      </c>
      <c r="AN201" t="s">
        <v>974</v>
      </c>
      <c r="AO201" t="s">
        <v>970</v>
      </c>
      <c r="AP201" t="s">
        <v>1118</v>
      </c>
      <c r="AQ201" t="s">
        <v>1436</v>
      </c>
      <c r="AR201" t="s">
        <v>973</v>
      </c>
      <c r="AT201" t="s">
        <v>972</v>
      </c>
      <c r="AU201" t="s">
        <v>1093</v>
      </c>
      <c r="AW201" t="s">
        <v>1121</v>
      </c>
      <c r="AX201" t="s">
        <v>1437</v>
      </c>
      <c r="AY201" t="s">
        <v>1122</v>
      </c>
    </row>
    <row r="202" spans="1:51" x14ac:dyDescent="0.3">
      <c r="A202" s="754">
        <v>948</v>
      </c>
      <c r="B202" t="s">
        <v>905</v>
      </c>
      <c r="D202" t="s">
        <v>1123</v>
      </c>
      <c r="E202" t="s">
        <v>1124</v>
      </c>
      <c r="F202" t="s">
        <v>1125</v>
      </c>
      <c r="G202" t="s">
        <v>1126</v>
      </c>
      <c r="H202" t="s">
        <v>1127</v>
      </c>
      <c r="I202" t="s">
        <v>1438</v>
      </c>
      <c r="J202" t="s">
        <v>1128</v>
      </c>
      <c r="K202" t="s">
        <v>1129</v>
      </c>
      <c r="M202" t="s">
        <v>1130</v>
      </c>
      <c r="N202" t="s">
        <v>1131</v>
      </c>
      <c r="O202" t="s">
        <v>1439</v>
      </c>
      <c r="P202" t="s">
        <v>1132</v>
      </c>
      <c r="Q202" t="s">
        <v>1133</v>
      </c>
      <c r="R202" t="s">
        <v>1440</v>
      </c>
      <c r="S202" t="s">
        <v>1135</v>
      </c>
      <c r="T202" t="s">
        <v>1329</v>
      </c>
      <c r="U202" t="s">
        <v>1137</v>
      </c>
      <c r="V202" t="s">
        <v>1138</v>
      </c>
      <c r="W202" t="s">
        <v>1139</v>
      </c>
      <c r="X202" t="s">
        <v>1140</v>
      </c>
      <c r="Y202" t="s">
        <v>1141</v>
      </c>
      <c r="Z202" t="s">
        <v>977</v>
      </c>
      <c r="AA202" t="s">
        <v>1142</v>
      </c>
      <c r="AB202" t="s">
        <v>1143</v>
      </c>
      <c r="AC202" t="s">
        <v>1441</v>
      </c>
      <c r="AD202" t="s">
        <v>1145</v>
      </c>
      <c r="AE202" t="s">
        <v>1442</v>
      </c>
      <c r="AF202" t="s">
        <v>1147</v>
      </c>
      <c r="AG202" t="s">
        <v>1148</v>
      </c>
      <c r="AH202" t="s">
        <v>1149</v>
      </c>
      <c r="AI202" t="s">
        <v>1150</v>
      </c>
      <c r="AJ202" t="s">
        <v>1151</v>
      </c>
      <c r="AK202" t="s">
        <v>975</v>
      </c>
      <c r="AL202" t="s">
        <v>1152</v>
      </c>
      <c r="AM202" t="s">
        <v>1153</v>
      </c>
      <c r="AN202" t="s">
        <v>1154</v>
      </c>
      <c r="AO202" t="s">
        <v>1443</v>
      </c>
      <c r="AP202" t="s">
        <v>1156</v>
      </c>
      <c r="AQ202" t="s">
        <v>1444</v>
      </c>
      <c r="AR202" t="s">
        <v>1445</v>
      </c>
      <c r="AT202" t="s">
        <v>1446</v>
      </c>
      <c r="AU202" t="s">
        <v>1123</v>
      </c>
      <c r="AW202" t="s">
        <v>1159</v>
      </c>
      <c r="AX202" t="s">
        <v>1447</v>
      </c>
      <c r="AY202" t="s">
        <v>1160</v>
      </c>
    </row>
    <row r="203" spans="1:51" x14ac:dyDescent="0.3">
      <c r="A203" s="754">
        <v>949</v>
      </c>
      <c r="B203" t="s">
        <v>906</v>
      </c>
      <c r="D203" t="s">
        <v>381</v>
      </c>
      <c r="E203" t="s">
        <v>398</v>
      </c>
      <c r="F203" t="s">
        <v>381</v>
      </c>
      <c r="G203" t="s">
        <v>381</v>
      </c>
      <c r="H203" t="s">
        <v>381</v>
      </c>
      <c r="I203" t="s">
        <v>381</v>
      </c>
      <c r="J203" t="s">
        <v>381</v>
      </c>
      <c r="K203" t="s">
        <v>381</v>
      </c>
      <c r="M203" t="s">
        <v>381</v>
      </c>
      <c r="N203" t="s">
        <v>398</v>
      </c>
      <c r="O203" t="s">
        <v>381</v>
      </c>
      <c r="P203" t="s">
        <v>381</v>
      </c>
      <c r="Q203" t="s">
        <v>381</v>
      </c>
      <c r="R203" t="s">
        <v>381</v>
      </c>
      <c r="S203" t="s">
        <v>381</v>
      </c>
      <c r="T203" t="s">
        <v>381</v>
      </c>
      <c r="U203" t="s">
        <v>381</v>
      </c>
      <c r="V203" t="s">
        <v>381</v>
      </c>
      <c r="W203" t="s">
        <v>381</v>
      </c>
      <c r="X203" t="s">
        <v>381</v>
      </c>
      <c r="Y203" t="s">
        <v>381</v>
      </c>
      <c r="Z203" t="s">
        <v>381</v>
      </c>
      <c r="AA203" t="s">
        <v>381</v>
      </c>
      <c r="AB203" t="s">
        <v>381</v>
      </c>
      <c r="AC203" t="s">
        <v>381</v>
      </c>
      <c r="AD203" t="s">
        <v>398</v>
      </c>
      <c r="AE203" t="s">
        <v>381</v>
      </c>
      <c r="AF203" t="s">
        <v>381</v>
      </c>
      <c r="AG203" t="s">
        <v>381</v>
      </c>
      <c r="AH203" t="s">
        <v>381</v>
      </c>
      <c r="AI203" t="s">
        <v>381</v>
      </c>
      <c r="AJ203" t="s">
        <v>381</v>
      </c>
      <c r="AK203" t="s">
        <v>381</v>
      </c>
      <c r="AL203" t="s">
        <v>381</v>
      </c>
      <c r="AM203" t="s">
        <v>1006</v>
      </c>
      <c r="AN203" t="s">
        <v>398</v>
      </c>
      <c r="AO203" t="s">
        <v>381</v>
      </c>
      <c r="AP203" t="s">
        <v>398</v>
      </c>
      <c r="AQ203" t="s">
        <v>381</v>
      </c>
      <c r="AR203" t="s">
        <v>381</v>
      </c>
      <c r="AT203" t="s">
        <v>381</v>
      </c>
      <c r="AU203" t="s">
        <v>381</v>
      </c>
      <c r="AW203" t="s">
        <v>381</v>
      </c>
      <c r="AX203" t="s">
        <v>381</v>
      </c>
      <c r="AY203" t="s">
        <v>398</v>
      </c>
    </row>
    <row r="204" spans="1:51" x14ac:dyDescent="0.3">
      <c r="A204" s="754">
        <v>950</v>
      </c>
      <c r="B204" t="s">
        <v>907</v>
      </c>
      <c r="D204" t="s">
        <v>50</v>
      </c>
      <c r="E204" t="s">
        <v>50</v>
      </c>
      <c r="F204" t="s">
        <v>1007</v>
      </c>
      <c r="G204" t="s">
        <v>50</v>
      </c>
      <c r="H204" t="s">
        <v>50</v>
      </c>
      <c r="I204" t="s">
        <v>50</v>
      </c>
      <c r="J204" t="s">
        <v>50</v>
      </c>
      <c r="K204" t="s">
        <v>50</v>
      </c>
      <c r="M204" t="s">
        <v>50</v>
      </c>
      <c r="N204" t="s">
        <v>50</v>
      </c>
      <c r="O204" t="s">
        <v>50</v>
      </c>
      <c r="P204" t="s">
        <v>50</v>
      </c>
      <c r="Q204" t="s">
        <v>50</v>
      </c>
      <c r="R204" t="s">
        <v>50</v>
      </c>
      <c r="S204" t="s">
        <v>50</v>
      </c>
      <c r="T204" t="s">
        <v>50</v>
      </c>
      <c r="U204" t="s">
        <v>50</v>
      </c>
      <c r="V204" t="s">
        <v>50</v>
      </c>
      <c r="W204" t="s">
        <v>50</v>
      </c>
      <c r="X204" t="s">
        <v>50</v>
      </c>
      <c r="Y204" t="s">
        <v>50</v>
      </c>
      <c r="Z204" t="s">
        <v>50</v>
      </c>
      <c r="AA204" t="s">
        <v>50</v>
      </c>
      <c r="AB204" t="s">
        <v>50</v>
      </c>
      <c r="AC204" t="s">
        <v>50</v>
      </c>
      <c r="AD204" t="s">
        <v>50</v>
      </c>
      <c r="AE204" t="s">
        <v>50</v>
      </c>
      <c r="AF204" t="s">
        <v>50</v>
      </c>
      <c r="AG204" t="s">
        <v>50</v>
      </c>
      <c r="AH204" t="s">
        <v>50</v>
      </c>
      <c r="AI204" t="s">
        <v>50</v>
      </c>
      <c r="AJ204" t="s">
        <v>50</v>
      </c>
      <c r="AK204" t="s">
        <v>51</v>
      </c>
      <c r="AL204" t="s">
        <v>50</v>
      </c>
      <c r="AM204" t="s">
        <v>50</v>
      </c>
      <c r="AN204" t="s">
        <v>50</v>
      </c>
      <c r="AO204" t="s">
        <v>50</v>
      </c>
      <c r="AP204" t="s">
        <v>50</v>
      </c>
      <c r="AQ204" t="s">
        <v>50</v>
      </c>
      <c r="AR204" t="s">
        <v>50</v>
      </c>
      <c r="AT204" t="s">
        <v>50</v>
      </c>
      <c r="AU204" t="s">
        <v>50</v>
      </c>
      <c r="AW204" t="s">
        <v>50</v>
      </c>
      <c r="AX204" t="s">
        <v>50</v>
      </c>
      <c r="AY204" t="s">
        <v>50</v>
      </c>
    </row>
    <row r="205" spans="1:51" x14ac:dyDescent="0.3">
      <c r="A205" s="754">
        <v>951</v>
      </c>
      <c r="B205" t="s">
        <v>908</v>
      </c>
      <c r="D205">
        <v>2</v>
      </c>
      <c r="E205">
        <v>2</v>
      </c>
      <c r="F205">
        <v>2</v>
      </c>
      <c r="G205">
        <v>2</v>
      </c>
      <c r="H205">
        <v>2</v>
      </c>
      <c r="I205">
        <v>2</v>
      </c>
      <c r="J205">
        <v>2</v>
      </c>
      <c r="K205">
        <v>2</v>
      </c>
      <c r="M205">
        <v>2</v>
      </c>
      <c r="N205">
        <v>2</v>
      </c>
      <c r="O205">
        <v>1</v>
      </c>
      <c r="P205">
        <v>2</v>
      </c>
      <c r="Q205">
        <v>2</v>
      </c>
      <c r="R205">
        <v>2</v>
      </c>
      <c r="S205">
        <v>2</v>
      </c>
      <c r="T205">
        <v>2</v>
      </c>
      <c r="U205">
        <v>2</v>
      </c>
      <c r="V205">
        <v>2</v>
      </c>
      <c r="W205">
        <v>2</v>
      </c>
      <c r="X205">
        <v>2</v>
      </c>
      <c r="Y205">
        <v>2</v>
      </c>
      <c r="Z205">
        <v>2</v>
      </c>
      <c r="AA205">
        <v>2</v>
      </c>
      <c r="AB205">
        <v>2</v>
      </c>
      <c r="AC205">
        <v>2</v>
      </c>
      <c r="AD205">
        <v>2</v>
      </c>
      <c r="AE205">
        <v>2</v>
      </c>
      <c r="AF205">
        <v>2</v>
      </c>
      <c r="AG205">
        <v>2</v>
      </c>
      <c r="AH205">
        <v>2</v>
      </c>
      <c r="AI205">
        <v>2</v>
      </c>
      <c r="AJ205">
        <v>2</v>
      </c>
      <c r="AK205">
        <v>2</v>
      </c>
      <c r="AL205">
        <v>2</v>
      </c>
      <c r="AM205">
        <v>2</v>
      </c>
      <c r="AN205">
        <v>2</v>
      </c>
      <c r="AO205">
        <v>2</v>
      </c>
      <c r="AP205">
        <v>2</v>
      </c>
      <c r="AQ205">
        <v>2</v>
      </c>
      <c r="AR205">
        <v>2</v>
      </c>
      <c r="AT205">
        <v>2</v>
      </c>
      <c r="AU205">
        <v>2</v>
      </c>
      <c r="AW205">
        <v>2</v>
      </c>
      <c r="AX205">
        <v>2</v>
      </c>
      <c r="AY205">
        <v>2</v>
      </c>
    </row>
    <row r="206" spans="1:51" x14ac:dyDescent="0.3">
      <c r="A206" s="754">
        <v>952</v>
      </c>
      <c r="B206" t="s">
        <v>909</v>
      </c>
      <c r="D206" t="s">
        <v>1000</v>
      </c>
      <c r="F206" t="s">
        <v>1008</v>
      </c>
      <c r="H206" t="s">
        <v>1161</v>
      </c>
      <c r="I206" t="s">
        <v>1448</v>
      </c>
      <c r="J206" t="s">
        <v>1449</v>
      </c>
      <c r="K206" t="s">
        <v>1164</v>
      </c>
      <c r="M206" t="s">
        <v>1165</v>
      </c>
      <c r="P206" t="s">
        <v>1166</v>
      </c>
      <c r="Q206" t="s">
        <v>979</v>
      </c>
      <c r="S206" t="s">
        <v>910</v>
      </c>
      <c r="U206" t="s">
        <v>1167</v>
      </c>
      <c r="V206" t="s">
        <v>1168</v>
      </c>
      <c r="W206" t="s">
        <v>980</v>
      </c>
      <c r="X206" t="s">
        <v>1169</v>
      </c>
      <c r="Y206" t="s">
        <v>1170</v>
      </c>
      <c r="Z206" t="s">
        <v>1171</v>
      </c>
      <c r="AA206" t="s">
        <v>1172</v>
      </c>
      <c r="AB206" t="s">
        <v>1173</v>
      </c>
      <c r="AC206" t="s">
        <v>981</v>
      </c>
      <c r="AE206" t="s">
        <v>1174</v>
      </c>
      <c r="AF206" t="s">
        <v>1175</v>
      </c>
      <c r="AG206" t="s">
        <v>1176</v>
      </c>
      <c r="AH206" t="s">
        <v>1177</v>
      </c>
      <c r="AI206" t="s">
        <v>1450</v>
      </c>
      <c r="AJ206" t="s">
        <v>1179</v>
      </c>
      <c r="AL206" t="s">
        <v>1451</v>
      </c>
      <c r="AM206" t="s">
        <v>1180</v>
      </c>
      <c r="AO206" t="s">
        <v>1452</v>
      </c>
      <c r="AQ206" t="s">
        <v>1181</v>
      </c>
      <c r="AR206" t="s">
        <v>1239</v>
      </c>
      <c r="AU206" t="s">
        <v>1000</v>
      </c>
      <c r="AW206" t="s">
        <v>1184</v>
      </c>
      <c r="AX206" t="s">
        <v>1453</v>
      </c>
      <c r="AY206" t="s">
        <v>1454</v>
      </c>
    </row>
    <row r="207" spans="1:51" x14ac:dyDescent="0.3">
      <c r="A207" s="754">
        <v>953</v>
      </c>
      <c r="B207" t="s">
        <v>914</v>
      </c>
      <c r="D207">
        <v>2</v>
      </c>
      <c r="E207">
        <v>2</v>
      </c>
      <c r="F207">
        <v>2</v>
      </c>
      <c r="G207">
        <v>2</v>
      </c>
      <c r="H207">
        <v>2</v>
      </c>
      <c r="I207">
        <v>2</v>
      </c>
      <c r="J207">
        <v>2</v>
      </c>
      <c r="K207">
        <v>2</v>
      </c>
      <c r="M207">
        <v>2</v>
      </c>
      <c r="N207">
        <v>2</v>
      </c>
      <c r="O207">
        <v>2</v>
      </c>
      <c r="P207">
        <v>2</v>
      </c>
      <c r="Q207">
        <v>2</v>
      </c>
      <c r="R207">
        <v>2</v>
      </c>
      <c r="S207">
        <v>2</v>
      </c>
      <c r="T207">
        <v>2</v>
      </c>
      <c r="U207">
        <v>2</v>
      </c>
      <c r="V207">
        <v>2</v>
      </c>
      <c r="W207">
        <v>2</v>
      </c>
      <c r="X207">
        <v>2</v>
      </c>
      <c r="Y207">
        <v>2</v>
      </c>
      <c r="Z207">
        <v>2</v>
      </c>
      <c r="AA207">
        <v>2</v>
      </c>
      <c r="AB207">
        <v>2</v>
      </c>
      <c r="AC207">
        <v>2</v>
      </c>
      <c r="AD207">
        <v>2</v>
      </c>
      <c r="AE207">
        <v>2</v>
      </c>
      <c r="AF207">
        <v>2</v>
      </c>
      <c r="AG207">
        <v>2</v>
      </c>
      <c r="AH207">
        <v>2</v>
      </c>
      <c r="AI207">
        <v>2</v>
      </c>
      <c r="AJ207">
        <v>2</v>
      </c>
      <c r="AK207">
        <v>2</v>
      </c>
      <c r="AL207">
        <v>2</v>
      </c>
      <c r="AM207">
        <v>2</v>
      </c>
      <c r="AN207">
        <v>2</v>
      </c>
      <c r="AO207">
        <v>2</v>
      </c>
      <c r="AP207">
        <v>2</v>
      </c>
      <c r="AQ207">
        <v>2</v>
      </c>
      <c r="AR207">
        <v>2</v>
      </c>
      <c r="AT207">
        <v>2</v>
      </c>
      <c r="AU207">
        <v>2</v>
      </c>
      <c r="AW207">
        <v>2</v>
      </c>
      <c r="AX207">
        <v>2</v>
      </c>
      <c r="AY207">
        <v>2</v>
      </c>
    </row>
    <row r="208" spans="1:51" x14ac:dyDescent="0.3">
      <c r="A208" s="754">
        <v>954</v>
      </c>
      <c r="B208" t="s">
        <v>379</v>
      </c>
      <c r="D208" t="s">
        <v>50</v>
      </c>
      <c r="E208" t="s">
        <v>50</v>
      </c>
      <c r="F208" t="s">
        <v>1007</v>
      </c>
      <c r="G208" t="s">
        <v>50</v>
      </c>
      <c r="H208" t="s">
        <v>50</v>
      </c>
      <c r="I208" t="s">
        <v>50</v>
      </c>
      <c r="J208" t="s">
        <v>50</v>
      </c>
      <c r="K208" t="s">
        <v>50</v>
      </c>
      <c r="M208" t="s">
        <v>50</v>
      </c>
      <c r="N208" t="s">
        <v>50</v>
      </c>
      <c r="O208" t="s">
        <v>50</v>
      </c>
      <c r="P208" t="s">
        <v>978</v>
      </c>
      <c r="Q208" t="s">
        <v>50</v>
      </c>
      <c r="R208" t="s">
        <v>50</v>
      </c>
      <c r="S208" t="s">
        <v>50</v>
      </c>
      <c r="T208" t="s">
        <v>50</v>
      </c>
      <c r="U208" t="s">
        <v>50</v>
      </c>
      <c r="V208" t="s">
        <v>50</v>
      </c>
      <c r="W208" t="s">
        <v>50</v>
      </c>
      <c r="X208" t="s">
        <v>50</v>
      </c>
      <c r="Y208" t="s">
        <v>50</v>
      </c>
      <c r="Z208" t="s">
        <v>50</v>
      </c>
      <c r="AA208" t="s">
        <v>50</v>
      </c>
      <c r="AB208" t="s">
        <v>50</v>
      </c>
      <c r="AC208" t="s">
        <v>50</v>
      </c>
      <c r="AD208" t="s">
        <v>50</v>
      </c>
      <c r="AE208" t="s">
        <v>50</v>
      </c>
      <c r="AF208" t="s">
        <v>50</v>
      </c>
      <c r="AG208" t="s">
        <v>50</v>
      </c>
      <c r="AH208" t="s">
        <v>50</v>
      </c>
      <c r="AI208" t="s">
        <v>50</v>
      </c>
      <c r="AJ208" t="s">
        <v>50</v>
      </c>
      <c r="AK208" t="s">
        <v>50</v>
      </c>
      <c r="AL208" t="s">
        <v>50</v>
      </c>
      <c r="AM208" t="s">
        <v>50</v>
      </c>
      <c r="AN208" t="s">
        <v>50</v>
      </c>
      <c r="AO208" t="s">
        <v>50</v>
      </c>
      <c r="AP208" t="s">
        <v>50</v>
      </c>
      <c r="AQ208" t="s">
        <v>50</v>
      </c>
      <c r="AR208" t="s">
        <v>50</v>
      </c>
      <c r="AT208" t="s">
        <v>50</v>
      </c>
      <c r="AU208" t="s">
        <v>50</v>
      </c>
      <c r="AW208" t="s">
        <v>50</v>
      </c>
      <c r="AX208" t="s">
        <v>50</v>
      </c>
      <c r="AY208" t="s">
        <v>50</v>
      </c>
    </row>
    <row r="209" spans="1:51" x14ac:dyDescent="0.3">
      <c r="A209" s="754">
        <v>955</v>
      </c>
      <c r="B209" t="s">
        <v>915</v>
      </c>
      <c r="D209">
        <v>1</v>
      </c>
      <c r="E209">
        <v>0</v>
      </c>
      <c r="F209">
        <v>0</v>
      </c>
      <c r="G209">
        <v>0</v>
      </c>
      <c r="H209">
        <v>0</v>
      </c>
      <c r="I209">
        <v>0</v>
      </c>
      <c r="J209">
        <v>0</v>
      </c>
      <c r="K209">
        <v>0</v>
      </c>
      <c r="M209">
        <v>0</v>
      </c>
      <c r="N209">
        <v>1</v>
      </c>
      <c r="O209">
        <v>0</v>
      </c>
      <c r="P209">
        <v>0</v>
      </c>
      <c r="Q209">
        <v>0</v>
      </c>
      <c r="R209">
        <v>0</v>
      </c>
      <c r="S209">
        <v>0</v>
      </c>
      <c r="T209">
        <v>1</v>
      </c>
      <c r="U209">
        <v>0</v>
      </c>
      <c r="V209">
        <v>0</v>
      </c>
      <c r="W209">
        <v>0</v>
      </c>
      <c r="X209">
        <v>0</v>
      </c>
      <c r="Y209">
        <v>0</v>
      </c>
      <c r="Z209">
        <v>0</v>
      </c>
      <c r="AA209">
        <v>0</v>
      </c>
      <c r="AB209">
        <v>0</v>
      </c>
      <c r="AC209">
        <v>0</v>
      </c>
      <c r="AD209">
        <v>1</v>
      </c>
      <c r="AE209">
        <v>0</v>
      </c>
      <c r="AF209">
        <v>0</v>
      </c>
      <c r="AG209">
        <v>0</v>
      </c>
      <c r="AH209">
        <v>0</v>
      </c>
      <c r="AI209">
        <v>0</v>
      </c>
      <c r="AJ209">
        <v>0</v>
      </c>
      <c r="AK209">
        <v>0</v>
      </c>
      <c r="AL209">
        <v>0</v>
      </c>
      <c r="AM209">
        <v>1</v>
      </c>
      <c r="AN209">
        <v>1</v>
      </c>
      <c r="AO209">
        <v>0</v>
      </c>
      <c r="AP209">
        <v>0</v>
      </c>
      <c r="AQ209">
        <v>0</v>
      </c>
      <c r="AR209">
        <v>0</v>
      </c>
      <c r="AT209">
        <v>0</v>
      </c>
      <c r="AU209">
        <v>0</v>
      </c>
      <c r="AW209">
        <v>0</v>
      </c>
      <c r="AX209">
        <v>0</v>
      </c>
      <c r="AY209">
        <v>0</v>
      </c>
    </row>
    <row r="210" spans="1:51" x14ac:dyDescent="0.3">
      <c r="A210" s="754">
        <v>956</v>
      </c>
      <c r="B210" t="s">
        <v>380</v>
      </c>
      <c r="D210" t="s">
        <v>50</v>
      </c>
      <c r="E210" t="s">
        <v>50</v>
      </c>
      <c r="F210" t="s">
        <v>1007</v>
      </c>
      <c r="G210" t="s">
        <v>50</v>
      </c>
      <c r="H210" t="s">
        <v>50</v>
      </c>
      <c r="I210" t="s">
        <v>50</v>
      </c>
      <c r="J210" t="s">
        <v>50</v>
      </c>
      <c r="K210" t="s">
        <v>50</v>
      </c>
      <c r="M210" t="s">
        <v>50</v>
      </c>
      <c r="N210" t="s">
        <v>50</v>
      </c>
      <c r="O210" t="s">
        <v>50</v>
      </c>
      <c r="P210" t="s">
        <v>50</v>
      </c>
      <c r="Q210" t="s">
        <v>50</v>
      </c>
      <c r="R210" t="s">
        <v>50</v>
      </c>
      <c r="S210" t="s">
        <v>50</v>
      </c>
      <c r="T210" t="s">
        <v>50</v>
      </c>
      <c r="U210" t="s">
        <v>50</v>
      </c>
      <c r="V210" t="s">
        <v>50</v>
      </c>
      <c r="W210" t="s">
        <v>50</v>
      </c>
      <c r="X210" t="s">
        <v>50</v>
      </c>
      <c r="Y210" t="s">
        <v>50</v>
      </c>
      <c r="Z210" t="s">
        <v>50</v>
      </c>
      <c r="AA210" t="s">
        <v>50</v>
      </c>
      <c r="AB210" t="s">
        <v>50</v>
      </c>
      <c r="AC210" t="s">
        <v>50</v>
      </c>
      <c r="AD210" t="s">
        <v>50</v>
      </c>
      <c r="AE210" t="s">
        <v>50</v>
      </c>
      <c r="AF210" t="s">
        <v>50</v>
      </c>
      <c r="AG210" t="s">
        <v>50</v>
      </c>
      <c r="AH210" t="s">
        <v>50</v>
      </c>
      <c r="AI210" t="s">
        <v>50</v>
      </c>
      <c r="AJ210" t="s">
        <v>50</v>
      </c>
      <c r="AK210" t="s">
        <v>50</v>
      </c>
      <c r="AL210" t="s">
        <v>50</v>
      </c>
      <c r="AM210" t="s">
        <v>50</v>
      </c>
      <c r="AN210" t="s">
        <v>50</v>
      </c>
      <c r="AO210" t="s">
        <v>50</v>
      </c>
      <c r="AP210" t="s">
        <v>50</v>
      </c>
      <c r="AQ210" t="s">
        <v>50</v>
      </c>
      <c r="AR210" t="s">
        <v>50</v>
      </c>
      <c r="AT210" t="s">
        <v>50</v>
      </c>
      <c r="AU210" t="s">
        <v>50</v>
      </c>
      <c r="AW210" t="s">
        <v>50</v>
      </c>
      <c r="AX210" t="s">
        <v>50</v>
      </c>
      <c r="AY210" t="s">
        <v>50</v>
      </c>
    </row>
    <row r="211" spans="1:51" x14ac:dyDescent="0.3">
      <c r="A211" s="754">
        <v>957</v>
      </c>
      <c r="B211" t="s">
        <v>916</v>
      </c>
      <c r="D211">
        <v>0</v>
      </c>
      <c r="E211">
        <v>0</v>
      </c>
      <c r="F211">
        <v>0</v>
      </c>
      <c r="G211">
        <v>0</v>
      </c>
      <c r="H211">
        <v>0</v>
      </c>
      <c r="I211">
        <v>0</v>
      </c>
      <c r="J211">
        <v>0</v>
      </c>
      <c r="K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T211">
        <v>0</v>
      </c>
      <c r="AU211">
        <v>0</v>
      </c>
      <c r="AW211">
        <v>0</v>
      </c>
      <c r="AX211">
        <v>1</v>
      </c>
      <c r="AY211">
        <v>0</v>
      </c>
    </row>
    <row r="212" spans="1:51" x14ac:dyDescent="0.3">
      <c r="A212" s="754">
        <v>958</v>
      </c>
      <c r="B212" t="s">
        <v>917</v>
      </c>
      <c r="D212" t="s">
        <v>50</v>
      </c>
      <c r="E212" t="s">
        <v>50</v>
      </c>
      <c r="F212" t="s">
        <v>1007</v>
      </c>
      <c r="G212" t="s">
        <v>50</v>
      </c>
      <c r="H212" t="s">
        <v>50</v>
      </c>
      <c r="I212" t="s">
        <v>50</v>
      </c>
      <c r="J212" t="s">
        <v>50</v>
      </c>
      <c r="K212" t="s">
        <v>50</v>
      </c>
      <c r="M212" t="s">
        <v>50</v>
      </c>
      <c r="N212" t="s">
        <v>50</v>
      </c>
      <c r="O212" t="s">
        <v>50</v>
      </c>
      <c r="P212" t="s">
        <v>50</v>
      </c>
      <c r="Q212" t="s">
        <v>50</v>
      </c>
      <c r="R212" t="s">
        <v>50</v>
      </c>
      <c r="S212" t="s">
        <v>50</v>
      </c>
      <c r="T212" t="s">
        <v>50</v>
      </c>
      <c r="U212" t="s">
        <v>50</v>
      </c>
      <c r="V212" t="s">
        <v>50</v>
      </c>
      <c r="W212" t="s">
        <v>50</v>
      </c>
      <c r="X212" t="s">
        <v>50</v>
      </c>
      <c r="Y212" t="s">
        <v>50</v>
      </c>
      <c r="Z212" t="s">
        <v>50</v>
      </c>
      <c r="AA212" t="s">
        <v>50</v>
      </c>
      <c r="AB212" t="s">
        <v>50</v>
      </c>
      <c r="AC212" t="s">
        <v>50</v>
      </c>
      <c r="AD212" t="s">
        <v>50</v>
      </c>
      <c r="AE212" t="s">
        <v>50</v>
      </c>
      <c r="AF212" t="s">
        <v>50</v>
      </c>
      <c r="AG212" t="s">
        <v>50</v>
      </c>
      <c r="AH212" t="s">
        <v>50</v>
      </c>
      <c r="AI212" t="s">
        <v>50</v>
      </c>
      <c r="AJ212" t="s">
        <v>50</v>
      </c>
      <c r="AK212" t="s">
        <v>51</v>
      </c>
      <c r="AL212" t="s">
        <v>50</v>
      </c>
      <c r="AM212" t="s">
        <v>50</v>
      </c>
      <c r="AN212" t="s">
        <v>50</v>
      </c>
      <c r="AO212" t="s">
        <v>50</v>
      </c>
      <c r="AP212" t="s">
        <v>50</v>
      </c>
      <c r="AQ212" t="s">
        <v>50</v>
      </c>
      <c r="AR212" t="s">
        <v>50</v>
      </c>
      <c r="AT212" t="s">
        <v>50</v>
      </c>
      <c r="AU212" t="s">
        <v>50</v>
      </c>
      <c r="AW212" t="s">
        <v>50</v>
      </c>
      <c r="AX212" t="s">
        <v>50</v>
      </c>
      <c r="AY212" t="s">
        <v>50</v>
      </c>
    </row>
    <row r="213" spans="1:51" x14ac:dyDescent="0.3">
      <c r="A213" s="754">
        <v>959</v>
      </c>
      <c r="B213" t="s">
        <v>918</v>
      </c>
      <c r="D213">
        <v>2</v>
      </c>
      <c r="E213">
        <v>2</v>
      </c>
      <c r="F213">
        <v>2</v>
      </c>
      <c r="G213">
        <v>2</v>
      </c>
      <c r="H213">
        <v>2</v>
      </c>
      <c r="I213">
        <v>2</v>
      </c>
      <c r="J213">
        <v>2</v>
      </c>
      <c r="K213">
        <v>2</v>
      </c>
      <c r="M213">
        <v>2</v>
      </c>
      <c r="N213">
        <v>2</v>
      </c>
      <c r="O213">
        <v>2</v>
      </c>
      <c r="P213">
        <v>2</v>
      </c>
      <c r="Q213">
        <v>2</v>
      </c>
      <c r="R213">
        <v>2</v>
      </c>
      <c r="S213">
        <v>2</v>
      </c>
      <c r="T213">
        <v>2</v>
      </c>
      <c r="U213">
        <v>2</v>
      </c>
      <c r="V213">
        <v>2</v>
      </c>
      <c r="W213">
        <v>2</v>
      </c>
      <c r="X213">
        <v>2</v>
      </c>
      <c r="Y213">
        <v>2</v>
      </c>
      <c r="Z213">
        <v>2</v>
      </c>
      <c r="AA213">
        <v>2</v>
      </c>
      <c r="AB213">
        <v>2</v>
      </c>
      <c r="AC213">
        <v>2</v>
      </c>
      <c r="AD213">
        <v>2</v>
      </c>
      <c r="AE213">
        <v>1</v>
      </c>
      <c r="AF213">
        <v>2</v>
      </c>
      <c r="AG213">
        <v>2</v>
      </c>
      <c r="AH213">
        <v>2</v>
      </c>
      <c r="AI213">
        <v>2</v>
      </c>
      <c r="AJ213">
        <v>2</v>
      </c>
      <c r="AK213">
        <v>2</v>
      </c>
      <c r="AL213">
        <v>2</v>
      </c>
      <c r="AM213">
        <v>2</v>
      </c>
      <c r="AN213">
        <v>2</v>
      </c>
      <c r="AO213">
        <v>3</v>
      </c>
      <c r="AP213">
        <v>2</v>
      </c>
      <c r="AQ213">
        <v>2</v>
      </c>
      <c r="AR213">
        <v>3</v>
      </c>
      <c r="AT213">
        <v>2</v>
      </c>
      <c r="AU213">
        <v>2</v>
      </c>
      <c r="AW213">
        <v>2</v>
      </c>
      <c r="AX213">
        <v>3</v>
      </c>
      <c r="AY213">
        <v>2</v>
      </c>
    </row>
    <row r="214" spans="1:51" x14ac:dyDescent="0.3">
      <c r="A214" s="754">
        <v>960</v>
      </c>
      <c r="B214" t="s">
        <v>919</v>
      </c>
      <c r="D214" t="s">
        <v>1455</v>
      </c>
      <c r="E214" t="s">
        <v>1186</v>
      </c>
      <c r="F214" t="s">
        <v>1187</v>
      </c>
      <c r="G214" t="s">
        <v>1456</v>
      </c>
      <c r="H214" t="s">
        <v>1189</v>
      </c>
      <c r="I214" t="s">
        <v>1457</v>
      </c>
      <c r="J214" t="s">
        <v>1330</v>
      </c>
      <c r="K214" t="s">
        <v>1191</v>
      </c>
      <c r="M214" t="s">
        <v>1192</v>
      </c>
      <c r="N214" t="s">
        <v>1193</v>
      </c>
      <c r="O214" t="s">
        <v>1458</v>
      </c>
      <c r="P214" t="s">
        <v>1194</v>
      </c>
      <c r="Q214" t="s">
        <v>1195</v>
      </c>
      <c r="R214" t="s">
        <v>1434</v>
      </c>
      <c r="S214" t="s">
        <v>1197</v>
      </c>
      <c r="T214" t="s">
        <v>1331</v>
      </c>
      <c r="U214" t="s">
        <v>1199</v>
      </c>
      <c r="V214" t="s">
        <v>1200</v>
      </c>
      <c r="W214" t="s">
        <v>1201</v>
      </c>
      <c r="X214" t="s">
        <v>1202</v>
      </c>
      <c r="Y214" t="s">
        <v>1335</v>
      </c>
      <c r="Z214" t="s">
        <v>1204</v>
      </c>
      <c r="AA214" t="s">
        <v>1205</v>
      </c>
      <c r="AB214" t="s">
        <v>1206</v>
      </c>
      <c r="AC214" t="s">
        <v>1459</v>
      </c>
      <c r="AD214" t="s">
        <v>1208</v>
      </c>
      <c r="AE214" t="s">
        <v>1460</v>
      </c>
      <c r="AF214" t="s">
        <v>1210</v>
      </c>
      <c r="AG214" t="s">
        <v>1211</v>
      </c>
      <c r="AH214" t="s">
        <v>1212</v>
      </c>
      <c r="AI214" t="s">
        <v>1336</v>
      </c>
      <c r="AJ214" t="s">
        <v>1214</v>
      </c>
      <c r="AK214" t="s">
        <v>1215</v>
      </c>
      <c r="AL214" t="s">
        <v>1216</v>
      </c>
      <c r="AM214" t="s">
        <v>1461</v>
      </c>
      <c r="AN214" t="s">
        <v>1218</v>
      </c>
      <c r="AO214" t="s">
        <v>1462</v>
      </c>
      <c r="AP214" t="s">
        <v>1220</v>
      </c>
      <c r="AQ214" t="s">
        <v>1221</v>
      </c>
      <c r="AR214" t="s">
        <v>1463</v>
      </c>
      <c r="AT214" t="s">
        <v>1464</v>
      </c>
      <c r="AU214" t="s">
        <v>1455</v>
      </c>
      <c r="AW214" t="s">
        <v>1224</v>
      </c>
      <c r="AX214" t="s">
        <v>1465</v>
      </c>
      <c r="AY214" t="s">
        <v>1225</v>
      </c>
    </row>
    <row r="215" spans="1:51" x14ac:dyDescent="0.3">
      <c r="A215" s="754">
        <v>962</v>
      </c>
      <c r="B215" t="s">
        <v>920</v>
      </c>
      <c r="D215" t="s">
        <v>924</v>
      </c>
      <c r="E215" t="s">
        <v>922</v>
      </c>
      <c r="F215" t="s">
        <v>1226</v>
      </c>
      <c r="G215" t="s">
        <v>922</v>
      </c>
      <c r="H215" t="s">
        <v>1227</v>
      </c>
      <c r="I215" t="s">
        <v>921</v>
      </c>
      <c r="J215" t="s">
        <v>1466</v>
      </c>
      <c r="K215" t="s">
        <v>921</v>
      </c>
      <c r="M215" t="s">
        <v>1228</v>
      </c>
      <c r="N215" t="s">
        <v>922</v>
      </c>
      <c r="O215" t="s">
        <v>924</v>
      </c>
      <c r="P215" t="s">
        <v>983</v>
      </c>
      <c r="Q215" t="s">
        <v>922</v>
      </c>
      <c r="R215" t="s">
        <v>1440</v>
      </c>
      <c r="S215" t="s">
        <v>922</v>
      </c>
      <c r="T215" t="s">
        <v>1332</v>
      </c>
      <c r="U215" t="s">
        <v>923</v>
      </c>
      <c r="V215" t="s">
        <v>1229</v>
      </c>
      <c r="W215" t="s">
        <v>922</v>
      </c>
      <c r="X215" t="s">
        <v>1467</v>
      </c>
      <c r="Y215" t="s">
        <v>1226</v>
      </c>
      <c r="Z215" t="s">
        <v>1468</v>
      </c>
      <c r="AA215" t="s">
        <v>1469</v>
      </c>
      <c r="AB215" t="s">
        <v>922</v>
      </c>
      <c r="AC215" t="s">
        <v>922</v>
      </c>
      <c r="AD215" t="s">
        <v>922</v>
      </c>
      <c r="AE215" t="s">
        <v>1470</v>
      </c>
      <c r="AF215" t="s">
        <v>983</v>
      </c>
      <c r="AG215" t="s">
        <v>1233</v>
      </c>
      <c r="AH215" t="s">
        <v>921</v>
      </c>
      <c r="AI215" t="s">
        <v>921</v>
      </c>
      <c r="AJ215" t="s">
        <v>922</v>
      </c>
      <c r="AK215" t="s">
        <v>921</v>
      </c>
      <c r="AL215" t="s">
        <v>921</v>
      </c>
      <c r="AM215" t="s">
        <v>921</v>
      </c>
      <c r="AN215" t="s">
        <v>922</v>
      </c>
      <c r="AO215" t="s">
        <v>1471</v>
      </c>
      <c r="AP215" t="s">
        <v>922</v>
      </c>
      <c r="AQ215" t="s">
        <v>921</v>
      </c>
      <c r="AR215" t="s">
        <v>921</v>
      </c>
      <c r="AT215" t="s">
        <v>921</v>
      </c>
      <c r="AU215" t="s">
        <v>922</v>
      </c>
      <c r="AW215" t="s">
        <v>922</v>
      </c>
      <c r="AX215" t="s">
        <v>1472</v>
      </c>
      <c r="AY215" t="s">
        <v>1237</v>
      </c>
    </row>
    <row r="216" spans="1:51" x14ac:dyDescent="0.3">
      <c r="A216" s="754">
        <v>964</v>
      </c>
      <c r="B216" t="s">
        <v>925</v>
      </c>
      <c r="D216" t="s">
        <v>1473</v>
      </c>
      <c r="E216" t="s">
        <v>1474</v>
      </c>
      <c r="F216" t="s">
        <v>1475</v>
      </c>
      <c r="G216" t="s">
        <v>1476</v>
      </c>
      <c r="H216" t="s">
        <v>1477</v>
      </c>
      <c r="I216" t="s">
        <v>1478</v>
      </c>
      <c r="J216" t="s">
        <v>1479</v>
      </c>
      <c r="K216" t="s">
        <v>1480</v>
      </c>
      <c r="M216" t="s">
        <v>1481</v>
      </c>
      <c r="N216" t="s">
        <v>1474</v>
      </c>
      <c r="O216" t="s">
        <v>1482</v>
      </c>
      <c r="P216" t="s">
        <v>1483</v>
      </c>
      <c r="Q216" t="s">
        <v>1483</v>
      </c>
      <c r="R216" t="s">
        <v>1484</v>
      </c>
      <c r="S216" t="s">
        <v>1485</v>
      </c>
      <c r="T216" t="s">
        <v>1486</v>
      </c>
      <c r="U216" t="s">
        <v>1487</v>
      </c>
      <c r="V216" t="s">
        <v>1480</v>
      </c>
      <c r="W216" t="s">
        <v>1488</v>
      </c>
      <c r="X216" t="s">
        <v>1489</v>
      </c>
      <c r="Y216" t="s">
        <v>1488</v>
      </c>
      <c r="Z216" t="s">
        <v>1490</v>
      </c>
      <c r="AA216" t="s">
        <v>1491</v>
      </c>
      <c r="AB216" t="s">
        <v>1492</v>
      </c>
      <c r="AC216" t="s">
        <v>1493</v>
      </c>
      <c r="AD216" t="s">
        <v>1474</v>
      </c>
      <c r="AE216" t="s">
        <v>1483</v>
      </c>
      <c r="AF216" t="s">
        <v>1480</v>
      </c>
      <c r="AG216" t="s">
        <v>1494</v>
      </c>
      <c r="AH216" t="s">
        <v>1495</v>
      </c>
      <c r="AI216" t="s">
        <v>1480</v>
      </c>
      <c r="AJ216" t="s">
        <v>1481</v>
      </c>
      <c r="AK216" t="s">
        <v>1496</v>
      </c>
      <c r="AL216" t="s">
        <v>1497</v>
      </c>
      <c r="AM216" t="s">
        <v>1489</v>
      </c>
      <c r="AN216" t="s">
        <v>1474</v>
      </c>
      <c r="AO216" t="s">
        <v>1498</v>
      </c>
      <c r="AP216" t="s">
        <v>1474</v>
      </c>
      <c r="AQ216" t="s">
        <v>1499</v>
      </c>
      <c r="AR216" t="s">
        <v>1500</v>
      </c>
      <c r="AT216" t="s">
        <v>1493</v>
      </c>
      <c r="AU216" t="s">
        <v>1485</v>
      </c>
      <c r="AW216" t="s">
        <v>1501</v>
      </c>
      <c r="AX216" t="s">
        <v>1502</v>
      </c>
      <c r="AY216" t="s">
        <v>1503</v>
      </c>
    </row>
    <row r="217" spans="1:51" x14ac:dyDescent="0.3">
      <c r="A217" s="754">
        <v>966</v>
      </c>
      <c r="B217" t="s">
        <v>933</v>
      </c>
      <c r="D217" t="s">
        <v>1249</v>
      </c>
      <c r="E217" t="s">
        <v>1250</v>
      </c>
      <c r="F217" t="s">
        <v>1251</v>
      </c>
      <c r="G217" t="s">
        <v>1252</v>
      </c>
      <c r="I217" t="s">
        <v>1504</v>
      </c>
      <c r="J217" t="s">
        <v>1254</v>
      </c>
      <c r="K217" t="s">
        <v>1255</v>
      </c>
      <c r="M217" t="s">
        <v>1256</v>
      </c>
      <c r="N217" t="s">
        <v>1250</v>
      </c>
      <c r="O217" t="s">
        <v>1505</v>
      </c>
      <c r="P217" t="s">
        <v>1257</v>
      </c>
      <c r="Q217" t="s">
        <v>1258</v>
      </c>
      <c r="R217" t="s">
        <v>1259</v>
      </c>
      <c r="S217" t="s">
        <v>1260</v>
      </c>
      <c r="T217" t="s">
        <v>1506</v>
      </c>
      <c r="U217" t="s">
        <v>1333</v>
      </c>
      <c r="V217" t="s">
        <v>1263</v>
      </c>
      <c r="W217" t="s">
        <v>1264</v>
      </c>
      <c r="X217" t="s">
        <v>1265</v>
      </c>
      <c r="Y217" t="s">
        <v>1266</v>
      </c>
      <c r="Z217" t="s">
        <v>1267</v>
      </c>
      <c r="AA217" t="s">
        <v>1268</v>
      </c>
      <c r="AB217" t="s">
        <v>1269</v>
      </c>
      <c r="AC217" t="s">
        <v>1270</v>
      </c>
      <c r="AD217" t="s">
        <v>1250</v>
      </c>
      <c r="AE217" t="s">
        <v>1271</v>
      </c>
      <c r="AF217" t="s">
        <v>1272</v>
      </c>
      <c r="AG217" t="s">
        <v>1273</v>
      </c>
      <c r="AH217" t="s">
        <v>1274</v>
      </c>
      <c r="AI217" t="s">
        <v>1275</v>
      </c>
      <c r="AJ217" t="s">
        <v>1276</v>
      </c>
      <c r="AK217" t="s">
        <v>1334</v>
      </c>
      <c r="AL217" t="s">
        <v>1278</v>
      </c>
      <c r="AM217" t="s">
        <v>1279</v>
      </c>
      <c r="AN217" t="s">
        <v>1250</v>
      </c>
      <c r="AO217" t="s">
        <v>1280</v>
      </c>
      <c r="AP217" t="s">
        <v>1250</v>
      </c>
      <c r="AQ217" t="s">
        <v>1281</v>
      </c>
      <c r="AR217" t="s">
        <v>1282</v>
      </c>
      <c r="AT217" t="s">
        <v>1507</v>
      </c>
      <c r="AU217" t="s">
        <v>1249</v>
      </c>
      <c r="AW217" t="s">
        <v>1284</v>
      </c>
      <c r="AX217" t="s">
        <v>1508</v>
      </c>
      <c r="AY217" t="s">
        <v>1286</v>
      </c>
    </row>
    <row r="218" spans="1:51" x14ac:dyDescent="0.3">
      <c r="A218" s="754">
        <v>968</v>
      </c>
      <c r="B218" t="s">
        <v>934</v>
      </c>
      <c r="D218" t="s">
        <v>1287</v>
      </c>
      <c r="E218" t="s">
        <v>1288</v>
      </c>
      <c r="F218" t="s">
        <v>1289</v>
      </c>
      <c r="G218" t="s">
        <v>1290</v>
      </c>
      <c r="H218" t="s">
        <v>1291</v>
      </c>
      <c r="I218" t="s">
        <v>1509</v>
      </c>
      <c r="J218" t="s">
        <v>1293</v>
      </c>
      <c r="K218" t="s">
        <v>1294</v>
      </c>
      <c r="M218" t="s">
        <v>1295</v>
      </c>
      <c r="N218" t="s">
        <v>1288</v>
      </c>
      <c r="O218" t="s">
        <v>1510</v>
      </c>
      <c r="P218" t="s">
        <v>1296</v>
      </c>
      <c r="Q218" t="s">
        <v>1297</v>
      </c>
      <c r="R218" t="s">
        <v>1511</v>
      </c>
      <c r="S218" t="s">
        <v>1512</v>
      </c>
      <c r="T218" t="s">
        <v>1300</v>
      </c>
      <c r="U218" t="s">
        <v>1301</v>
      </c>
      <c r="V218" t="s">
        <v>1302</v>
      </c>
      <c r="W218" t="s">
        <v>1303</v>
      </c>
      <c r="X218" t="s">
        <v>1304</v>
      </c>
      <c r="Y218" t="s">
        <v>1305</v>
      </c>
      <c r="Z218" t="s">
        <v>1306</v>
      </c>
      <c r="AA218" t="s">
        <v>1307</v>
      </c>
      <c r="AB218" t="s">
        <v>1308</v>
      </c>
      <c r="AC218" t="s">
        <v>1309</v>
      </c>
      <c r="AD218" t="s">
        <v>1288</v>
      </c>
      <c r="AE218" t="s">
        <v>1310</v>
      </c>
      <c r="AF218" t="s">
        <v>1311</v>
      </c>
      <c r="AG218" t="s">
        <v>1312</v>
      </c>
      <c r="AH218" t="s">
        <v>1313</v>
      </c>
      <c r="AI218" t="s">
        <v>1314</v>
      </c>
      <c r="AJ218" t="s">
        <v>1315</v>
      </c>
      <c r="AK218" t="s">
        <v>1316</v>
      </c>
      <c r="AL218" t="s">
        <v>1317</v>
      </c>
      <c r="AM218" t="s">
        <v>1318</v>
      </c>
      <c r="AN218" t="s">
        <v>1288</v>
      </c>
      <c r="AO218" t="s">
        <v>1513</v>
      </c>
      <c r="AP218" t="s">
        <v>1288</v>
      </c>
      <c r="AQ218" t="s">
        <v>1320</v>
      </c>
      <c r="AR218" t="s">
        <v>1514</v>
      </c>
      <c r="AT218" t="s">
        <v>1515</v>
      </c>
      <c r="AU218" t="s">
        <v>1287</v>
      </c>
      <c r="AW218" t="s">
        <v>1324</v>
      </c>
      <c r="AX218" t="s">
        <v>1516</v>
      </c>
      <c r="AY218" t="s">
        <v>1517</v>
      </c>
    </row>
    <row r="219" spans="1:51" x14ac:dyDescent="0.3">
      <c r="A219" s="754">
        <v>973</v>
      </c>
      <c r="B219" t="s">
        <v>1342</v>
      </c>
      <c r="D219">
        <v>0</v>
      </c>
      <c r="E219">
        <v>0</v>
      </c>
      <c r="F219">
        <v>0</v>
      </c>
      <c r="G219">
        <v>0</v>
      </c>
      <c r="H219">
        <v>0</v>
      </c>
      <c r="I219">
        <v>0</v>
      </c>
      <c r="J219">
        <v>0</v>
      </c>
      <c r="K219">
        <v>0</v>
      </c>
      <c r="M219">
        <v>0</v>
      </c>
      <c r="N219">
        <v>0</v>
      </c>
      <c r="O219">
        <v>1</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T219">
        <v>0</v>
      </c>
      <c r="AU219">
        <v>0</v>
      </c>
      <c r="AW219">
        <v>0</v>
      </c>
      <c r="AX219">
        <v>0</v>
      </c>
      <c r="AY219">
        <v>0</v>
      </c>
    </row>
    <row r="220" spans="1:51" x14ac:dyDescent="0.3">
      <c r="A220" s="754">
        <v>974</v>
      </c>
      <c r="B220" t="s">
        <v>1518</v>
      </c>
      <c r="D220">
        <v>3</v>
      </c>
      <c r="E220">
        <v>2</v>
      </c>
      <c r="F220">
        <v>2</v>
      </c>
      <c r="G220">
        <v>2</v>
      </c>
      <c r="H220">
        <v>2</v>
      </c>
      <c r="I220">
        <v>2</v>
      </c>
      <c r="J220">
        <v>2</v>
      </c>
      <c r="K220">
        <v>2</v>
      </c>
      <c r="M220">
        <v>2</v>
      </c>
      <c r="N220">
        <v>2</v>
      </c>
      <c r="O220">
        <v>2</v>
      </c>
      <c r="P220">
        <v>2</v>
      </c>
      <c r="Q220">
        <v>2</v>
      </c>
      <c r="R220">
        <v>2</v>
      </c>
      <c r="S220">
        <v>2</v>
      </c>
      <c r="T220">
        <v>2</v>
      </c>
      <c r="U220">
        <v>2</v>
      </c>
      <c r="V220">
        <v>2</v>
      </c>
      <c r="W220">
        <v>2</v>
      </c>
      <c r="X220">
        <v>2</v>
      </c>
      <c r="Y220">
        <v>2</v>
      </c>
      <c r="Z220">
        <v>2</v>
      </c>
      <c r="AA220">
        <v>2</v>
      </c>
      <c r="AB220">
        <v>2</v>
      </c>
      <c r="AC220">
        <v>2</v>
      </c>
      <c r="AD220">
        <v>2</v>
      </c>
      <c r="AE220">
        <v>2</v>
      </c>
      <c r="AF220">
        <v>2</v>
      </c>
      <c r="AG220">
        <v>2</v>
      </c>
      <c r="AH220">
        <v>2</v>
      </c>
      <c r="AI220">
        <v>2</v>
      </c>
      <c r="AJ220">
        <v>2</v>
      </c>
      <c r="AK220">
        <v>2</v>
      </c>
      <c r="AL220">
        <v>2</v>
      </c>
      <c r="AM220">
        <v>2</v>
      </c>
      <c r="AN220">
        <v>2</v>
      </c>
      <c r="AO220">
        <v>3</v>
      </c>
      <c r="AP220">
        <v>2</v>
      </c>
      <c r="AQ220">
        <v>2</v>
      </c>
      <c r="AR220">
        <v>3</v>
      </c>
      <c r="AT220">
        <v>3</v>
      </c>
      <c r="AU220">
        <v>2</v>
      </c>
      <c r="AW220">
        <v>2</v>
      </c>
      <c r="AX220">
        <v>3</v>
      </c>
      <c r="AY220">
        <v>2</v>
      </c>
    </row>
    <row r="221" spans="1:51" x14ac:dyDescent="0.3">
      <c r="A221" s="754">
        <v>975</v>
      </c>
      <c r="B221" t="s">
        <v>550</v>
      </c>
      <c r="D221">
        <v>1</v>
      </c>
      <c r="E221">
        <v>2</v>
      </c>
      <c r="F221">
        <v>2</v>
      </c>
      <c r="G221">
        <v>1</v>
      </c>
      <c r="H221">
        <v>2</v>
      </c>
      <c r="I221">
        <v>2</v>
      </c>
      <c r="J221">
        <v>2</v>
      </c>
      <c r="K221">
        <v>2</v>
      </c>
      <c r="M221">
        <v>1</v>
      </c>
      <c r="N221">
        <v>2</v>
      </c>
      <c r="O221">
        <v>1</v>
      </c>
      <c r="P221">
        <v>2</v>
      </c>
      <c r="Q221">
        <v>2</v>
      </c>
      <c r="R221">
        <v>1</v>
      </c>
      <c r="S221">
        <v>1</v>
      </c>
      <c r="T221">
        <v>1</v>
      </c>
      <c r="U221">
        <v>2</v>
      </c>
      <c r="V221">
        <v>2</v>
      </c>
      <c r="W221">
        <v>2</v>
      </c>
      <c r="X221">
        <v>1</v>
      </c>
      <c r="Y221">
        <v>2</v>
      </c>
      <c r="Z221">
        <v>1</v>
      </c>
      <c r="AA221">
        <v>2</v>
      </c>
      <c r="AB221">
        <v>2</v>
      </c>
      <c r="AC221">
        <v>2</v>
      </c>
      <c r="AD221">
        <v>2</v>
      </c>
      <c r="AE221">
        <v>2</v>
      </c>
      <c r="AF221">
        <v>2</v>
      </c>
      <c r="AG221">
        <v>2</v>
      </c>
      <c r="AH221">
        <v>2</v>
      </c>
      <c r="AI221">
        <v>2</v>
      </c>
      <c r="AJ221">
        <v>1</v>
      </c>
      <c r="AK221">
        <v>1</v>
      </c>
      <c r="AL221">
        <v>2</v>
      </c>
      <c r="AM221">
        <v>1</v>
      </c>
      <c r="AN221">
        <v>2</v>
      </c>
      <c r="AO221">
        <v>2</v>
      </c>
      <c r="AP221">
        <v>2</v>
      </c>
      <c r="AQ221">
        <v>1</v>
      </c>
      <c r="AR221">
        <v>1</v>
      </c>
      <c r="AT221">
        <v>2</v>
      </c>
      <c r="AU221">
        <v>2</v>
      </c>
      <c r="AW221">
        <v>2</v>
      </c>
      <c r="AX221">
        <v>1</v>
      </c>
      <c r="AY221">
        <v>1</v>
      </c>
    </row>
    <row r="222" spans="1:51" x14ac:dyDescent="0.3">
      <c r="A222" s="754">
        <v>979</v>
      </c>
      <c r="B222" t="s">
        <v>1519</v>
      </c>
      <c r="D222">
        <v>1</v>
      </c>
      <c r="E222">
        <v>1</v>
      </c>
      <c r="F222">
        <v>1</v>
      </c>
      <c r="G222">
        <v>2</v>
      </c>
      <c r="H222">
        <v>1</v>
      </c>
      <c r="I222">
        <v>1</v>
      </c>
      <c r="J222">
        <v>1</v>
      </c>
      <c r="K222">
        <v>1</v>
      </c>
      <c r="M222">
        <v>1</v>
      </c>
      <c r="N222">
        <v>1</v>
      </c>
      <c r="O222">
        <v>2</v>
      </c>
      <c r="P222">
        <v>1</v>
      </c>
      <c r="Q222">
        <v>1</v>
      </c>
      <c r="R222">
        <v>1</v>
      </c>
      <c r="S222">
        <v>1</v>
      </c>
      <c r="T222">
        <v>2</v>
      </c>
      <c r="U222">
        <v>1</v>
      </c>
      <c r="V222">
        <v>1</v>
      </c>
      <c r="W222">
        <v>1</v>
      </c>
      <c r="X222">
        <v>1</v>
      </c>
      <c r="Y222">
        <v>1</v>
      </c>
      <c r="Z222">
        <v>1</v>
      </c>
      <c r="AA222">
        <v>1</v>
      </c>
      <c r="AB222">
        <v>1</v>
      </c>
      <c r="AC222">
        <v>1</v>
      </c>
      <c r="AD222">
        <v>1</v>
      </c>
      <c r="AE222">
        <v>1</v>
      </c>
      <c r="AF222">
        <v>1</v>
      </c>
      <c r="AG222">
        <v>1</v>
      </c>
      <c r="AH222">
        <v>1</v>
      </c>
      <c r="AI222">
        <v>1</v>
      </c>
      <c r="AJ222">
        <v>1</v>
      </c>
      <c r="AK222">
        <v>2</v>
      </c>
      <c r="AL222">
        <v>1</v>
      </c>
      <c r="AM222">
        <v>1</v>
      </c>
      <c r="AN222">
        <v>1</v>
      </c>
      <c r="AO222">
        <v>1</v>
      </c>
      <c r="AP222">
        <v>1</v>
      </c>
      <c r="AQ222">
        <v>1</v>
      </c>
      <c r="AR222">
        <v>2</v>
      </c>
      <c r="AT222">
        <v>1</v>
      </c>
      <c r="AU222">
        <v>1</v>
      </c>
      <c r="AW222">
        <v>1</v>
      </c>
      <c r="AX222">
        <v>2</v>
      </c>
      <c r="AY222">
        <v>2</v>
      </c>
    </row>
    <row r="223" spans="1:51" x14ac:dyDescent="0.3">
      <c r="A223" s="754">
        <v>980</v>
      </c>
      <c r="B223" t="s">
        <v>544</v>
      </c>
      <c r="D223" t="s">
        <v>1520</v>
      </c>
      <c r="E223" t="s">
        <v>1475</v>
      </c>
      <c r="F223" t="s">
        <v>1521</v>
      </c>
      <c r="G223" t="s">
        <v>1522</v>
      </c>
      <c r="H223" t="s">
        <v>1523</v>
      </c>
      <c r="I223" t="s">
        <v>1524</v>
      </c>
      <c r="J223" t="s">
        <v>1524</v>
      </c>
      <c r="K223" t="s">
        <v>1524</v>
      </c>
      <c r="M223" t="s">
        <v>1525</v>
      </c>
      <c r="N223" t="s">
        <v>1475</v>
      </c>
      <c r="O223" t="s">
        <v>1482</v>
      </c>
      <c r="P223" t="s">
        <v>1524</v>
      </c>
      <c r="Q223" t="s">
        <v>1485</v>
      </c>
      <c r="R223" t="s">
        <v>1526</v>
      </c>
      <c r="S223" t="s">
        <v>1527</v>
      </c>
      <c r="T223" t="s">
        <v>1528</v>
      </c>
      <c r="U223" t="s">
        <v>1524</v>
      </c>
      <c r="V223" t="s">
        <v>1529</v>
      </c>
      <c r="W223" t="s">
        <v>1475</v>
      </c>
      <c r="X223" t="s">
        <v>1530</v>
      </c>
      <c r="Y223" t="s">
        <v>1524</v>
      </c>
      <c r="Z223" t="s">
        <v>1483</v>
      </c>
      <c r="AA223" t="s">
        <v>1524</v>
      </c>
      <c r="AB223" t="s">
        <v>1524</v>
      </c>
      <c r="AC223" t="s">
        <v>1487</v>
      </c>
      <c r="AD223" t="s">
        <v>1475</v>
      </c>
      <c r="AE223" t="s">
        <v>1523</v>
      </c>
      <c r="AF223" t="s">
        <v>1524</v>
      </c>
      <c r="AG223" t="s">
        <v>1524</v>
      </c>
      <c r="AH223" t="s">
        <v>1524</v>
      </c>
      <c r="AI223" t="s">
        <v>1524</v>
      </c>
      <c r="AJ223" t="s">
        <v>1531</v>
      </c>
      <c r="AK223" t="s">
        <v>1532</v>
      </c>
      <c r="AL223" t="s">
        <v>1524</v>
      </c>
      <c r="AM223" t="s">
        <v>1473</v>
      </c>
      <c r="AN223" t="s">
        <v>1475</v>
      </c>
      <c r="AO223" t="s">
        <v>1524</v>
      </c>
      <c r="AP223" t="s">
        <v>1475</v>
      </c>
      <c r="AQ223" t="s">
        <v>1481</v>
      </c>
      <c r="AR223" t="s">
        <v>1533</v>
      </c>
      <c r="AT223" t="s">
        <v>1534</v>
      </c>
      <c r="AU223" t="s">
        <v>1523</v>
      </c>
      <c r="AW223" t="s">
        <v>1524</v>
      </c>
      <c r="AX223" t="s">
        <v>1535</v>
      </c>
      <c r="AY223" t="s">
        <v>1536</v>
      </c>
    </row>
    <row r="224" spans="1:51" x14ac:dyDescent="0.3">
      <c r="A224" s="754">
        <v>986</v>
      </c>
      <c r="B224" t="s">
        <v>545</v>
      </c>
      <c r="D224">
        <v>0</v>
      </c>
      <c r="E224">
        <v>0</v>
      </c>
      <c r="F224">
        <v>0</v>
      </c>
      <c r="G224">
        <v>0</v>
      </c>
      <c r="H224">
        <v>0</v>
      </c>
      <c r="I224">
        <v>0</v>
      </c>
      <c r="J224">
        <v>0</v>
      </c>
      <c r="K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T224">
        <v>0</v>
      </c>
      <c r="AU224">
        <v>0</v>
      </c>
      <c r="AW224">
        <v>0</v>
      </c>
      <c r="AX224">
        <v>0</v>
      </c>
      <c r="AY224">
        <v>0</v>
      </c>
    </row>
    <row r="225" spans="1:51" x14ac:dyDescent="0.3">
      <c r="A225" s="754">
        <v>987</v>
      </c>
      <c r="B225" t="s">
        <v>1537</v>
      </c>
      <c r="D225">
        <v>0</v>
      </c>
      <c r="E225">
        <v>0</v>
      </c>
      <c r="F225">
        <v>0</v>
      </c>
      <c r="G225">
        <v>0</v>
      </c>
      <c r="H225">
        <v>0</v>
      </c>
      <c r="I225">
        <v>0</v>
      </c>
      <c r="J225">
        <v>0</v>
      </c>
      <c r="K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T225">
        <v>0</v>
      </c>
      <c r="AU225">
        <v>0</v>
      </c>
      <c r="AW225">
        <v>0</v>
      </c>
      <c r="AX225">
        <v>0</v>
      </c>
      <c r="AY225">
        <v>0</v>
      </c>
    </row>
    <row r="226" spans="1:51" x14ac:dyDescent="0.3">
      <c r="A226" s="754">
        <v>990</v>
      </c>
      <c r="B226" t="s">
        <v>537</v>
      </c>
      <c r="D226">
        <v>0</v>
      </c>
      <c r="E226">
        <v>0</v>
      </c>
      <c r="F226">
        <v>0</v>
      </c>
      <c r="G226">
        <v>0</v>
      </c>
      <c r="H226">
        <v>0</v>
      </c>
      <c r="I226">
        <v>0</v>
      </c>
      <c r="J226">
        <v>0</v>
      </c>
      <c r="K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T226">
        <v>0</v>
      </c>
      <c r="AU226">
        <v>0</v>
      </c>
      <c r="AW226">
        <v>0</v>
      </c>
      <c r="AX226">
        <v>0</v>
      </c>
      <c r="AY226">
        <v>0</v>
      </c>
    </row>
    <row r="227" spans="1:51" x14ac:dyDescent="0.3">
      <c r="A227" s="754">
        <v>995</v>
      </c>
      <c r="B227" t="s">
        <v>251</v>
      </c>
      <c r="D227">
        <v>0</v>
      </c>
      <c r="E227">
        <v>0</v>
      </c>
      <c r="F227">
        <v>0</v>
      </c>
      <c r="G227">
        <v>0</v>
      </c>
      <c r="H227">
        <v>0</v>
      </c>
      <c r="I227">
        <v>0</v>
      </c>
      <c r="J227">
        <v>0</v>
      </c>
      <c r="K227">
        <v>0</v>
      </c>
      <c r="L227">
        <v>0</v>
      </c>
      <c r="M227">
        <v>0</v>
      </c>
      <c r="N227">
        <v>0</v>
      </c>
      <c r="O227">
        <v>0</v>
      </c>
      <c r="P227">
        <v>0.09</v>
      </c>
      <c r="Q227">
        <v>0</v>
      </c>
      <c r="R227">
        <v>0</v>
      </c>
      <c r="S227">
        <v>0</v>
      </c>
      <c r="T227">
        <v>0</v>
      </c>
      <c r="U227">
        <v>0.08</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row>
    <row r="228" spans="1:51" x14ac:dyDescent="0.3">
      <c r="A228" s="754">
        <v>996</v>
      </c>
      <c r="B228" t="s">
        <v>252</v>
      </c>
      <c r="D228">
        <v>0.01</v>
      </c>
      <c r="E228">
        <v>0.01</v>
      </c>
      <c r="F228">
        <v>0.01</v>
      </c>
      <c r="G228">
        <v>0.01</v>
      </c>
      <c r="H228">
        <v>0.01</v>
      </c>
      <c r="I228">
        <v>0.01</v>
      </c>
      <c r="J228">
        <v>0.01</v>
      </c>
      <c r="K228">
        <v>0.01</v>
      </c>
      <c r="L228">
        <v>0.01</v>
      </c>
      <c r="M228">
        <v>0.01</v>
      </c>
      <c r="N228">
        <v>0.01</v>
      </c>
      <c r="O228">
        <v>0.01</v>
      </c>
      <c r="P228">
        <v>0.01</v>
      </c>
      <c r="Q228">
        <v>0.01</v>
      </c>
      <c r="R228">
        <v>0.01</v>
      </c>
      <c r="S228">
        <v>0.01</v>
      </c>
      <c r="T228">
        <v>0.01</v>
      </c>
      <c r="U228">
        <v>0</v>
      </c>
      <c r="V228">
        <v>0.01</v>
      </c>
      <c r="W228">
        <v>0.01</v>
      </c>
      <c r="X228">
        <v>0.01</v>
      </c>
      <c r="Y228">
        <v>0.01</v>
      </c>
      <c r="Z228">
        <v>0.01</v>
      </c>
      <c r="AA228">
        <v>0.01</v>
      </c>
      <c r="AB228">
        <v>0.01</v>
      </c>
      <c r="AC228">
        <v>0.01</v>
      </c>
      <c r="AD228">
        <v>0.01</v>
      </c>
      <c r="AE228">
        <v>0.01</v>
      </c>
      <c r="AF228">
        <v>0.01</v>
      </c>
      <c r="AG228">
        <v>0.01</v>
      </c>
      <c r="AH228">
        <v>0.01</v>
      </c>
      <c r="AI228">
        <v>0.01</v>
      </c>
      <c r="AJ228">
        <v>0.01</v>
      </c>
      <c r="AK228">
        <v>0.01</v>
      </c>
      <c r="AL228">
        <v>0.01</v>
      </c>
      <c r="AM228">
        <v>0.01</v>
      </c>
      <c r="AN228">
        <v>0.01</v>
      </c>
      <c r="AO228">
        <v>0.01</v>
      </c>
      <c r="AP228">
        <v>0.01</v>
      </c>
      <c r="AQ228">
        <v>0.01</v>
      </c>
      <c r="AR228">
        <v>0.01</v>
      </c>
      <c r="AS228">
        <v>0.01</v>
      </c>
      <c r="AT228">
        <v>0.01</v>
      </c>
      <c r="AU228">
        <v>0.01</v>
      </c>
      <c r="AV228">
        <v>0.01</v>
      </c>
      <c r="AW228">
        <v>0.01</v>
      </c>
      <c r="AX228">
        <v>0.01</v>
      </c>
      <c r="AY228">
        <v>0.01</v>
      </c>
    </row>
    <row r="229" spans="1:51" x14ac:dyDescent="0.3">
      <c r="A229" s="754">
        <v>998</v>
      </c>
      <c r="B229" t="s">
        <v>253</v>
      </c>
      <c r="D229">
        <v>59</v>
      </c>
      <c r="E229">
        <v>59</v>
      </c>
      <c r="F229">
        <v>59</v>
      </c>
      <c r="G229">
        <v>59</v>
      </c>
      <c r="H229">
        <v>59</v>
      </c>
      <c r="I229">
        <v>59</v>
      </c>
      <c r="J229">
        <v>59</v>
      </c>
      <c r="K229">
        <v>59</v>
      </c>
      <c r="L229">
        <v>59</v>
      </c>
      <c r="M229">
        <v>59</v>
      </c>
      <c r="N229">
        <v>59</v>
      </c>
      <c r="O229">
        <v>59</v>
      </c>
      <c r="P229">
        <v>59</v>
      </c>
      <c r="Q229">
        <v>59</v>
      </c>
      <c r="R229">
        <v>59</v>
      </c>
      <c r="S229">
        <v>59</v>
      </c>
      <c r="T229">
        <v>59</v>
      </c>
      <c r="U229">
        <v>59</v>
      </c>
      <c r="V229">
        <v>59</v>
      </c>
      <c r="W229">
        <v>59</v>
      </c>
      <c r="X229">
        <v>59</v>
      </c>
      <c r="Y229">
        <v>59</v>
      </c>
      <c r="Z229">
        <v>59</v>
      </c>
      <c r="AA229">
        <v>59</v>
      </c>
      <c r="AB229">
        <v>59</v>
      </c>
      <c r="AC229">
        <v>59</v>
      </c>
      <c r="AD229">
        <v>59</v>
      </c>
      <c r="AE229">
        <v>59</v>
      </c>
      <c r="AF229">
        <v>59</v>
      </c>
      <c r="AG229">
        <v>59</v>
      </c>
      <c r="AH229">
        <v>59</v>
      </c>
      <c r="AI229">
        <v>59</v>
      </c>
      <c r="AJ229">
        <v>59</v>
      </c>
      <c r="AK229">
        <v>59</v>
      </c>
      <c r="AL229">
        <v>59</v>
      </c>
      <c r="AM229">
        <v>59</v>
      </c>
      <c r="AN229">
        <v>59</v>
      </c>
      <c r="AO229">
        <v>59</v>
      </c>
      <c r="AP229">
        <v>59</v>
      </c>
      <c r="AQ229">
        <v>59</v>
      </c>
      <c r="AR229">
        <v>59</v>
      </c>
      <c r="AS229">
        <v>59</v>
      </c>
      <c r="AT229">
        <v>59</v>
      </c>
      <c r="AU229">
        <v>59</v>
      </c>
      <c r="AV229">
        <v>59</v>
      </c>
      <c r="AW229">
        <v>59</v>
      </c>
      <c r="AX229">
        <v>59</v>
      </c>
      <c r="AY229">
        <v>59</v>
      </c>
    </row>
    <row r="230" spans="1:51" x14ac:dyDescent="0.3">
      <c r="A230" s="754">
        <v>999</v>
      </c>
      <c r="B230" t="s">
        <v>254</v>
      </c>
      <c r="D230">
        <v>591706</v>
      </c>
      <c r="E230">
        <v>591600</v>
      </c>
      <c r="F230">
        <v>592152</v>
      </c>
      <c r="G230">
        <v>591612</v>
      </c>
      <c r="H230">
        <v>591752</v>
      </c>
      <c r="I230">
        <v>591715</v>
      </c>
      <c r="J230">
        <v>592388</v>
      </c>
      <c r="K230">
        <v>591603</v>
      </c>
      <c r="L230">
        <v>591604</v>
      </c>
      <c r="M230">
        <v>591721</v>
      </c>
      <c r="N230">
        <v>591605</v>
      </c>
      <c r="O230">
        <v>591632</v>
      </c>
      <c r="P230">
        <v>594150</v>
      </c>
      <c r="Q230">
        <v>591606</v>
      </c>
      <c r="R230">
        <v>592181</v>
      </c>
      <c r="S230">
        <v>591607</v>
      </c>
      <c r="T230">
        <v>591608</v>
      </c>
      <c r="U230">
        <v>591737</v>
      </c>
      <c r="V230">
        <v>591609</v>
      </c>
      <c r="W230">
        <v>591610</v>
      </c>
      <c r="X230">
        <v>591611</v>
      </c>
      <c r="Y230">
        <v>591749</v>
      </c>
      <c r="Z230">
        <v>591613</v>
      </c>
      <c r="AA230">
        <v>592396</v>
      </c>
      <c r="AB230">
        <v>591614</v>
      </c>
      <c r="AC230">
        <v>592180</v>
      </c>
      <c r="AD230">
        <v>591615</v>
      </c>
      <c r="AE230">
        <v>591616</v>
      </c>
      <c r="AF230">
        <v>592158</v>
      </c>
      <c r="AG230">
        <v>591759</v>
      </c>
      <c r="AH230">
        <v>591762</v>
      </c>
      <c r="AI230">
        <v>591619</v>
      </c>
      <c r="AJ230">
        <v>591770</v>
      </c>
      <c r="AK230">
        <v>591620</v>
      </c>
      <c r="AL230">
        <v>592357</v>
      </c>
      <c r="AM230">
        <v>59713</v>
      </c>
      <c r="AN230">
        <v>591622</v>
      </c>
      <c r="AO230">
        <v>591623</v>
      </c>
      <c r="AP230">
        <v>591624</v>
      </c>
      <c r="AQ230">
        <v>592368</v>
      </c>
      <c r="AR230">
        <v>592155</v>
      </c>
      <c r="AS230">
        <v>591633</v>
      </c>
      <c r="AT230">
        <v>591768</v>
      </c>
      <c r="AU230">
        <v>591634</v>
      </c>
      <c r="AV230">
        <v>591627</v>
      </c>
      <c r="AW230">
        <v>591628</v>
      </c>
      <c r="AX230">
        <v>591629</v>
      </c>
      <c r="AY230">
        <v>591636</v>
      </c>
    </row>
    <row r="231" spans="1:51" x14ac:dyDescent="0.3">
      <c r="A231" s="754">
        <v>1051</v>
      </c>
      <c r="B231" t="s">
        <v>1538</v>
      </c>
      <c r="D231">
        <v>0</v>
      </c>
      <c r="E231">
        <v>0</v>
      </c>
      <c r="F231">
        <v>0</v>
      </c>
      <c r="G231">
        <v>0</v>
      </c>
      <c r="H231">
        <v>0</v>
      </c>
      <c r="I231">
        <v>0</v>
      </c>
      <c r="J231">
        <v>0</v>
      </c>
      <c r="K231">
        <v>0</v>
      </c>
      <c r="M231">
        <v>0</v>
      </c>
      <c r="N231">
        <v>0</v>
      </c>
      <c r="O231">
        <v>0</v>
      </c>
      <c r="P231">
        <v>28059597</v>
      </c>
      <c r="Q231">
        <v>0</v>
      </c>
      <c r="R231">
        <v>0</v>
      </c>
      <c r="S231">
        <v>0</v>
      </c>
      <c r="T231">
        <v>0</v>
      </c>
      <c r="U231">
        <v>1150000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T231">
        <v>0</v>
      </c>
      <c r="AU231">
        <v>0</v>
      </c>
      <c r="AW231">
        <v>0</v>
      </c>
      <c r="AX231">
        <v>0</v>
      </c>
      <c r="AY231">
        <v>0</v>
      </c>
    </row>
    <row r="232" spans="1:51" x14ac:dyDescent="0.3">
      <c r="A232" s="754">
        <v>1052</v>
      </c>
      <c r="B232" t="s">
        <v>1539</v>
      </c>
      <c r="D232">
        <v>0</v>
      </c>
      <c r="E232">
        <v>0</v>
      </c>
      <c r="F232">
        <v>0</v>
      </c>
      <c r="G232">
        <v>0</v>
      </c>
      <c r="H232">
        <v>0</v>
      </c>
      <c r="I232">
        <v>0</v>
      </c>
      <c r="J232">
        <v>0</v>
      </c>
      <c r="K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T232">
        <v>0</v>
      </c>
      <c r="AU232">
        <v>0</v>
      </c>
      <c r="AW232">
        <v>0</v>
      </c>
      <c r="AX232">
        <v>0</v>
      </c>
      <c r="AY232">
        <v>0</v>
      </c>
    </row>
    <row r="233" spans="1:51" x14ac:dyDescent="0.3">
      <c r="A233" s="754">
        <v>1053</v>
      </c>
      <c r="B233" t="s">
        <v>1540</v>
      </c>
      <c r="D233">
        <v>0</v>
      </c>
      <c r="E233">
        <v>0</v>
      </c>
      <c r="F233">
        <v>0</v>
      </c>
      <c r="G233">
        <v>0</v>
      </c>
      <c r="H233">
        <v>42849</v>
      </c>
      <c r="I233">
        <v>-29323</v>
      </c>
      <c r="J233">
        <v>0</v>
      </c>
      <c r="K233">
        <v>0</v>
      </c>
      <c r="M233">
        <v>0</v>
      </c>
      <c r="N233">
        <v>0</v>
      </c>
      <c r="O233">
        <v>0</v>
      </c>
      <c r="P233">
        <v>0</v>
      </c>
      <c r="Q233">
        <v>0</v>
      </c>
      <c r="R233">
        <v>0</v>
      </c>
      <c r="S233">
        <v>0</v>
      </c>
      <c r="T233">
        <v>0</v>
      </c>
      <c r="U233">
        <v>-1010931</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T233">
        <v>0</v>
      </c>
      <c r="AU233">
        <v>0</v>
      </c>
      <c r="AW233">
        <v>0</v>
      </c>
      <c r="AX233">
        <v>0</v>
      </c>
      <c r="AY233">
        <v>0</v>
      </c>
    </row>
    <row r="234" spans="1:51" x14ac:dyDescent="0.3">
      <c r="A234" s="754">
        <v>1054</v>
      </c>
      <c r="B234" t="s">
        <v>1541</v>
      </c>
      <c r="D234">
        <v>0</v>
      </c>
      <c r="E234">
        <v>0</v>
      </c>
      <c r="F234">
        <v>0</v>
      </c>
      <c r="G234">
        <v>0</v>
      </c>
      <c r="H234">
        <v>0</v>
      </c>
      <c r="I234">
        <v>0</v>
      </c>
      <c r="J234">
        <v>0</v>
      </c>
      <c r="K234">
        <v>0</v>
      </c>
      <c r="M234">
        <v>0</v>
      </c>
      <c r="N234">
        <v>0</v>
      </c>
      <c r="O234">
        <v>0</v>
      </c>
      <c r="P234">
        <v>0</v>
      </c>
      <c r="Q234">
        <v>0</v>
      </c>
      <c r="R234">
        <v>0</v>
      </c>
      <c r="S234">
        <v>0</v>
      </c>
      <c r="T234">
        <v>0</v>
      </c>
      <c r="U234">
        <v>-1875160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T234">
        <v>0</v>
      </c>
      <c r="AU234">
        <v>0</v>
      </c>
      <c r="AW234">
        <v>0</v>
      </c>
      <c r="AX234">
        <v>0</v>
      </c>
      <c r="AY234">
        <v>0</v>
      </c>
    </row>
    <row r="235" spans="1:51" x14ac:dyDescent="0.3">
      <c r="A235" s="754">
        <v>1055</v>
      </c>
      <c r="B235" t="s">
        <v>1542</v>
      </c>
      <c r="D235">
        <v>1</v>
      </c>
      <c r="E235">
        <v>2</v>
      </c>
      <c r="F235">
        <v>2</v>
      </c>
      <c r="G235">
        <v>2</v>
      </c>
      <c r="H235">
        <v>2</v>
      </c>
      <c r="I235">
        <v>2</v>
      </c>
      <c r="J235">
        <v>2</v>
      </c>
      <c r="K235">
        <v>2</v>
      </c>
      <c r="M235">
        <v>2</v>
      </c>
      <c r="N235">
        <v>2</v>
      </c>
      <c r="O235">
        <v>1</v>
      </c>
      <c r="P235">
        <v>2</v>
      </c>
      <c r="Q235">
        <v>2</v>
      </c>
      <c r="R235">
        <v>2</v>
      </c>
      <c r="S235">
        <v>2</v>
      </c>
      <c r="T235">
        <v>2</v>
      </c>
      <c r="U235">
        <v>2</v>
      </c>
      <c r="V235">
        <v>2</v>
      </c>
      <c r="W235">
        <v>2</v>
      </c>
      <c r="X235">
        <v>2</v>
      </c>
      <c r="Y235">
        <v>2</v>
      </c>
      <c r="Z235">
        <v>2</v>
      </c>
      <c r="AA235">
        <v>2</v>
      </c>
      <c r="AB235">
        <v>2</v>
      </c>
      <c r="AC235">
        <v>2</v>
      </c>
      <c r="AD235">
        <v>2</v>
      </c>
      <c r="AE235">
        <v>2</v>
      </c>
      <c r="AF235">
        <v>2</v>
      </c>
      <c r="AG235">
        <v>2</v>
      </c>
      <c r="AH235">
        <v>2</v>
      </c>
      <c r="AI235">
        <v>2</v>
      </c>
      <c r="AJ235">
        <v>2</v>
      </c>
      <c r="AK235">
        <v>2</v>
      </c>
      <c r="AL235">
        <v>2</v>
      </c>
      <c r="AM235">
        <v>2</v>
      </c>
      <c r="AN235">
        <v>2</v>
      </c>
      <c r="AO235">
        <v>2</v>
      </c>
      <c r="AP235">
        <v>2</v>
      </c>
      <c r="AQ235">
        <v>2</v>
      </c>
      <c r="AR235">
        <v>2</v>
      </c>
      <c r="AT235">
        <v>2</v>
      </c>
      <c r="AU235">
        <v>2</v>
      </c>
      <c r="AW235">
        <v>2</v>
      </c>
      <c r="AX235">
        <v>2</v>
      </c>
      <c r="AY235">
        <v>2</v>
      </c>
    </row>
    <row r="236" spans="1:51" x14ac:dyDescent="0.3">
      <c r="A236" s="754">
        <v>1056</v>
      </c>
      <c r="B236" t="s">
        <v>1543</v>
      </c>
      <c r="D236">
        <v>2</v>
      </c>
      <c r="E236">
        <v>2</v>
      </c>
      <c r="F236">
        <v>2</v>
      </c>
      <c r="G236">
        <v>2</v>
      </c>
      <c r="H236">
        <v>2</v>
      </c>
      <c r="I236">
        <v>2</v>
      </c>
      <c r="J236">
        <v>2</v>
      </c>
      <c r="K236">
        <v>2</v>
      </c>
      <c r="M236">
        <v>2</v>
      </c>
      <c r="N236">
        <v>2</v>
      </c>
      <c r="O236">
        <v>1</v>
      </c>
      <c r="P236">
        <v>2</v>
      </c>
      <c r="Q236">
        <v>2</v>
      </c>
      <c r="R236">
        <v>2</v>
      </c>
      <c r="S236">
        <v>2</v>
      </c>
      <c r="T236">
        <v>2</v>
      </c>
      <c r="U236">
        <v>2</v>
      </c>
      <c r="V236">
        <v>2</v>
      </c>
      <c r="W236">
        <v>2</v>
      </c>
      <c r="X236">
        <v>2</v>
      </c>
      <c r="Y236">
        <v>2</v>
      </c>
      <c r="Z236">
        <v>2</v>
      </c>
      <c r="AA236">
        <v>2</v>
      </c>
      <c r="AB236">
        <v>2</v>
      </c>
      <c r="AC236">
        <v>2</v>
      </c>
      <c r="AD236">
        <v>2</v>
      </c>
      <c r="AE236">
        <v>2</v>
      </c>
      <c r="AF236">
        <v>2</v>
      </c>
      <c r="AG236">
        <v>2</v>
      </c>
      <c r="AH236">
        <v>2</v>
      </c>
      <c r="AI236">
        <v>2</v>
      </c>
      <c r="AJ236">
        <v>2</v>
      </c>
      <c r="AK236">
        <v>2</v>
      </c>
      <c r="AL236">
        <v>2</v>
      </c>
      <c r="AM236">
        <v>2</v>
      </c>
      <c r="AN236">
        <v>2</v>
      </c>
      <c r="AO236">
        <v>2</v>
      </c>
      <c r="AP236">
        <v>2</v>
      </c>
      <c r="AQ236">
        <v>2</v>
      </c>
      <c r="AR236">
        <v>2</v>
      </c>
      <c r="AT236">
        <v>2</v>
      </c>
      <c r="AU236">
        <v>2</v>
      </c>
      <c r="AW236">
        <v>2</v>
      </c>
      <c r="AX236">
        <v>2</v>
      </c>
      <c r="AY236">
        <v>2</v>
      </c>
    </row>
    <row r="237" spans="1:51" x14ac:dyDescent="0.3">
      <c r="A237" s="754">
        <v>1057</v>
      </c>
      <c r="B237" t="s">
        <v>1036</v>
      </c>
      <c r="D237">
        <v>2</v>
      </c>
      <c r="E237">
        <v>2</v>
      </c>
      <c r="F237">
        <v>2</v>
      </c>
      <c r="G237">
        <v>2</v>
      </c>
      <c r="H237">
        <v>2</v>
      </c>
      <c r="I237">
        <v>2</v>
      </c>
      <c r="J237">
        <v>2</v>
      </c>
      <c r="K237">
        <v>2</v>
      </c>
      <c r="M237">
        <v>2</v>
      </c>
      <c r="N237">
        <v>1</v>
      </c>
      <c r="O237">
        <v>1</v>
      </c>
      <c r="P237">
        <v>2</v>
      </c>
      <c r="Q237">
        <v>2</v>
      </c>
      <c r="R237">
        <v>2</v>
      </c>
      <c r="S237">
        <v>2</v>
      </c>
      <c r="T237">
        <v>1</v>
      </c>
      <c r="U237">
        <v>2</v>
      </c>
      <c r="V237">
        <v>2</v>
      </c>
      <c r="W237">
        <v>2</v>
      </c>
      <c r="X237">
        <v>1</v>
      </c>
      <c r="Y237">
        <v>2</v>
      </c>
      <c r="Z237">
        <v>2</v>
      </c>
      <c r="AA237">
        <v>2</v>
      </c>
      <c r="AB237">
        <v>2</v>
      </c>
      <c r="AC237">
        <v>2</v>
      </c>
      <c r="AD237">
        <v>1</v>
      </c>
      <c r="AE237">
        <v>2</v>
      </c>
      <c r="AF237">
        <v>2</v>
      </c>
      <c r="AG237">
        <v>2</v>
      </c>
      <c r="AH237">
        <v>2</v>
      </c>
      <c r="AI237">
        <v>2</v>
      </c>
      <c r="AJ237">
        <v>2</v>
      </c>
      <c r="AK237">
        <v>2</v>
      </c>
      <c r="AL237">
        <v>2</v>
      </c>
      <c r="AM237">
        <v>2</v>
      </c>
      <c r="AN237">
        <v>1</v>
      </c>
      <c r="AO237">
        <v>2</v>
      </c>
      <c r="AP237">
        <v>2</v>
      </c>
      <c r="AQ237">
        <v>2</v>
      </c>
      <c r="AR237">
        <v>2</v>
      </c>
      <c r="AT237">
        <v>2</v>
      </c>
      <c r="AU237">
        <v>2</v>
      </c>
      <c r="AW237">
        <v>2</v>
      </c>
      <c r="AX237">
        <v>2</v>
      </c>
      <c r="AY237">
        <v>2</v>
      </c>
    </row>
    <row r="238" spans="1:51" x14ac:dyDescent="0.3">
      <c r="A238" s="754">
        <v>1058</v>
      </c>
      <c r="B238" t="s">
        <v>1037</v>
      </c>
      <c r="D238">
        <v>2</v>
      </c>
      <c r="E238">
        <v>2</v>
      </c>
      <c r="F238">
        <v>2</v>
      </c>
      <c r="G238">
        <v>2</v>
      </c>
      <c r="H238">
        <v>2</v>
      </c>
      <c r="I238">
        <v>2</v>
      </c>
      <c r="J238">
        <v>2</v>
      </c>
      <c r="K238">
        <v>2</v>
      </c>
      <c r="M238">
        <v>2</v>
      </c>
      <c r="N238">
        <v>2</v>
      </c>
      <c r="O238">
        <v>1</v>
      </c>
      <c r="P238">
        <v>2</v>
      </c>
      <c r="Q238">
        <v>2</v>
      </c>
      <c r="R238">
        <v>2</v>
      </c>
      <c r="S238">
        <v>2</v>
      </c>
      <c r="T238">
        <v>2</v>
      </c>
      <c r="U238">
        <v>2</v>
      </c>
      <c r="V238">
        <v>2</v>
      </c>
      <c r="W238">
        <v>2</v>
      </c>
      <c r="X238">
        <v>2</v>
      </c>
      <c r="Y238">
        <v>2</v>
      </c>
      <c r="Z238">
        <v>2</v>
      </c>
      <c r="AA238">
        <v>2</v>
      </c>
      <c r="AB238">
        <v>2</v>
      </c>
      <c r="AC238">
        <v>2</v>
      </c>
      <c r="AD238">
        <v>2</v>
      </c>
      <c r="AE238">
        <v>2</v>
      </c>
      <c r="AF238">
        <v>2</v>
      </c>
      <c r="AG238">
        <v>2</v>
      </c>
      <c r="AH238">
        <v>2</v>
      </c>
      <c r="AI238">
        <v>2</v>
      </c>
      <c r="AJ238">
        <v>2</v>
      </c>
      <c r="AK238">
        <v>2</v>
      </c>
      <c r="AL238">
        <v>2</v>
      </c>
      <c r="AM238">
        <v>1</v>
      </c>
      <c r="AN238">
        <v>2</v>
      </c>
      <c r="AO238">
        <v>2</v>
      </c>
      <c r="AP238">
        <v>2</v>
      </c>
      <c r="AQ238">
        <v>2</v>
      </c>
      <c r="AR238">
        <v>2</v>
      </c>
      <c r="AT238">
        <v>2</v>
      </c>
      <c r="AU238">
        <v>2</v>
      </c>
      <c r="AW238">
        <v>2</v>
      </c>
      <c r="AX238">
        <v>2</v>
      </c>
      <c r="AY238">
        <v>2</v>
      </c>
    </row>
    <row r="239" spans="1:51" x14ac:dyDescent="0.3">
      <c r="A239" s="754">
        <v>1059</v>
      </c>
      <c r="B239" t="s">
        <v>1544</v>
      </c>
      <c r="D239">
        <v>1</v>
      </c>
      <c r="E239">
        <v>1</v>
      </c>
      <c r="F239">
        <v>1</v>
      </c>
      <c r="G239">
        <v>1</v>
      </c>
      <c r="H239">
        <v>1</v>
      </c>
      <c r="I239">
        <v>1</v>
      </c>
      <c r="J239">
        <v>1</v>
      </c>
      <c r="K239">
        <v>1</v>
      </c>
      <c r="M239">
        <v>1</v>
      </c>
      <c r="N239">
        <v>1</v>
      </c>
      <c r="O239">
        <v>1</v>
      </c>
      <c r="P239">
        <v>1</v>
      </c>
      <c r="Q239">
        <v>1</v>
      </c>
      <c r="R239">
        <v>2</v>
      </c>
      <c r="S239">
        <v>1</v>
      </c>
      <c r="T239">
        <v>1</v>
      </c>
      <c r="U239">
        <v>1</v>
      </c>
      <c r="V239">
        <v>1</v>
      </c>
      <c r="W239">
        <v>1</v>
      </c>
      <c r="X239">
        <v>1</v>
      </c>
      <c r="Y239">
        <v>1</v>
      </c>
      <c r="Z239">
        <v>1</v>
      </c>
      <c r="AA239">
        <v>1</v>
      </c>
      <c r="AB239">
        <v>1</v>
      </c>
      <c r="AC239">
        <v>1</v>
      </c>
      <c r="AD239">
        <v>1</v>
      </c>
      <c r="AE239">
        <v>1</v>
      </c>
      <c r="AF239">
        <v>1</v>
      </c>
      <c r="AG239">
        <v>1</v>
      </c>
      <c r="AH239">
        <v>1</v>
      </c>
      <c r="AI239">
        <v>1</v>
      </c>
      <c r="AJ239">
        <v>1</v>
      </c>
      <c r="AK239">
        <v>2</v>
      </c>
      <c r="AL239">
        <v>1</v>
      </c>
      <c r="AM239">
        <v>1</v>
      </c>
      <c r="AN239">
        <v>1</v>
      </c>
      <c r="AO239">
        <v>1</v>
      </c>
      <c r="AP239">
        <v>1</v>
      </c>
      <c r="AQ239">
        <v>1</v>
      </c>
      <c r="AR239">
        <v>1</v>
      </c>
      <c r="AT239">
        <v>1</v>
      </c>
      <c r="AU239">
        <v>1</v>
      </c>
      <c r="AW239">
        <v>1</v>
      </c>
      <c r="AX239">
        <v>1</v>
      </c>
      <c r="AY239">
        <v>1</v>
      </c>
    </row>
    <row r="240" spans="1:51" x14ac:dyDescent="0.3">
      <c r="A240" s="754">
        <v>1064</v>
      </c>
      <c r="B240" t="s">
        <v>1545</v>
      </c>
      <c r="J240">
        <v>530025</v>
      </c>
      <c r="K240">
        <v>1027114</v>
      </c>
    </row>
    <row r="241" spans="1:51" x14ac:dyDescent="0.3">
      <c r="A241" s="754">
        <v>1066</v>
      </c>
      <c r="B241" t="s">
        <v>1546</v>
      </c>
      <c r="D241" t="s">
        <v>1547</v>
      </c>
      <c r="E241" t="s">
        <v>1548</v>
      </c>
      <c r="F241" t="s">
        <v>1549</v>
      </c>
      <c r="G241" t="s">
        <v>1550</v>
      </c>
      <c r="H241" t="s">
        <v>1551</v>
      </c>
      <c r="I241" t="s">
        <v>1552</v>
      </c>
      <c r="J241" t="s">
        <v>1553</v>
      </c>
      <c r="K241" t="s">
        <v>1552</v>
      </c>
      <c r="M241" t="s">
        <v>1554</v>
      </c>
      <c r="N241" t="s">
        <v>1548</v>
      </c>
      <c r="O241" t="s">
        <v>1555</v>
      </c>
      <c r="P241" t="s">
        <v>1556</v>
      </c>
      <c r="Q241" t="s">
        <v>1557</v>
      </c>
      <c r="R241" t="s">
        <v>1549</v>
      </c>
      <c r="S241" t="s">
        <v>1558</v>
      </c>
      <c r="T241" t="s">
        <v>1559</v>
      </c>
      <c r="U241" t="s">
        <v>1551</v>
      </c>
      <c r="V241" t="s">
        <v>1552</v>
      </c>
      <c r="W241" t="s">
        <v>1560</v>
      </c>
      <c r="X241" t="s">
        <v>1561</v>
      </c>
      <c r="Y241" t="s">
        <v>1562</v>
      </c>
      <c r="Z241" t="s">
        <v>1557</v>
      </c>
      <c r="AA241" t="s">
        <v>1563</v>
      </c>
      <c r="AB241" t="s">
        <v>1564</v>
      </c>
      <c r="AC241" t="s">
        <v>1565</v>
      </c>
      <c r="AD241" t="s">
        <v>1548</v>
      </c>
      <c r="AE241" t="s">
        <v>1566</v>
      </c>
      <c r="AF241" t="s">
        <v>1548</v>
      </c>
      <c r="AG241" t="s">
        <v>1567</v>
      </c>
      <c r="AH241" t="s">
        <v>1568</v>
      </c>
      <c r="AI241" t="s">
        <v>1552</v>
      </c>
      <c r="AJ241" t="s">
        <v>1554</v>
      </c>
      <c r="AK241" t="s">
        <v>1569</v>
      </c>
      <c r="AL241" t="s">
        <v>1570</v>
      </c>
      <c r="AM241" t="s">
        <v>1571</v>
      </c>
      <c r="AN241" t="s">
        <v>1548</v>
      </c>
      <c r="AO241" t="s">
        <v>1572</v>
      </c>
      <c r="AP241" t="s">
        <v>1548</v>
      </c>
      <c r="AQ241" t="s">
        <v>1573</v>
      </c>
      <c r="AR241" t="s">
        <v>1574</v>
      </c>
      <c r="AT241" t="s">
        <v>1575</v>
      </c>
      <c r="AU241" t="s">
        <v>1547</v>
      </c>
      <c r="AW241" t="s">
        <v>1576</v>
      </c>
      <c r="AX241" t="s">
        <v>1577</v>
      </c>
      <c r="AY241" t="s">
        <v>1578</v>
      </c>
    </row>
    <row r="242" spans="1:51" x14ac:dyDescent="0.3">
      <c r="A242" s="754">
        <v>9000</v>
      </c>
      <c r="B242" t="s">
        <v>935</v>
      </c>
      <c r="C242" t="s">
        <v>327</v>
      </c>
      <c r="D242">
        <v>96085419.010000005</v>
      </c>
      <c r="E242">
        <v>163637212.00999999</v>
      </c>
      <c r="F242">
        <v>275268610.00999999</v>
      </c>
      <c r="G242">
        <v>980759670.00999999</v>
      </c>
      <c r="H242">
        <v>2998414945.0100002</v>
      </c>
      <c r="I242">
        <v>1460267421.01</v>
      </c>
      <c r="J242">
        <v>4668611273.0100002</v>
      </c>
      <c r="K242">
        <v>388687744.47000003</v>
      </c>
      <c r="L242">
        <v>591663.01</v>
      </c>
      <c r="M242">
        <v>198314042.00999999</v>
      </c>
      <c r="N242">
        <v>195403522.00999999</v>
      </c>
      <c r="O242">
        <v>16759682.01</v>
      </c>
      <c r="P242">
        <v>10368969568.1</v>
      </c>
      <c r="Q242">
        <v>37495356.009999998</v>
      </c>
      <c r="R242">
        <v>28773245.010000002</v>
      </c>
      <c r="S242">
        <v>153523169.00999999</v>
      </c>
      <c r="T242">
        <v>23567692.010000002</v>
      </c>
      <c r="U242">
        <v>4586850044.4799995</v>
      </c>
      <c r="V242">
        <v>137084900.00999999</v>
      </c>
      <c r="W242">
        <v>18017254.010000002</v>
      </c>
      <c r="X242">
        <v>124721662.34</v>
      </c>
      <c r="Y242">
        <v>272930433.00999999</v>
      </c>
      <c r="Z242">
        <v>60002573.009999998</v>
      </c>
      <c r="AA242">
        <v>117951254.01000001</v>
      </c>
      <c r="AB242">
        <v>21336747.010000002</v>
      </c>
      <c r="AC242">
        <v>615205605.00999999</v>
      </c>
      <c r="AD242">
        <v>81948536.010000005</v>
      </c>
      <c r="AE242">
        <v>39296769.009999998</v>
      </c>
      <c r="AF242">
        <v>1399602572.01</v>
      </c>
      <c r="AG242">
        <v>2095065087.01</v>
      </c>
      <c r="AH242">
        <v>595110845.00999999</v>
      </c>
      <c r="AI242">
        <v>364980391.00999999</v>
      </c>
      <c r="AJ242">
        <v>32719965.010000002</v>
      </c>
      <c r="AK242">
        <v>19311069.197000001</v>
      </c>
      <c r="AL242">
        <v>551640407.00999999</v>
      </c>
      <c r="AM242">
        <v>95947351.010000005</v>
      </c>
      <c r="AN242">
        <v>194417847.00999999</v>
      </c>
      <c r="AO242">
        <v>47326099.009999998</v>
      </c>
      <c r="AP242">
        <v>44449025.009999998</v>
      </c>
      <c r="AQ242">
        <v>59945197.009999998</v>
      </c>
      <c r="AR242">
        <v>8741806.0099999998</v>
      </c>
      <c r="AS242">
        <v>591692.01</v>
      </c>
      <c r="AT242">
        <v>319094837.00999999</v>
      </c>
      <c r="AU242">
        <v>35208713.009999998</v>
      </c>
      <c r="AV242">
        <v>591686.01</v>
      </c>
      <c r="AW242">
        <v>1885236.01</v>
      </c>
      <c r="AX242">
        <v>72133117.010000005</v>
      </c>
      <c r="AY242">
        <v>168615944.00999999</v>
      </c>
    </row>
    <row r="243" spans="1:51" x14ac:dyDescent="0.3">
      <c r="A243" s="754">
        <v>9001</v>
      </c>
      <c r="B243" t="s">
        <v>936</v>
      </c>
      <c r="C243" t="s">
        <v>937</v>
      </c>
      <c r="D243">
        <v>0</v>
      </c>
      <c r="E243">
        <v>0</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1897590</v>
      </c>
      <c r="AL243">
        <v>0</v>
      </c>
      <c r="AM243">
        <v>0</v>
      </c>
      <c r="AN243">
        <v>0</v>
      </c>
      <c r="AO243">
        <v>0</v>
      </c>
      <c r="AP243">
        <v>0</v>
      </c>
      <c r="AQ243">
        <v>0</v>
      </c>
      <c r="AR243">
        <v>0</v>
      </c>
      <c r="AS243">
        <v>0</v>
      </c>
      <c r="AT243">
        <v>0</v>
      </c>
      <c r="AU243">
        <v>0</v>
      </c>
      <c r="AV243">
        <v>0</v>
      </c>
      <c r="AW243">
        <v>0</v>
      </c>
      <c r="AX243">
        <v>0</v>
      </c>
      <c r="AY243">
        <v>0</v>
      </c>
    </row>
    <row r="244" spans="1:51" x14ac:dyDescent="0.3">
      <c r="A244" s="754">
        <v>9002</v>
      </c>
      <c r="B244" t="s">
        <v>938</v>
      </c>
      <c r="C244" t="s">
        <v>939</v>
      </c>
      <c r="D244">
        <v>0</v>
      </c>
      <c r="E244">
        <v>0</v>
      </c>
      <c r="F244">
        <v>0</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27170</v>
      </c>
      <c r="AL244">
        <v>0</v>
      </c>
      <c r="AM244">
        <v>0</v>
      </c>
      <c r="AN244">
        <v>0</v>
      </c>
      <c r="AO244">
        <v>0</v>
      </c>
      <c r="AP244">
        <v>0</v>
      </c>
      <c r="AQ244">
        <v>0</v>
      </c>
      <c r="AR244">
        <v>0</v>
      </c>
      <c r="AS244">
        <v>0</v>
      </c>
      <c r="AT244">
        <v>0</v>
      </c>
      <c r="AU244">
        <v>0</v>
      </c>
      <c r="AV244">
        <v>0</v>
      </c>
      <c r="AW244">
        <v>0</v>
      </c>
      <c r="AX244">
        <v>0</v>
      </c>
      <c r="AY244">
        <v>0</v>
      </c>
    </row>
    <row r="245" spans="1:51" x14ac:dyDescent="0.3">
      <c r="A245" s="754">
        <v>9003</v>
      </c>
      <c r="B245" t="s">
        <v>940</v>
      </c>
      <c r="C245" t="s">
        <v>941</v>
      </c>
      <c r="D245">
        <v>0</v>
      </c>
      <c r="E245">
        <v>0</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28140</v>
      </c>
      <c r="AL245">
        <v>0</v>
      </c>
      <c r="AM245">
        <v>0</v>
      </c>
      <c r="AN245">
        <v>0</v>
      </c>
      <c r="AO245">
        <v>0</v>
      </c>
      <c r="AP245">
        <v>0</v>
      </c>
      <c r="AQ245">
        <v>0</v>
      </c>
      <c r="AR245">
        <v>0</v>
      </c>
      <c r="AS245">
        <v>0</v>
      </c>
      <c r="AT245">
        <v>0</v>
      </c>
      <c r="AU245">
        <v>0</v>
      </c>
      <c r="AV245">
        <v>0</v>
      </c>
      <c r="AW245">
        <v>0</v>
      </c>
      <c r="AX245">
        <v>0</v>
      </c>
      <c r="AY245">
        <v>0</v>
      </c>
    </row>
    <row r="246" spans="1:51" x14ac:dyDescent="0.3">
      <c r="A246" s="754">
        <v>9004</v>
      </c>
      <c r="B246" t="s">
        <v>942</v>
      </c>
      <c r="C246" t="s">
        <v>943</v>
      </c>
      <c r="D246" t="s">
        <v>944</v>
      </c>
      <c r="E246" t="s">
        <v>944</v>
      </c>
      <c r="F246" t="s">
        <v>944</v>
      </c>
      <c r="G246" t="s">
        <v>944</v>
      </c>
      <c r="H246" t="s">
        <v>944</v>
      </c>
      <c r="I246" t="s">
        <v>944</v>
      </c>
      <c r="J246" t="s">
        <v>944</v>
      </c>
      <c r="K246" t="s">
        <v>944</v>
      </c>
      <c r="L246" t="s">
        <v>944</v>
      </c>
      <c r="M246" t="s">
        <v>944</v>
      </c>
      <c r="N246" t="s">
        <v>944</v>
      </c>
      <c r="O246" t="s">
        <v>944</v>
      </c>
      <c r="P246" t="s">
        <v>944</v>
      </c>
      <c r="Q246" t="s">
        <v>944</v>
      </c>
      <c r="R246" t="s">
        <v>944</v>
      </c>
      <c r="S246" t="s">
        <v>944</v>
      </c>
      <c r="T246" t="s">
        <v>944</v>
      </c>
      <c r="U246" t="s">
        <v>327</v>
      </c>
      <c r="V246" t="s">
        <v>944</v>
      </c>
      <c r="W246" t="s">
        <v>944</v>
      </c>
      <c r="X246" t="s">
        <v>944</v>
      </c>
      <c r="Y246" t="s">
        <v>944</v>
      </c>
      <c r="Z246" t="s">
        <v>944</v>
      </c>
      <c r="AA246" t="s">
        <v>944</v>
      </c>
      <c r="AB246" t="s">
        <v>944</v>
      </c>
      <c r="AC246" t="s">
        <v>944</v>
      </c>
      <c r="AD246" t="s">
        <v>944</v>
      </c>
      <c r="AE246" t="s">
        <v>944</v>
      </c>
      <c r="AF246" t="s">
        <v>944</v>
      </c>
      <c r="AG246" t="s">
        <v>944</v>
      </c>
      <c r="AH246" t="s">
        <v>944</v>
      </c>
      <c r="AI246" t="s">
        <v>944</v>
      </c>
      <c r="AJ246" t="s">
        <v>944</v>
      </c>
      <c r="AK246" t="s">
        <v>944</v>
      </c>
      <c r="AL246" t="s">
        <v>944</v>
      </c>
      <c r="AM246" t="s">
        <v>944</v>
      </c>
      <c r="AN246" t="s">
        <v>944</v>
      </c>
      <c r="AO246" t="s">
        <v>944</v>
      </c>
      <c r="AP246" t="s">
        <v>944</v>
      </c>
      <c r="AQ246" t="s">
        <v>944</v>
      </c>
      <c r="AR246" t="s">
        <v>944</v>
      </c>
      <c r="AS246" t="s">
        <v>944</v>
      </c>
      <c r="AT246" t="s">
        <v>944</v>
      </c>
      <c r="AU246" t="s">
        <v>944</v>
      </c>
      <c r="AV246" t="s">
        <v>944</v>
      </c>
      <c r="AW246" t="s">
        <v>944</v>
      </c>
      <c r="AX246" t="s">
        <v>944</v>
      </c>
      <c r="AY246" t="s">
        <v>944</v>
      </c>
    </row>
    <row r="247" spans="1:51" x14ac:dyDescent="0.3">
      <c r="A247" s="754">
        <v>9005</v>
      </c>
      <c r="B247" t="s">
        <v>945</v>
      </c>
      <c r="C247" t="s">
        <v>946</v>
      </c>
      <c r="D247">
        <v>0</v>
      </c>
      <c r="E247">
        <v>0</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row>
    <row r="248" spans="1:51" x14ac:dyDescent="0.3">
      <c r="A248" s="754">
        <v>9006</v>
      </c>
      <c r="B248" t="s">
        <v>947</v>
      </c>
      <c r="C248" t="s">
        <v>948</v>
      </c>
      <c r="D248">
        <v>0</v>
      </c>
      <c r="E248">
        <v>0</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row>
    <row r="249" spans="1:51" x14ac:dyDescent="0.3">
      <c r="A249" s="754">
        <v>9007</v>
      </c>
      <c r="B249" t="s">
        <v>1327</v>
      </c>
      <c r="C249" t="s">
        <v>949</v>
      </c>
      <c r="D249">
        <v>0</v>
      </c>
      <c r="E249">
        <v>0</v>
      </c>
      <c r="F249">
        <v>0</v>
      </c>
      <c r="G249">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row>
    <row r="250" spans="1:51" x14ac:dyDescent="0.3">
      <c r="A250" s="754">
        <v>9008</v>
      </c>
      <c r="B250" t="s">
        <v>950</v>
      </c>
      <c r="C250" t="s">
        <v>327</v>
      </c>
      <c r="D250">
        <v>0</v>
      </c>
      <c r="E250">
        <v>0</v>
      </c>
      <c r="F250">
        <v>0</v>
      </c>
      <c r="G250">
        <v>0</v>
      </c>
      <c r="H250">
        <v>0</v>
      </c>
      <c r="I250">
        <v>0</v>
      </c>
      <c r="J250">
        <v>0</v>
      </c>
      <c r="K250">
        <v>0</v>
      </c>
      <c r="L250">
        <v>0</v>
      </c>
      <c r="M250">
        <v>0</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row>
    <row r="251" spans="1:51" x14ac:dyDescent="0.3">
      <c r="A251" s="754">
        <v>9010</v>
      </c>
      <c r="B251" t="s">
        <v>951</v>
      </c>
      <c r="C251" t="s">
        <v>952</v>
      </c>
      <c r="D251">
        <v>5.69</v>
      </c>
      <c r="E251">
        <v>23.54</v>
      </c>
      <c r="F251">
        <v>3.27</v>
      </c>
      <c r="G251">
        <v>7.55</v>
      </c>
      <c r="H251">
        <v>16.7</v>
      </c>
      <c r="I251">
        <v>9.9700000000000006</v>
      </c>
      <c r="J251">
        <v>1.91</v>
      </c>
      <c r="K251">
        <v>8.1199999999999992</v>
      </c>
      <c r="L251">
        <v>0</v>
      </c>
      <c r="M251">
        <v>1.46</v>
      </c>
      <c r="N251">
        <v>13.66</v>
      </c>
      <c r="O251">
        <v>1.66</v>
      </c>
      <c r="P251">
        <v>1.89</v>
      </c>
      <c r="Q251">
        <v>14.73</v>
      </c>
      <c r="R251">
        <v>1.05</v>
      </c>
      <c r="S251">
        <v>18.91</v>
      </c>
      <c r="T251">
        <v>46.13</v>
      </c>
      <c r="U251">
        <v>3.67</v>
      </c>
      <c r="V251">
        <v>4.0999999999999996</v>
      </c>
      <c r="W251">
        <v>39.479999999999997</v>
      </c>
      <c r="X251">
        <v>3.88</v>
      </c>
      <c r="Y251">
        <v>2.37</v>
      </c>
      <c r="Z251">
        <v>5.12</v>
      </c>
      <c r="AA251">
        <v>4.34</v>
      </c>
      <c r="AB251">
        <v>80.06</v>
      </c>
      <c r="AC251">
        <v>2.56</v>
      </c>
      <c r="AD251">
        <v>16.32</v>
      </c>
      <c r="AE251">
        <v>3.36</v>
      </c>
      <c r="AF251">
        <v>5.04</v>
      </c>
      <c r="AG251">
        <v>2.82</v>
      </c>
      <c r="AH251">
        <v>6.94</v>
      </c>
      <c r="AI251">
        <v>11.69</v>
      </c>
      <c r="AJ251">
        <v>12.24</v>
      </c>
      <c r="AK251">
        <v>44.53</v>
      </c>
      <c r="AL251">
        <v>7.22</v>
      </c>
      <c r="AM251">
        <v>20.170000000000002</v>
      </c>
      <c r="AN251">
        <v>17.37</v>
      </c>
      <c r="AO251">
        <v>34.07</v>
      </c>
      <c r="AP251">
        <v>20.91</v>
      </c>
      <c r="AQ251">
        <v>6.95</v>
      </c>
      <c r="AR251">
        <v>165.28</v>
      </c>
      <c r="AS251">
        <v>0</v>
      </c>
      <c r="AT251">
        <v>24.11</v>
      </c>
      <c r="AU251">
        <v>0</v>
      </c>
      <c r="AV251">
        <v>0</v>
      </c>
      <c r="AW251">
        <v>31.57</v>
      </c>
      <c r="AX251">
        <v>12.02</v>
      </c>
      <c r="AY251">
        <v>4.05</v>
      </c>
    </row>
    <row r="252" spans="1:51" x14ac:dyDescent="0.3">
      <c r="A252" s="754">
        <v>9011</v>
      </c>
      <c r="B252" t="s">
        <v>1579</v>
      </c>
      <c r="C252" t="s">
        <v>953</v>
      </c>
      <c r="D252">
        <v>-236220</v>
      </c>
      <c r="E252">
        <v>1061890</v>
      </c>
      <c r="F252">
        <v>1723393</v>
      </c>
      <c r="G252">
        <v>12767144</v>
      </c>
      <c r="H252">
        <v>22684071</v>
      </c>
      <c r="I252">
        <v>3432804</v>
      </c>
      <c r="J252">
        <v>14573066</v>
      </c>
      <c r="K252">
        <v>1493509</v>
      </c>
      <c r="L252">
        <v>0</v>
      </c>
      <c r="M252">
        <v>243269</v>
      </c>
      <c r="N252">
        <v>835593</v>
      </c>
      <c r="O252">
        <v>-34635</v>
      </c>
      <c r="P252">
        <v>34562748</v>
      </c>
      <c r="Q252">
        <v>304005</v>
      </c>
      <c r="R252">
        <v>-5662</v>
      </c>
      <c r="S252">
        <v>1187262</v>
      </c>
      <c r="T252">
        <v>5442</v>
      </c>
      <c r="U252">
        <v>11800567</v>
      </c>
      <c r="V252">
        <v>370162</v>
      </c>
      <c r="W252">
        <v>202941</v>
      </c>
      <c r="X252">
        <v>-400960</v>
      </c>
      <c r="Y252">
        <v>1199452</v>
      </c>
      <c r="Z252">
        <v>197712</v>
      </c>
      <c r="AA252">
        <v>41430</v>
      </c>
      <c r="AB252">
        <v>111708</v>
      </c>
      <c r="AC252">
        <v>1427638</v>
      </c>
      <c r="AD252">
        <v>240085</v>
      </c>
      <c r="AE252">
        <v>116646</v>
      </c>
      <c r="AF252">
        <v>6022337</v>
      </c>
      <c r="AG252">
        <v>7138470</v>
      </c>
      <c r="AH252">
        <v>403434</v>
      </c>
      <c r="AI252">
        <v>2736802</v>
      </c>
      <c r="AJ252">
        <v>-127654</v>
      </c>
      <c r="AK252">
        <v>-79598</v>
      </c>
      <c r="AL252">
        <v>4450013</v>
      </c>
      <c r="AM252">
        <v>292977</v>
      </c>
      <c r="AN252">
        <v>1105519</v>
      </c>
      <c r="AO252">
        <v>520479</v>
      </c>
      <c r="AP252">
        <v>277671</v>
      </c>
      <c r="AQ252">
        <v>258580</v>
      </c>
      <c r="AR252">
        <v>65082</v>
      </c>
      <c r="AS252">
        <v>0</v>
      </c>
      <c r="AT252">
        <v>1530452</v>
      </c>
      <c r="AU252">
        <v>0</v>
      </c>
      <c r="AV252">
        <v>0</v>
      </c>
      <c r="AW252">
        <v>5238</v>
      </c>
      <c r="AX252">
        <v>193336</v>
      </c>
      <c r="AY252">
        <v>504331</v>
      </c>
    </row>
    <row r="253" spans="1:51" x14ac:dyDescent="0.3">
      <c r="A253" s="754">
        <v>9012</v>
      </c>
      <c r="B253" t="s">
        <v>1580</v>
      </c>
      <c r="C253" t="s">
        <v>953</v>
      </c>
      <c r="D253">
        <v>0.54659999999999997</v>
      </c>
      <c r="E253">
        <v>3.9618000000000002</v>
      </c>
      <c r="F253">
        <v>1.3339000000000001</v>
      </c>
      <c r="G253">
        <v>2.2486999999999999</v>
      </c>
      <c r="H253">
        <v>3.0127999999999999</v>
      </c>
      <c r="I253">
        <v>3.0632999999999999</v>
      </c>
      <c r="J253">
        <v>0.89</v>
      </c>
      <c r="K253">
        <v>1.8415999999999999</v>
      </c>
      <c r="L253">
        <v>0</v>
      </c>
      <c r="M253">
        <v>1.151</v>
      </c>
      <c r="N253">
        <v>2.5291999999999999</v>
      </c>
      <c r="O253">
        <v>0.21779999999999999</v>
      </c>
      <c r="P253">
        <v>0.44340000000000002</v>
      </c>
      <c r="Q253">
        <v>1.8549</v>
      </c>
      <c r="R253">
        <v>2.895</v>
      </c>
      <c r="S253">
        <v>4.9047000000000001</v>
      </c>
      <c r="T253">
        <v>1.3709</v>
      </c>
      <c r="U253">
        <v>0.60499999999999998</v>
      </c>
      <c r="V253">
        <v>1.1456999999999999</v>
      </c>
      <c r="W253">
        <v>2.3690000000000002</v>
      </c>
      <c r="X253">
        <v>1.0195000000000001</v>
      </c>
      <c r="Y253">
        <v>0.53190000000000004</v>
      </c>
      <c r="Z253">
        <v>0.63800000000000001</v>
      </c>
      <c r="AA253">
        <v>0.83350000000000002</v>
      </c>
      <c r="AB253">
        <v>3.4127000000000001</v>
      </c>
      <c r="AC253">
        <v>1.2787999999999999</v>
      </c>
      <c r="AD253">
        <v>2.8119999999999998</v>
      </c>
      <c r="AE253">
        <v>0.86419999999999997</v>
      </c>
      <c r="AF253">
        <v>1.8858999999999999</v>
      </c>
      <c r="AG253">
        <v>0.77910000000000001</v>
      </c>
      <c r="AH253">
        <v>1.8089</v>
      </c>
      <c r="AI253">
        <v>2.1629999999999998</v>
      </c>
      <c r="AJ253">
        <v>0.52490000000000003</v>
      </c>
      <c r="AK253">
        <v>5.3228999999999997</v>
      </c>
      <c r="AL253">
        <v>2.2875000000000001</v>
      </c>
      <c r="AM253">
        <v>2.0034999999999998</v>
      </c>
      <c r="AN253">
        <v>4.4364999999999997</v>
      </c>
      <c r="AO253">
        <v>2.3685999999999998</v>
      </c>
      <c r="AP253">
        <v>4.6139999999999999</v>
      </c>
      <c r="AQ253">
        <v>2.4609999999999999</v>
      </c>
      <c r="AR253">
        <v>2.1360999999999999</v>
      </c>
      <c r="AS253">
        <v>0</v>
      </c>
      <c r="AT253">
        <v>3.6436999999999999</v>
      </c>
      <c r="AU253">
        <v>0</v>
      </c>
      <c r="AV253">
        <v>0</v>
      </c>
      <c r="AW253">
        <v>1.2484</v>
      </c>
      <c r="AX253">
        <v>1.6396999999999999</v>
      </c>
      <c r="AY253">
        <v>0.66039999999999999</v>
      </c>
    </row>
    <row r="254" spans="1:51" x14ac:dyDescent="0.3">
      <c r="A254" s="754">
        <v>9013</v>
      </c>
      <c r="B254" t="s">
        <v>954</v>
      </c>
      <c r="C254" t="s">
        <v>955</v>
      </c>
      <c r="D254">
        <v>5.69</v>
      </c>
      <c r="E254">
        <v>23.54</v>
      </c>
      <c r="F254">
        <v>3.27</v>
      </c>
      <c r="G254">
        <v>7.55</v>
      </c>
      <c r="H254">
        <v>16.7</v>
      </c>
      <c r="I254">
        <v>9.9700000000000006</v>
      </c>
      <c r="J254">
        <v>1.91</v>
      </c>
      <c r="K254">
        <v>8.1199999999999992</v>
      </c>
      <c r="L254">
        <v>0</v>
      </c>
      <c r="M254">
        <v>1.46</v>
      </c>
      <c r="N254">
        <v>13.66</v>
      </c>
      <c r="O254">
        <v>1.66</v>
      </c>
      <c r="P254">
        <v>1.89</v>
      </c>
      <c r="Q254">
        <v>14.73</v>
      </c>
      <c r="R254">
        <v>1.05</v>
      </c>
      <c r="S254">
        <v>18.91</v>
      </c>
      <c r="T254">
        <v>46.13</v>
      </c>
      <c r="U254">
        <v>3.67</v>
      </c>
      <c r="V254">
        <v>4.0999999999999996</v>
      </c>
      <c r="W254">
        <v>39.479999999999997</v>
      </c>
      <c r="X254">
        <v>3.88</v>
      </c>
      <c r="Y254">
        <v>2.37</v>
      </c>
      <c r="Z254">
        <v>5.12</v>
      </c>
      <c r="AA254">
        <v>4.34</v>
      </c>
      <c r="AB254">
        <v>80.06</v>
      </c>
      <c r="AC254">
        <v>2.56</v>
      </c>
      <c r="AD254">
        <v>16.32</v>
      </c>
      <c r="AE254">
        <v>3.36</v>
      </c>
      <c r="AF254">
        <v>5.04</v>
      </c>
      <c r="AG254">
        <v>2.82</v>
      </c>
      <c r="AH254">
        <v>6.94</v>
      </c>
      <c r="AI254">
        <v>11.69</v>
      </c>
      <c r="AJ254">
        <v>12.24</v>
      </c>
      <c r="AK254">
        <v>44.53</v>
      </c>
      <c r="AL254">
        <v>7.22</v>
      </c>
      <c r="AM254">
        <v>20.170000000000002</v>
      </c>
      <c r="AN254">
        <v>17.37</v>
      </c>
      <c r="AO254">
        <v>34.07</v>
      </c>
      <c r="AP254">
        <v>20.91</v>
      </c>
      <c r="AQ254">
        <v>6.95</v>
      </c>
      <c r="AR254">
        <v>165.28</v>
      </c>
      <c r="AS254">
        <v>0</v>
      </c>
      <c r="AT254">
        <v>24.11</v>
      </c>
      <c r="AU254">
        <v>0</v>
      </c>
      <c r="AV254">
        <v>0</v>
      </c>
      <c r="AW254">
        <v>31.57</v>
      </c>
      <c r="AX254">
        <v>12.02</v>
      </c>
      <c r="AY254">
        <v>4.05</v>
      </c>
    </row>
    <row r="255" spans="1:51" x14ac:dyDescent="0.3">
      <c r="A255" s="754">
        <v>9014</v>
      </c>
      <c r="B255" t="s">
        <v>956</v>
      </c>
      <c r="C255" t="s">
        <v>957</v>
      </c>
      <c r="D255">
        <v>0</v>
      </c>
      <c r="E255">
        <v>0</v>
      </c>
      <c r="F255">
        <v>0</v>
      </c>
      <c r="G255">
        <v>0</v>
      </c>
      <c r="H255">
        <v>0</v>
      </c>
      <c r="I255">
        <v>0</v>
      </c>
      <c r="J255">
        <v>0</v>
      </c>
      <c r="K255">
        <v>0</v>
      </c>
      <c r="L255">
        <v>0</v>
      </c>
      <c r="M255">
        <v>0</v>
      </c>
      <c r="N255">
        <v>0</v>
      </c>
      <c r="O255">
        <v>0</v>
      </c>
      <c r="P255">
        <v>8.74</v>
      </c>
      <c r="Q255">
        <v>0</v>
      </c>
      <c r="R255">
        <v>0</v>
      </c>
      <c r="S255">
        <v>0</v>
      </c>
      <c r="T255">
        <v>0</v>
      </c>
      <c r="U255">
        <v>3.52</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row>
    <row r="256" spans="1:51" x14ac:dyDescent="0.3">
      <c r="A256" s="754">
        <v>9015</v>
      </c>
      <c r="B256" t="s">
        <v>1581</v>
      </c>
      <c r="C256" t="s">
        <v>327</v>
      </c>
      <c r="D256">
        <v>0</v>
      </c>
      <c r="E256">
        <v>0</v>
      </c>
      <c r="F256">
        <v>0</v>
      </c>
      <c r="G256">
        <v>0</v>
      </c>
      <c r="H256">
        <v>0</v>
      </c>
      <c r="I256">
        <v>0</v>
      </c>
      <c r="J256">
        <v>0</v>
      </c>
      <c r="K256">
        <v>0</v>
      </c>
      <c r="L256">
        <v>0</v>
      </c>
      <c r="M256">
        <v>0</v>
      </c>
      <c r="N256">
        <v>0</v>
      </c>
      <c r="O256">
        <v>0</v>
      </c>
      <c r="P256">
        <v>32228957</v>
      </c>
      <c r="Q256">
        <v>0</v>
      </c>
      <c r="R256">
        <v>0</v>
      </c>
      <c r="S256">
        <v>0</v>
      </c>
      <c r="T256">
        <v>0</v>
      </c>
      <c r="U256">
        <v>15872401</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c r="AX256">
        <v>0</v>
      </c>
      <c r="AY256">
        <v>0</v>
      </c>
    </row>
    <row r="257" spans="1:100" x14ac:dyDescent="0.3">
      <c r="A257" s="754">
        <v>9016</v>
      </c>
      <c r="B257" t="s">
        <v>1582</v>
      </c>
      <c r="C257" t="s">
        <v>327</v>
      </c>
      <c r="D257">
        <v>0</v>
      </c>
      <c r="E257">
        <v>0</v>
      </c>
      <c r="F257">
        <v>0</v>
      </c>
      <c r="G257">
        <v>0</v>
      </c>
      <c r="H257">
        <v>0</v>
      </c>
      <c r="I257">
        <v>0</v>
      </c>
      <c r="J257">
        <v>0</v>
      </c>
      <c r="K257">
        <v>0</v>
      </c>
      <c r="L257">
        <v>0</v>
      </c>
      <c r="M257">
        <v>0</v>
      </c>
      <c r="N257">
        <v>0</v>
      </c>
      <c r="O257">
        <v>0</v>
      </c>
      <c r="P257">
        <v>0.41570000000000001</v>
      </c>
      <c r="Q257">
        <v>0</v>
      </c>
      <c r="R257">
        <v>0</v>
      </c>
      <c r="S257">
        <v>0</v>
      </c>
      <c r="T257">
        <v>0</v>
      </c>
      <c r="U257">
        <v>0.24890000000000001</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row>
    <row r="258" spans="1:100" x14ac:dyDescent="0.3">
      <c r="A258" s="754">
        <v>9017</v>
      </c>
      <c r="B258" t="s">
        <v>958</v>
      </c>
      <c r="C258" t="s">
        <v>959</v>
      </c>
      <c r="D258">
        <v>0</v>
      </c>
      <c r="E258">
        <v>0</v>
      </c>
      <c r="F258">
        <v>0</v>
      </c>
      <c r="G258">
        <v>0</v>
      </c>
      <c r="H258">
        <v>0</v>
      </c>
      <c r="I258">
        <v>0</v>
      </c>
      <c r="J258">
        <v>0</v>
      </c>
      <c r="K258">
        <v>0</v>
      </c>
      <c r="L258">
        <v>0</v>
      </c>
      <c r="M258">
        <v>0</v>
      </c>
      <c r="N258">
        <v>0</v>
      </c>
      <c r="O258">
        <v>0</v>
      </c>
      <c r="P258">
        <v>8.74</v>
      </c>
      <c r="Q258">
        <v>0</v>
      </c>
      <c r="R258">
        <v>0</v>
      </c>
      <c r="S258">
        <v>0</v>
      </c>
      <c r="T258">
        <v>0</v>
      </c>
      <c r="U258">
        <v>3.52</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c r="AX258">
        <v>0</v>
      </c>
      <c r="AY258">
        <v>0</v>
      </c>
    </row>
    <row r="259" spans="1:100" x14ac:dyDescent="0.3">
      <c r="A259" s="754">
        <v>9018</v>
      </c>
      <c r="B259" t="s">
        <v>960</v>
      </c>
      <c r="C259" t="s">
        <v>961</v>
      </c>
      <c r="D259">
        <v>0</v>
      </c>
      <c r="E259">
        <v>0</v>
      </c>
      <c r="F259">
        <v>0</v>
      </c>
      <c r="G259">
        <v>0</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27170</v>
      </c>
      <c r="AL259">
        <v>0</v>
      </c>
      <c r="AM259">
        <v>0</v>
      </c>
      <c r="AN259">
        <v>0</v>
      </c>
      <c r="AO259">
        <v>0</v>
      </c>
      <c r="AP259">
        <v>0</v>
      </c>
      <c r="AQ259">
        <v>0</v>
      </c>
      <c r="AR259">
        <v>0</v>
      </c>
      <c r="AS259">
        <v>0</v>
      </c>
      <c r="AT259">
        <v>0</v>
      </c>
      <c r="AU259">
        <v>0</v>
      </c>
      <c r="AV259">
        <v>0</v>
      </c>
      <c r="AW259">
        <v>0</v>
      </c>
      <c r="AX259">
        <v>0</v>
      </c>
      <c r="AY259">
        <v>0</v>
      </c>
    </row>
    <row r="260" spans="1:100" x14ac:dyDescent="0.3">
      <c r="A260" s="754">
        <v>9019</v>
      </c>
      <c r="B260" t="s">
        <v>962</v>
      </c>
      <c r="C260" t="s">
        <v>963</v>
      </c>
      <c r="D260">
        <v>0</v>
      </c>
      <c r="E260">
        <v>0</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27170</v>
      </c>
      <c r="AL260">
        <v>0</v>
      </c>
      <c r="AM260">
        <v>0</v>
      </c>
      <c r="AN260">
        <v>0</v>
      </c>
      <c r="AO260">
        <v>0</v>
      </c>
      <c r="AP260">
        <v>0</v>
      </c>
      <c r="AQ260">
        <v>0</v>
      </c>
      <c r="AR260">
        <v>0</v>
      </c>
      <c r="AS260">
        <v>0</v>
      </c>
      <c r="AT260">
        <v>0</v>
      </c>
      <c r="AU260">
        <v>0</v>
      </c>
      <c r="AV260">
        <v>0</v>
      </c>
      <c r="AW260">
        <v>0</v>
      </c>
      <c r="AX260">
        <v>0</v>
      </c>
      <c r="AY260">
        <v>0</v>
      </c>
    </row>
    <row r="261" spans="1:100" s="787" customFormat="1" x14ac:dyDescent="0.3">
      <c r="A261" s="791" t="s">
        <v>1660</v>
      </c>
      <c r="B261" s="787" t="s">
        <v>1658</v>
      </c>
      <c r="C261" s="787" t="s">
        <v>1661</v>
      </c>
      <c r="D261" s="792">
        <f>1-((D122+D123+D124+D125)/(D114+D115+D116+D117))</f>
        <v>0.4083708611603063</v>
      </c>
      <c r="E261" s="792">
        <f t="shared" ref="E261:AY261" si="0">1-((E122+E123+E124+E125)/(E114+E115+E116+E117))</f>
        <v>0.61625505565469507</v>
      </c>
      <c r="F261" s="792">
        <f t="shared" si="0"/>
        <v>0.54072651317224496</v>
      </c>
      <c r="G261" s="792">
        <f t="shared" si="0"/>
        <v>0.74631760673488379</v>
      </c>
      <c r="H261" s="792">
        <f t="shared" si="0"/>
        <v>0.67554542898802994</v>
      </c>
      <c r="I261" s="792">
        <f t="shared" si="0"/>
        <v>0.49518065067051042</v>
      </c>
      <c r="J261" s="792">
        <f t="shared" si="0"/>
        <v>0.73122917559987677</v>
      </c>
      <c r="K261" s="792">
        <f t="shared" si="0"/>
        <v>0.5322677349627043</v>
      </c>
      <c r="L261" s="792" t="e">
        <f t="shared" si="0"/>
        <v>#DIV/0!</v>
      </c>
      <c r="M261" s="792">
        <f t="shared" si="0"/>
        <v>0.60407860235375499</v>
      </c>
      <c r="N261" s="792">
        <f t="shared" si="0"/>
        <v>0.58269679698959553</v>
      </c>
      <c r="O261" s="792">
        <f t="shared" si="0"/>
        <v>0.6684587058181104</v>
      </c>
      <c r="P261" s="792">
        <f t="shared" si="0"/>
        <v>0.59855437465850425</v>
      </c>
      <c r="Q261" s="792">
        <f t="shared" si="0"/>
        <v>0.38116180138053579</v>
      </c>
      <c r="R261" s="792">
        <f t="shared" si="0"/>
        <v>0.65000025103995207</v>
      </c>
      <c r="S261" s="792">
        <f t="shared" si="0"/>
        <v>0.61025722803087068</v>
      </c>
      <c r="T261" s="792">
        <f t="shared" si="0"/>
        <v>0.24069251018264248</v>
      </c>
      <c r="U261" s="792">
        <f t="shared" si="0"/>
        <v>0.54922734582943489</v>
      </c>
      <c r="V261" s="792">
        <f t="shared" si="0"/>
        <v>0.68389810968197673</v>
      </c>
      <c r="W261" s="792">
        <f t="shared" si="0"/>
        <v>0.36377589216525708</v>
      </c>
      <c r="X261" s="792">
        <f t="shared" si="0"/>
        <v>0.78743162843703352</v>
      </c>
      <c r="Y261" s="792">
        <f t="shared" si="0"/>
        <v>0.55665559994666847</v>
      </c>
      <c r="Z261" s="792">
        <f t="shared" si="0"/>
        <v>0.40159921758385275</v>
      </c>
      <c r="AA261" s="792">
        <f t="shared" si="0"/>
        <v>0.74548339678355047</v>
      </c>
      <c r="AB261" s="792">
        <f t="shared" si="0"/>
        <v>0.40179029444268921</v>
      </c>
      <c r="AC261" s="792">
        <f t="shared" si="0"/>
        <v>0.66828832592187903</v>
      </c>
      <c r="AD261" s="792">
        <f t="shared" si="0"/>
        <v>0.63950200002723845</v>
      </c>
      <c r="AE261" s="792">
        <f t="shared" si="0"/>
        <v>0.26698030338976331</v>
      </c>
      <c r="AF261" s="792">
        <f t="shared" si="0"/>
        <v>0.60650938799268461</v>
      </c>
      <c r="AG261" s="792">
        <f t="shared" si="0"/>
        <v>0.57638423536899097</v>
      </c>
      <c r="AH261" s="792">
        <f t="shared" si="0"/>
        <v>0.62137291613372758</v>
      </c>
      <c r="AI261" s="792">
        <f t="shared" si="0"/>
        <v>0.48283345991979787</v>
      </c>
      <c r="AJ261" s="792">
        <f t="shared" si="0"/>
        <v>0.67664042993843099</v>
      </c>
      <c r="AK261" s="792">
        <f t="shared" si="0"/>
        <v>0.35477869327691114</v>
      </c>
      <c r="AL261" s="792">
        <f t="shared" si="0"/>
        <v>0.76237122459832019</v>
      </c>
      <c r="AM261" s="792">
        <f t="shared" si="0"/>
        <v>0.5050846475837556</v>
      </c>
      <c r="AN261" s="792">
        <f t="shared" si="0"/>
        <v>0.64019285168092743</v>
      </c>
      <c r="AO261" s="792">
        <f t="shared" si="0"/>
        <v>0.44361093303779198</v>
      </c>
      <c r="AP261" s="792">
        <f t="shared" si="0"/>
        <v>0.49905714747365448</v>
      </c>
      <c r="AQ261" s="792">
        <f t="shared" si="0"/>
        <v>0.76233376136455622</v>
      </c>
      <c r="AR261" s="792">
        <f t="shared" si="0"/>
        <v>0.56622716967178821</v>
      </c>
      <c r="AS261" s="792" t="e">
        <f t="shared" si="0"/>
        <v>#DIV/0!</v>
      </c>
      <c r="AT261" s="792">
        <f t="shared" si="0"/>
        <v>0.5422937551000766</v>
      </c>
      <c r="AU261" s="792">
        <f t="shared" si="0"/>
        <v>0.91851727236211456</v>
      </c>
      <c r="AV261" s="792" t="e">
        <f t="shared" si="0"/>
        <v>#DIV/0!</v>
      </c>
      <c r="AW261" s="792">
        <f t="shared" si="0"/>
        <v>1</v>
      </c>
      <c r="AX261" s="792">
        <f t="shared" si="0"/>
        <v>0.58557258805225965</v>
      </c>
      <c r="AY261" s="792">
        <f t="shared" si="0"/>
        <v>0.61544877731783365</v>
      </c>
    </row>
    <row r="262" spans="1:100" x14ac:dyDescent="0.3">
      <c r="B262"/>
    </row>
    <row r="263" spans="1:100" x14ac:dyDescent="0.3">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c r="AB263" s="173"/>
      <c r="AC263" s="173"/>
      <c r="AD263" s="173"/>
      <c r="AE263" s="173"/>
      <c r="AF263" s="173"/>
      <c r="AG263" s="173"/>
      <c r="AH263" s="173"/>
      <c r="AI263" s="173"/>
      <c r="AJ263" s="173"/>
      <c r="AK263" s="173"/>
      <c r="AL263" s="173"/>
      <c r="AM263" s="173"/>
      <c r="AN263" s="173"/>
      <c r="AO263" s="173"/>
      <c r="AP263" s="173"/>
      <c r="AQ263" s="173"/>
      <c r="AR263" s="173"/>
      <c r="AS263" s="173"/>
      <c r="AT263" s="173"/>
      <c r="AU263" s="173"/>
      <c r="AV263" s="173"/>
      <c r="AW263" s="173"/>
      <c r="AX263" s="173"/>
      <c r="AY263" s="173"/>
      <c r="BB263" s="173"/>
      <c r="BC263" s="173"/>
      <c r="BD263" s="173"/>
      <c r="BE263" s="173"/>
      <c r="BF263" s="173"/>
      <c r="BG263" s="173"/>
      <c r="BH263" s="173"/>
      <c r="BI263" s="173"/>
      <c r="BJ263" s="173"/>
      <c r="BK263" s="173"/>
      <c r="BL263" s="173"/>
      <c r="BM263" s="173"/>
      <c r="BN263" s="173"/>
      <c r="BO263" s="173"/>
      <c r="BP263" s="173"/>
      <c r="BQ263" s="173"/>
      <c r="BR263" s="173"/>
      <c r="BS263" s="173"/>
      <c r="BT263" s="173"/>
      <c r="BU263" s="173"/>
      <c r="BV263" s="173"/>
      <c r="BW263" s="173"/>
      <c r="BX263" s="173"/>
      <c r="BY263" s="173"/>
      <c r="BZ263" s="173"/>
      <c r="CA263" s="173"/>
      <c r="CB263" s="173"/>
      <c r="CC263" s="173"/>
      <c r="CD263" s="173"/>
      <c r="CE263" s="173"/>
      <c r="CF263" s="173"/>
      <c r="CG263" s="173"/>
      <c r="CH263" s="173"/>
      <c r="CI263" s="173"/>
      <c r="CJ263" s="173"/>
      <c r="CK263" s="173"/>
      <c r="CL263" s="173"/>
      <c r="CM263" s="173"/>
      <c r="CN263" s="173"/>
      <c r="CO263" s="173"/>
      <c r="CP263" s="173"/>
      <c r="CQ263" s="173"/>
      <c r="CR263" s="173"/>
      <c r="CS263" s="173"/>
      <c r="CT263" s="173"/>
      <c r="CU263" s="173"/>
      <c r="CV263" s="173"/>
    </row>
    <row r="264" spans="1:100" x14ac:dyDescent="0.3">
      <c r="C264" s="173" t="s">
        <v>967</v>
      </c>
      <c r="D264" s="173">
        <f>D242</f>
        <v>96085419.010000005</v>
      </c>
      <c r="E264" s="173">
        <f t="shared" ref="E264:AY264" si="1">E242</f>
        <v>163637212.00999999</v>
      </c>
      <c r="F264" s="173">
        <f t="shared" si="1"/>
        <v>275268610.00999999</v>
      </c>
      <c r="G264" s="173">
        <f t="shared" si="1"/>
        <v>980759670.00999999</v>
      </c>
      <c r="H264" s="173">
        <f t="shared" si="1"/>
        <v>2998414945.0100002</v>
      </c>
      <c r="I264" s="173">
        <f t="shared" si="1"/>
        <v>1460267421.01</v>
      </c>
      <c r="J264" s="173">
        <f t="shared" si="1"/>
        <v>4668611273.0100002</v>
      </c>
      <c r="K264" s="173">
        <f t="shared" si="1"/>
        <v>388687744.47000003</v>
      </c>
      <c r="L264" s="173">
        <f t="shared" si="1"/>
        <v>591663.01</v>
      </c>
      <c r="M264" s="173">
        <f t="shared" si="1"/>
        <v>198314042.00999999</v>
      </c>
      <c r="N264" s="173">
        <f t="shared" si="1"/>
        <v>195403522.00999999</v>
      </c>
      <c r="O264" s="173">
        <f t="shared" si="1"/>
        <v>16759682.01</v>
      </c>
      <c r="P264" s="173">
        <f t="shared" si="1"/>
        <v>10368969568.1</v>
      </c>
      <c r="Q264" s="173">
        <f t="shared" si="1"/>
        <v>37495356.009999998</v>
      </c>
      <c r="R264" s="173">
        <f t="shared" si="1"/>
        <v>28773245.010000002</v>
      </c>
      <c r="S264" s="173">
        <f t="shared" si="1"/>
        <v>153523169.00999999</v>
      </c>
      <c r="T264" s="173">
        <f t="shared" si="1"/>
        <v>23567692.010000002</v>
      </c>
      <c r="U264" s="173">
        <f t="shared" si="1"/>
        <v>4586850044.4799995</v>
      </c>
      <c r="V264" s="173">
        <f t="shared" si="1"/>
        <v>137084900.00999999</v>
      </c>
      <c r="W264" s="173">
        <f t="shared" si="1"/>
        <v>18017254.010000002</v>
      </c>
      <c r="X264" s="173">
        <f t="shared" si="1"/>
        <v>124721662.34</v>
      </c>
      <c r="Y264" s="173">
        <f t="shared" si="1"/>
        <v>272930433.00999999</v>
      </c>
      <c r="Z264" s="173">
        <f t="shared" si="1"/>
        <v>60002573.009999998</v>
      </c>
      <c r="AA264" s="173">
        <f t="shared" si="1"/>
        <v>117951254.01000001</v>
      </c>
      <c r="AB264" s="173">
        <f t="shared" si="1"/>
        <v>21336747.010000002</v>
      </c>
      <c r="AC264" s="173">
        <f t="shared" si="1"/>
        <v>615205605.00999999</v>
      </c>
      <c r="AD264" s="173">
        <f t="shared" si="1"/>
        <v>81948536.010000005</v>
      </c>
      <c r="AE264" s="173">
        <f t="shared" si="1"/>
        <v>39296769.009999998</v>
      </c>
      <c r="AF264" s="173">
        <f t="shared" si="1"/>
        <v>1399602572.01</v>
      </c>
      <c r="AG264" s="173">
        <f t="shared" si="1"/>
        <v>2095065087.01</v>
      </c>
      <c r="AH264" s="173">
        <f t="shared" si="1"/>
        <v>595110845.00999999</v>
      </c>
      <c r="AI264" s="173">
        <f t="shared" si="1"/>
        <v>364980391.00999999</v>
      </c>
      <c r="AJ264" s="173">
        <f t="shared" si="1"/>
        <v>32719965.010000002</v>
      </c>
      <c r="AK264" s="173">
        <f t="shared" si="1"/>
        <v>19311069.197000001</v>
      </c>
      <c r="AL264" s="173">
        <f t="shared" si="1"/>
        <v>551640407.00999999</v>
      </c>
      <c r="AM264" s="173">
        <f t="shared" si="1"/>
        <v>95947351.010000005</v>
      </c>
      <c r="AN264" s="173">
        <f t="shared" si="1"/>
        <v>194417847.00999999</v>
      </c>
      <c r="AO264" s="173">
        <f t="shared" si="1"/>
        <v>47326099.009999998</v>
      </c>
      <c r="AP264" s="173">
        <f t="shared" si="1"/>
        <v>44449025.009999998</v>
      </c>
      <c r="AQ264" s="173">
        <f t="shared" si="1"/>
        <v>59945197.009999998</v>
      </c>
      <c r="AR264" s="173">
        <f t="shared" si="1"/>
        <v>8741806.0099999998</v>
      </c>
      <c r="AS264" s="173">
        <f t="shared" si="1"/>
        <v>591692.01</v>
      </c>
      <c r="AT264" s="173">
        <f t="shared" si="1"/>
        <v>319094837.00999999</v>
      </c>
      <c r="AU264" s="173">
        <f t="shared" si="1"/>
        <v>35208713.009999998</v>
      </c>
      <c r="AV264" s="173">
        <f t="shared" si="1"/>
        <v>591686.01</v>
      </c>
      <c r="AW264" s="173">
        <f t="shared" si="1"/>
        <v>1885236.01</v>
      </c>
      <c r="AX264" s="173">
        <f t="shared" si="1"/>
        <v>72133117.010000005</v>
      </c>
      <c r="AY264" s="173">
        <f t="shared" si="1"/>
        <v>168615944.00999999</v>
      </c>
      <c r="BB264" s="173"/>
      <c r="BC264" s="173"/>
      <c r="BD264" s="173"/>
      <c r="BE264" s="173"/>
      <c r="BF264" s="173"/>
      <c r="BG264" s="173"/>
      <c r="BH264" s="173"/>
      <c r="BI264" s="173"/>
      <c r="BJ264" s="173"/>
      <c r="BK264" s="173"/>
      <c r="BL264" s="173"/>
      <c r="BM264" s="173"/>
      <c r="BN264" s="173"/>
      <c r="BO264" s="173"/>
      <c r="BP264" s="173"/>
      <c r="BQ264" s="173"/>
      <c r="BR264" s="173"/>
      <c r="BS264" s="173"/>
      <c r="BT264" s="173"/>
      <c r="BU264" s="173"/>
      <c r="BV264" s="173"/>
      <c r="BW264" s="173"/>
      <c r="BX264" s="173"/>
      <c r="BY264" s="173"/>
      <c r="BZ264" s="173"/>
      <c r="CA264" s="173"/>
      <c r="CB264" s="173"/>
      <c r="CC264" s="173"/>
      <c r="CD264" s="173"/>
      <c r="CE264" s="173"/>
      <c r="CF264" s="173"/>
      <c r="CG264" s="173"/>
      <c r="CH264" s="173"/>
      <c r="CI264" s="173"/>
      <c r="CJ264" s="173"/>
      <c r="CK264" s="173"/>
      <c r="CL264" s="173"/>
      <c r="CM264" s="173"/>
      <c r="CN264" s="173"/>
      <c r="CO264" s="173"/>
      <c r="CP264" s="173"/>
      <c r="CQ264" s="173"/>
      <c r="CR264" s="173"/>
      <c r="CS264" s="173"/>
      <c r="CT264" s="173"/>
      <c r="CU264" s="173"/>
      <c r="CV264" s="173"/>
    </row>
    <row r="265" spans="1:100" x14ac:dyDescent="0.3">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c r="AB265" s="173"/>
      <c r="AC265" s="173"/>
      <c r="AD265" s="173"/>
      <c r="AE265" s="173"/>
      <c r="AF265" s="173"/>
      <c r="AG265" s="173"/>
      <c r="AH265" s="173"/>
      <c r="AI265" s="173"/>
      <c r="AJ265" s="173"/>
      <c r="AK265" s="173"/>
      <c r="AL265" s="173"/>
      <c r="AM265" s="173"/>
      <c r="AN265" s="173"/>
      <c r="AO265" s="173"/>
      <c r="AP265" s="173"/>
      <c r="AQ265" s="173"/>
      <c r="AR265" s="173"/>
      <c r="AS265" s="173"/>
      <c r="AT265" s="173"/>
      <c r="AU265" s="173"/>
      <c r="AV265" s="173"/>
      <c r="AW265" s="173"/>
      <c r="AX265" s="173"/>
      <c r="AY265" s="173"/>
      <c r="BB265" s="173"/>
      <c r="BC265" s="173"/>
      <c r="BD265" s="173"/>
      <c r="BE265" s="173"/>
      <c r="BF265" s="173"/>
      <c r="BG265" s="173"/>
      <c r="BH265" s="173"/>
      <c r="BI265" s="173"/>
      <c r="BJ265" s="173"/>
      <c r="BK265" s="173"/>
      <c r="BL265" s="173"/>
      <c r="BM265" s="173"/>
      <c r="BN265" s="173"/>
      <c r="BO265" s="173"/>
      <c r="BP265" s="173"/>
      <c r="BQ265" s="173"/>
      <c r="BR265" s="173"/>
      <c r="BS265" s="173"/>
      <c r="BT265" s="173"/>
      <c r="BU265" s="173"/>
      <c r="BV265" s="173"/>
      <c r="BW265" s="173"/>
      <c r="BX265" s="173"/>
      <c r="BY265" s="173"/>
      <c r="BZ265" s="173"/>
      <c r="CA265" s="173"/>
      <c r="CB265" s="173"/>
      <c r="CC265" s="173"/>
      <c r="CD265" s="173"/>
      <c r="CE265" s="173"/>
      <c r="CF265" s="173"/>
      <c r="CG265" s="173"/>
      <c r="CH265" s="173"/>
      <c r="CI265" s="173"/>
      <c r="CJ265" s="173"/>
      <c r="CK265" s="173"/>
      <c r="CL265" s="173"/>
      <c r="CM265" s="173"/>
      <c r="CN265" s="173"/>
      <c r="CO265" s="173"/>
      <c r="CP265" s="173"/>
      <c r="CQ265" s="173"/>
      <c r="CR265" s="173"/>
      <c r="CS265" s="173"/>
      <c r="CT265" s="173"/>
      <c r="CU265" s="173"/>
      <c r="CV265" s="173"/>
    </row>
    <row r="266" spans="1:100" x14ac:dyDescent="0.3">
      <c r="B266" s="149">
        <v>0</v>
      </c>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c r="AB266" s="173"/>
      <c r="AC266" s="173"/>
      <c r="AD266" s="173"/>
      <c r="AE266" s="173"/>
      <c r="AF266" s="173"/>
      <c r="AG266" s="173"/>
      <c r="AH266" s="173"/>
      <c r="AI266" s="173"/>
      <c r="AJ266" s="173"/>
      <c r="AK266" s="173"/>
      <c r="AL266" s="173"/>
      <c r="AM266" s="173"/>
      <c r="AN266" s="173"/>
      <c r="AO266" s="173"/>
      <c r="AP266" s="173"/>
      <c r="AQ266" s="173"/>
      <c r="AR266" s="173"/>
      <c r="AS266" s="173"/>
      <c r="AT266" s="173"/>
      <c r="AU266" s="173"/>
      <c r="AV266" s="173"/>
      <c r="AW266" s="173"/>
      <c r="AX266" s="173"/>
      <c r="AY266" s="173"/>
      <c r="BB266" s="173"/>
      <c r="BC266" s="173"/>
      <c r="BD266" s="173"/>
      <c r="BE266" s="173"/>
      <c r="BF266" s="173"/>
      <c r="BG266" s="173"/>
      <c r="BH266" s="173"/>
      <c r="BI266" s="173"/>
      <c r="BJ266" s="173"/>
      <c r="BK266" s="173"/>
      <c r="BL266" s="173"/>
      <c r="BM266" s="173"/>
      <c r="BN266" s="173"/>
      <c r="BO266" s="173"/>
      <c r="BP266" s="173"/>
      <c r="BQ266" s="173"/>
      <c r="BR266" s="173"/>
      <c r="BS266" s="173"/>
      <c r="BT266" s="173"/>
      <c r="BU266" s="173"/>
      <c r="BV266" s="173"/>
      <c r="BW266" s="173"/>
      <c r="BX266" s="173"/>
      <c r="BY266" s="173"/>
      <c r="BZ266" s="173"/>
      <c r="CA266" s="173"/>
      <c r="CB266" s="173"/>
      <c r="CC266" s="173"/>
      <c r="CD266" s="173"/>
      <c r="CE266" s="173"/>
      <c r="CF266" s="173"/>
      <c r="CG266" s="173"/>
      <c r="CH266" s="173"/>
      <c r="CI266" s="173"/>
      <c r="CJ266" s="173"/>
      <c r="CK266" s="173"/>
      <c r="CL266" s="173"/>
      <c r="CM266" s="173"/>
      <c r="CN266" s="173"/>
      <c r="CO266" s="173"/>
      <c r="CP266" s="173"/>
      <c r="CQ266" s="173"/>
      <c r="CR266" s="173"/>
      <c r="CS266" s="173"/>
      <c r="CT266" s="173"/>
      <c r="CU266" s="173"/>
      <c r="CV266" s="173"/>
    </row>
    <row r="267" spans="1:100" x14ac:dyDescent="0.3">
      <c r="C267" s="173" t="s">
        <v>966</v>
      </c>
      <c r="D267" s="173" t="s">
        <v>327</v>
      </c>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c r="AB267" s="173"/>
      <c r="AC267" s="173"/>
      <c r="AD267" s="173"/>
      <c r="AE267" s="173"/>
      <c r="AF267" s="173"/>
      <c r="AG267" s="173"/>
      <c r="AH267" s="173"/>
      <c r="AI267" s="173"/>
      <c r="AJ267" s="173"/>
      <c r="AK267" s="173"/>
      <c r="AL267" s="173"/>
      <c r="AM267" s="173"/>
      <c r="AN267" s="173"/>
      <c r="AO267" s="173"/>
      <c r="AP267" s="173"/>
      <c r="AQ267" s="173"/>
      <c r="AR267" s="173"/>
      <c r="AS267" s="173"/>
      <c r="AT267" s="173"/>
      <c r="AU267" s="173"/>
      <c r="AV267" s="173"/>
      <c r="AW267" s="173"/>
      <c r="AX267" s="173"/>
      <c r="AY267" s="173"/>
      <c r="BB267" s="173"/>
      <c r="BC267" s="173"/>
      <c r="BD267" s="173"/>
      <c r="BE267" s="173"/>
      <c r="BF267" s="173"/>
      <c r="BG267" s="173"/>
      <c r="BH267" s="173"/>
      <c r="BI267" s="173"/>
      <c r="BJ267" s="173"/>
      <c r="BK267" s="173"/>
      <c r="BL267" s="173"/>
      <c r="BM267" s="173"/>
      <c r="BN267" s="173"/>
      <c r="BO267" s="173"/>
      <c r="BP267" s="173"/>
      <c r="BQ267" s="173"/>
      <c r="BR267" s="173"/>
      <c r="BS267" s="173"/>
      <c r="BT267" s="173"/>
      <c r="BU267" s="173"/>
      <c r="BV267" s="173"/>
      <c r="BW267" s="173"/>
      <c r="BX267" s="173"/>
      <c r="BY267" s="173"/>
      <c r="BZ267" s="173"/>
      <c r="CA267" s="173"/>
      <c r="CB267" s="173"/>
      <c r="CC267" s="173"/>
      <c r="CD267" s="173"/>
      <c r="CE267" s="173"/>
      <c r="CF267" s="173"/>
      <c r="CG267" s="173"/>
      <c r="CH267" s="173"/>
      <c r="CI267" s="173"/>
      <c r="CJ267" s="173"/>
      <c r="CK267" s="173"/>
      <c r="CL267" s="173"/>
      <c r="CM267" s="173"/>
      <c r="CN267" s="173"/>
      <c r="CO267" s="173"/>
      <c r="CP267" s="173"/>
      <c r="CQ267" s="173"/>
      <c r="CR267" s="173"/>
      <c r="CS267" s="173"/>
      <c r="CT267" s="173"/>
      <c r="CU267" s="173"/>
      <c r="CV267" s="173"/>
    </row>
    <row r="268" spans="1:100" s="562" customFormat="1" x14ac:dyDescent="0.3">
      <c r="A268" s="784"/>
      <c r="B268" s="555">
        <v>906</v>
      </c>
      <c r="C268" s="173"/>
      <c r="D268" s="562">
        <f>D199</f>
        <v>1</v>
      </c>
      <c r="E268" s="562">
        <f t="shared" ref="E268:AY268" si="2">E199</f>
        <v>1</v>
      </c>
      <c r="F268" s="562">
        <f t="shared" si="2"/>
        <v>1</v>
      </c>
      <c r="G268" s="562">
        <f t="shared" si="2"/>
        <v>1</v>
      </c>
      <c r="H268" s="562">
        <f t="shared" si="2"/>
        <v>1</v>
      </c>
      <c r="I268" s="562">
        <f t="shared" si="2"/>
        <v>1</v>
      </c>
      <c r="J268" s="562">
        <f t="shared" si="2"/>
        <v>1</v>
      </c>
      <c r="K268" s="562">
        <f t="shared" si="2"/>
        <v>1</v>
      </c>
      <c r="L268" s="562">
        <f t="shared" si="2"/>
        <v>0</v>
      </c>
      <c r="M268" s="562">
        <f t="shared" si="2"/>
        <v>1</v>
      </c>
      <c r="N268" s="562">
        <f t="shared" si="2"/>
        <v>1</v>
      </c>
      <c r="O268" s="562">
        <f t="shared" si="2"/>
        <v>1</v>
      </c>
      <c r="P268" s="562">
        <f t="shared" si="2"/>
        <v>1</v>
      </c>
      <c r="Q268" s="562">
        <f t="shared" si="2"/>
        <v>1</v>
      </c>
      <c r="R268" s="562">
        <f t="shared" si="2"/>
        <v>1</v>
      </c>
      <c r="S268" s="562">
        <f t="shared" si="2"/>
        <v>1</v>
      </c>
      <c r="T268" s="562">
        <f t="shared" si="2"/>
        <v>1</v>
      </c>
      <c r="U268" s="562">
        <f t="shared" si="2"/>
        <v>1</v>
      </c>
      <c r="V268" s="562">
        <f t="shared" si="2"/>
        <v>1</v>
      </c>
      <c r="W268" s="562">
        <f t="shared" si="2"/>
        <v>1</v>
      </c>
      <c r="X268" s="562">
        <f t="shared" si="2"/>
        <v>1</v>
      </c>
      <c r="Y268" s="562">
        <f t="shared" si="2"/>
        <v>1</v>
      </c>
      <c r="Z268" s="562">
        <f t="shared" si="2"/>
        <v>1</v>
      </c>
      <c r="AA268" s="562">
        <f t="shared" si="2"/>
        <v>1</v>
      </c>
      <c r="AB268" s="562">
        <f t="shared" si="2"/>
        <v>1</v>
      </c>
      <c r="AC268" s="562">
        <f t="shared" si="2"/>
        <v>1</v>
      </c>
      <c r="AD268" s="562">
        <f t="shared" si="2"/>
        <v>1</v>
      </c>
      <c r="AE268" s="562">
        <f t="shared" si="2"/>
        <v>1</v>
      </c>
      <c r="AF268" s="562">
        <f t="shared" si="2"/>
        <v>1</v>
      </c>
      <c r="AG268" s="562">
        <f t="shared" si="2"/>
        <v>1</v>
      </c>
      <c r="AH268" s="562">
        <f t="shared" si="2"/>
        <v>1</v>
      </c>
      <c r="AI268" s="562">
        <f t="shared" si="2"/>
        <v>1</v>
      </c>
      <c r="AJ268" s="562">
        <f t="shared" si="2"/>
        <v>1</v>
      </c>
      <c r="AK268" s="562">
        <f t="shared" si="2"/>
        <v>1</v>
      </c>
      <c r="AL268" s="562">
        <f t="shared" si="2"/>
        <v>1</v>
      </c>
      <c r="AM268" s="562">
        <f t="shared" si="2"/>
        <v>1</v>
      </c>
      <c r="AN268" s="562">
        <f t="shared" si="2"/>
        <v>1</v>
      </c>
      <c r="AO268" s="562">
        <f t="shared" si="2"/>
        <v>1</v>
      </c>
      <c r="AP268" s="562">
        <f t="shared" si="2"/>
        <v>1</v>
      </c>
      <c r="AQ268" s="562">
        <f t="shared" si="2"/>
        <v>1</v>
      </c>
      <c r="AR268" s="562">
        <f t="shared" si="2"/>
        <v>1</v>
      </c>
      <c r="AS268" s="562">
        <f t="shared" si="2"/>
        <v>0</v>
      </c>
      <c r="AT268" s="562">
        <f t="shared" si="2"/>
        <v>1</v>
      </c>
      <c r="AU268" s="562">
        <f t="shared" si="2"/>
        <v>1</v>
      </c>
      <c r="AV268" s="562">
        <f t="shared" si="2"/>
        <v>0</v>
      </c>
      <c r="AW268" s="562">
        <f t="shared" si="2"/>
        <v>1</v>
      </c>
      <c r="AX268" s="562">
        <f t="shared" si="2"/>
        <v>1</v>
      </c>
      <c r="AY268" s="562">
        <f t="shared" si="2"/>
        <v>1</v>
      </c>
      <c r="AZ268"/>
      <c r="BA268"/>
    </row>
    <row r="269" spans="1:100" s="562" customFormat="1" x14ac:dyDescent="0.3">
      <c r="A269" s="784"/>
      <c r="B269" s="555">
        <v>907</v>
      </c>
      <c r="C269" s="173"/>
      <c r="D269" s="562">
        <f>D200</f>
        <v>1</v>
      </c>
      <c r="E269" s="562">
        <f t="shared" ref="E269:AY269" si="3">E200</f>
        <v>2</v>
      </c>
      <c r="F269" s="562">
        <f t="shared" si="3"/>
        <v>2</v>
      </c>
      <c r="G269" s="562">
        <f t="shared" si="3"/>
        <v>2</v>
      </c>
      <c r="H269" s="562">
        <f t="shared" si="3"/>
        <v>2</v>
      </c>
      <c r="I269" s="562">
        <f t="shared" si="3"/>
        <v>2</v>
      </c>
      <c r="J269" s="562">
        <f t="shared" si="3"/>
        <v>2</v>
      </c>
      <c r="K269" s="562">
        <f t="shared" si="3"/>
        <v>2</v>
      </c>
      <c r="L269" s="562">
        <f t="shared" si="3"/>
        <v>0</v>
      </c>
      <c r="M269" s="562">
        <f t="shared" si="3"/>
        <v>1</v>
      </c>
      <c r="N269" s="562">
        <f t="shared" si="3"/>
        <v>2</v>
      </c>
      <c r="O269" s="562">
        <f t="shared" si="3"/>
        <v>1</v>
      </c>
      <c r="P269" s="562">
        <f t="shared" si="3"/>
        <v>2</v>
      </c>
      <c r="Q269" s="562">
        <f t="shared" si="3"/>
        <v>2</v>
      </c>
      <c r="R269" s="562">
        <f t="shared" si="3"/>
        <v>2</v>
      </c>
      <c r="S269" s="562">
        <f t="shared" si="3"/>
        <v>2</v>
      </c>
      <c r="T269" s="562">
        <f t="shared" si="3"/>
        <v>2</v>
      </c>
      <c r="U269" s="562">
        <f t="shared" si="3"/>
        <v>2</v>
      </c>
      <c r="V269" s="562">
        <f t="shared" si="3"/>
        <v>1</v>
      </c>
      <c r="W269" s="562">
        <f t="shared" si="3"/>
        <v>2</v>
      </c>
      <c r="X269" s="562">
        <f t="shared" si="3"/>
        <v>2</v>
      </c>
      <c r="Y269" s="562">
        <f t="shared" si="3"/>
        <v>2</v>
      </c>
      <c r="Z269" s="562">
        <f t="shared" si="3"/>
        <v>2</v>
      </c>
      <c r="AA269" s="562">
        <f t="shared" si="3"/>
        <v>2</v>
      </c>
      <c r="AB269" s="562">
        <f t="shared" si="3"/>
        <v>1</v>
      </c>
      <c r="AC269" s="562">
        <f t="shared" si="3"/>
        <v>2</v>
      </c>
      <c r="AD269" s="562">
        <f t="shared" si="3"/>
        <v>2</v>
      </c>
      <c r="AE269" s="562">
        <f t="shared" si="3"/>
        <v>2</v>
      </c>
      <c r="AF269" s="562">
        <f t="shared" si="3"/>
        <v>2</v>
      </c>
      <c r="AG269" s="562">
        <f t="shared" si="3"/>
        <v>2</v>
      </c>
      <c r="AH269" s="562">
        <f t="shared" si="3"/>
        <v>2</v>
      </c>
      <c r="AI269" s="562">
        <f t="shared" si="3"/>
        <v>2</v>
      </c>
      <c r="AJ269" s="562">
        <f t="shared" si="3"/>
        <v>2</v>
      </c>
      <c r="AK269" s="562">
        <f t="shared" si="3"/>
        <v>2</v>
      </c>
      <c r="AL269" s="562">
        <f t="shared" si="3"/>
        <v>2</v>
      </c>
      <c r="AM269" s="562">
        <f t="shared" si="3"/>
        <v>1</v>
      </c>
      <c r="AN269" s="562">
        <f t="shared" si="3"/>
        <v>2</v>
      </c>
      <c r="AO269" s="562">
        <f t="shared" si="3"/>
        <v>2</v>
      </c>
      <c r="AP269" s="562">
        <f t="shared" si="3"/>
        <v>2</v>
      </c>
      <c r="AQ269" s="562">
        <f t="shared" si="3"/>
        <v>2</v>
      </c>
      <c r="AR269" s="562">
        <f t="shared" si="3"/>
        <v>2</v>
      </c>
      <c r="AS269" s="562">
        <f t="shared" si="3"/>
        <v>0</v>
      </c>
      <c r="AT269" s="562">
        <f t="shared" si="3"/>
        <v>2</v>
      </c>
      <c r="AU269" s="562">
        <f t="shared" si="3"/>
        <v>2</v>
      </c>
      <c r="AV269" s="562">
        <f t="shared" si="3"/>
        <v>0</v>
      </c>
      <c r="AW269" s="562">
        <f t="shared" si="3"/>
        <v>1</v>
      </c>
      <c r="AX269" s="562">
        <f t="shared" si="3"/>
        <v>2</v>
      </c>
      <c r="AY269" s="562">
        <f t="shared" si="3"/>
        <v>2</v>
      </c>
      <c r="AZ269"/>
      <c r="BA269"/>
    </row>
    <row r="270" spans="1:100" s="562" customFormat="1" x14ac:dyDescent="0.3">
      <c r="A270" s="784"/>
      <c r="B270" s="555">
        <v>951</v>
      </c>
      <c r="C270" s="173"/>
      <c r="D270" s="562">
        <f>D205</f>
        <v>2</v>
      </c>
      <c r="E270" s="562">
        <f t="shared" ref="E270:AY270" si="4">E205</f>
        <v>2</v>
      </c>
      <c r="F270" s="562">
        <f t="shared" si="4"/>
        <v>2</v>
      </c>
      <c r="G270" s="562">
        <f t="shared" si="4"/>
        <v>2</v>
      </c>
      <c r="H270" s="562">
        <f t="shared" si="4"/>
        <v>2</v>
      </c>
      <c r="I270" s="562">
        <f t="shared" si="4"/>
        <v>2</v>
      </c>
      <c r="J270" s="562">
        <f t="shared" si="4"/>
        <v>2</v>
      </c>
      <c r="K270" s="562">
        <f t="shared" si="4"/>
        <v>2</v>
      </c>
      <c r="L270" s="562">
        <f t="shared" si="4"/>
        <v>0</v>
      </c>
      <c r="M270" s="562">
        <f t="shared" si="4"/>
        <v>2</v>
      </c>
      <c r="N270" s="562">
        <f t="shared" si="4"/>
        <v>2</v>
      </c>
      <c r="O270" s="562">
        <f t="shared" si="4"/>
        <v>1</v>
      </c>
      <c r="P270" s="562">
        <f t="shared" si="4"/>
        <v>2</v>
      </c>
      <c r="Q270" s="562">
        <f t="shared" si="4"/>
        <v>2</v>
      </c>
      <c r="R270" s="562">
        <f t="shared" si="4"/>
        <v>2</v>
      </c>
      <c r="S270" s="562">
        <f t="shared" si="4"/>
        <v>2</v>
      </c>
      <c r="T270" s="562">
        <f t="shared" si="4"/>
        <v>2</v>
      </c>
      <c r="U270" s="562">
        <f t="shared" si="4"/>
        <v>2</v>
      </c>
      <c r="V270" s="562">
        <f t="shared" si="4"/>
        <v>2</v>
      </c>
      <c r="W270" s="562">
        <f t="shared" si="4"/>
        <v>2</v>
      </c>
      <c r="X270" s="562">
        <f t="shared" si="4"/>
        <v>2</v>
      </c>
      <c r="Y270" s="562">
        <f t="shared" si="4"/>
        <v>2</v>
      </c>
      <c r="Z270" s="562">
        <f t="shared" si="4"/>
        <v>2</v>
      </c>
      <c r="AA270" s="562">
        <f t="shared" si="4"/>
        <v>2</v>
      </c>
      <c r="AB270" s="562">
        <f t="shared" si="4"/>
        <v>2</v>
      </c>
      <c r="AC270" s="562">
        <f t="shared" si="4"/>
        <v>2</v>
      </c>
      <c r="AD270" s="562">
        <f t="shared" si="4"/>
        <v>2</v>
      </c>
      <c r="AE270" s="562">
        <f t="shared" si="4"/>
        <v>2</v>
      </c>
      <c r="AF270" s="562">
        <f t="shared" si="4"/>
        <v>2</v>
      </c>
      <c r="AG270" s="562">
        <f t="shared" si="4"/>
        <v>2</v>
      </c>
      <c r="AH270" s="562">
        <f t="shared" si="4"/>
        <v>2</v>
      </c>
      <c r="AI270" s="562">
        <f t="shared" si="4"/>
        <v>2</v>
      </c>
      <c r="AJ270" s="562">
        <f t="shared" si="4"/>
        <v>2</v>
      </c>
      <c r="AK270" s="562">
        <f t="shared" si="4"/>
        <v>2</v>
      </c>
      <c r="AL270" s="562">
        <f t="shared" si="4"/>
        <v>2</v>
      </c>
      <c r="AM270" s="562">
        <f t="shared" si="4"/>
        <v>2</v>
      </c>
      <c r="AN270" s="562">
        <f t="shared" si="4"/>
        <v>2</v>
      </c>
      <c r="AO270" s="562">
        <f t="shared" si="4"/>
        <v>2</v>
      </c>
      <c r="AP270" s="562">
        <f t="shared" si="4"/>
        <v>2</v>
      </c>
      <c r="AQ270" s="562">
        <f t="shared" si="4"/>
        <v>2</v>
      </c>
      <c r="AR270" s="562">
        <f t="shared" si="4"/>
        <v>2</v>
      </c>
      <c r="AS270" s="562">
        <f t="shared" si="4"/>
        <v>0</v>
      </c>
      <c r="AT270" s="562">
        <f t="shared" si="4"/>
        <v>2</v>
      </c>
      <c r="AU270" s="562">
        <f t="shared" si="4"/>
        <v>2</v>
      </c>
      <c r="AV270" s="562">
        <f t="shared" si="4"/>
        <v>0</v>
      </c>
      <c r="AW270" s="562">
        <f t="shared" si="4"/>
        <v>2</v>
      </c>
      <c r="AX270" s="562">
        <f t="shared" si="4"/>
        <v>2</v>
      </c>
      <c r="AY270" s="562">
        <f t="shared" si="4"/>
        <v>2</v>
      </c>
      <c r="AZ270"/>
      <c r="BA270"/>
    </row>
    <row r="271" spans="1:100" x14ac:dyDescent="0.3">
      <c r="B271" s="555">
        <v>953</v>
      </c>
      <c r="C271" s="173"/>
      <c r="D271" s="173">
        <f>D207</f>
        <v>2</v>
      </c>
      <c r="E271" s="173">
        <f t="shared" ref="E271:AY271" si="5">E207</f>
        <v>2</v>
      </c>
      <c r="F271" s="173">
        <f t="shared" si="5"/>
        <v>2</v>
      </c>
      <c r="G271" s="173">
        <f t="shared" si="5"/>
        <v>2</v>
      </c>
      <c r="H271" s="173">
        <f t="shared" si="5"/>
        <v>2</v>
      </c>
      <c r="I271" s="173">
        <f t="shared" si="5"/>
        <v>2</v>
      </c>
      <c r="J271" s="173">
        <f t="shared" si="5"/>
        <v>2</v>
      </c>
      <c r="K271" s="173">
        <f t="shared" si="5"/>
        <v>2</v>
      </c>
      <c r="L271" s="173">
        <f t="shared" si="5"/>
        <v>0</v>
      </c>
      <c r="M271" s="173">
        <f t="shared" si="5"/>
        <v>2</v>
      </c>
      <c r="N271" s="173">
        <f t="shared" si="5"/>
        <v>2</v>
      </c>
      <c r="O271" s="173">
        <f t="shared" si="5"/>
        <v>2</v>
      </c>
      <c r="P271" s="173">
        <f t="shared" si="5"/>
        <v>2</v>
      </c>
      <c r="Q271" s="173">
        <f t="shared" si="5"/>
        <v>2</v>
      </c>
      <c r="R271" s="173">
        <f t="shared" si="5"/>
        <v>2</v>
      </c>
      <c r="S271" s="173">
        <f t="shared" si="5"/>
        <v>2</v>
      </c>
      <c r="T271" s="173">
        <f t="shared" si="5"/>
        <v>2</v>
      </c>
      <c r="U271" s="173">
        <f t="shared" si="5"/>
        <v>2</v>
      </c>
      <c r="V271" s="173">
        <f t="shared" si="5"/>
        <v>2</v>
      </c>
      <c r="W271" s="173">
        <f t="shared" si="5"/>
        <v>2</v>
      </c>
      <c r="X271" s="173">
        <f t="shared" si="5"/>
        <v>2</v>
      </c>
      <c r="Y271" s="173">
        <f t="shared" si="5"/>
        <v>2</v>
      </c>
      <c r="Z271" s="173">
        <f t="shared" si="5"/>
        <v>2</v>
      </c>
      <c r="AA271" s="173">
        <f t="shared" si="5"/>
        <v>2</v>
      </c>
      <c r="AB271" s="173">
        <f t="shared" si="5"/>
        <v>2</v>
      </c>
      <c r="AC271" s="173">
        <f t="shared" si="5"/>
        <v>2</v>
      </c>
      <c r="AD271" s="173">
        <f t="shared" si="5"/>
        <v>2</v>
      </c>
      <c r="AE271" s="173">
        <f t="shared" si="5"/>
        <v>2</v>
      </c>
      <c r="AF271" s="173">
        <f t="shared" si="5"/>
        <v>2</v>
      </c>
      <c r="AG271" s="173">
        <f t="shared" si="5"/>
        <v>2</v>
      </c>
      <c r="AH271" s="173">
        <f t="shared" si="5"/>
        <v>2</v>
      </c>
      <c r="AI271" s="173">
        <f t="shared" si="5"/>
        <v>2</v>
      </c>
      <c r="AJ271" s="173">
        <f t="shared" si="5"/>
        <v>2</v>
      </c>
      <c r="AK271" s="173">
        <f t="shared" si="5"/>
        <v>2</v>
      </c>
      <c r="AL271" s="173">
        <f t="shared" si="5"/>
        <v>2</v>
      </c>
      <c r="AM271" s="173">
        <f t="shared" si="5"/>
        <v>2</v>
      </c>
      <c r="AN271" s="173">
        <f t="shared" si="5"/>
        <v>2</v>
      </c>
      <c r="AO271" s="173">
        <f t="shared" si="5"/>
        <v>2</v>
      </c>
      <c r="AP271" s="173">
        <f t="shared" si="5"/>
        <v>2</v>
      </c>
      <c r="AQ271" s="173">
        <f t="shared" si="5"/>
        <v>2</v>
      </c>
      <c r="AR271" s="173">
        <f t="shared" si="5"/>
        <v>2</v>
      </c>
      <c r="AS271" s="173">
        <f t="shared" si="5"/>
        <v>0</v>
      </c>
      <c r="AT271" s="173">
        <f t="shared" si="5"/>
        <v>2</v>
      </c>
      <c r="AU271" s="173">
        <f t="shared" si="5"/>
        <v>2</v>
      </c>
      <c r="AV271" s="173">
        <f t="shared" si="5"/>
        <v>0</v>
      </c>
      <c r="AW271" s="173">
        <f t="shared" si="5"/>
        <v>2</v>
      </c>
      <c r="AX271" s="173">
        <f t="shared" si="5"/>
        <v>2</v>
      </c>
      <c r="AY271" s="173">
        <f t="shared" si="5"/>
        <v>2</v>
      </c>
      <c r="BB271" s="173"/>
      <c r="BC271" s="173"/>
      <c r="BD271" s="173"/>
      <c r="BE271" s="173"/>
      <c r="BF271" s="173"/>
      <c r="BG271" s="173"/>
      <c r="BH271" s="173"/>
      <c r="BI271" s="173"/>
      <c r="BJ271" s="173"/>
      <c r="BK271" s="173"/>
      <c r="BL271" s="173"/>
      <c r="BM271" s="173"/>
      <c r="BN271" s="173"/>
      <c r="BO271" s="173"/>
      <c r="BP271" s="173"/>
      <c r="BQ271" s="173"/>
      <c r="BR271" s="173"/>
      <c r="BS271" s="173"/>
      <c r="BT271" s="173"/>
      <c r="BU271" s="173"/>
      <c r="BV271" s="173"/>
      <c r="BW271" s="173"/>
      <c r="BX271" s="173"/>
      <c r="BY271" s="173"/>
      <c r="BZ271" s="173"/>
      <c r="CA271" s="173"/>
      <c r="CB271" s="173"/>
      <c r="CC271" s="173"/>
      <c r="CD271" s="173"/>
      <c r="CE271" s="173"/>
      <c r="CF271" s="173"/>
      <c r="CG271" s="173"/>
      <c r="CH271" s="173"/>
      <c r="CI271" s="173"/>
      <c r="CJ271" s="173"/>
      <c r="CK271" s="173"/>
      <c r="CL271" s="173"/>
      <c r="CM271" s="173"/>
      <c r="CN271" s="173"/>
      <c r="CO271" s="173"/>
      <c r="CP271" s="173"/>
      <c r="CQ271" s="173"/>
      <c r="CR271" s="173"/>
      <c r="CS271" s="173"/>
      <c r="CT271" s="173"/>
      <c r="CU271" s="173"/>
      <c r="CV271" s="173"/>
    </row>
    <row r="272" spans="1:100" x14ac:dyDescent="0.3">
      <c r="B272" s="555">
        <v>955</v>
      </c>
      <c r="C272" s="173"/>
      <c r="D272" s="566">
        <f>D209</f>
        <v>1</v>
      </c>
      <c r="E272" s="566">
        <f t="shared" ref="E272:AY272" si="6">E209</f>
        <v>0</v>
      </c>
      <c r="F272" s="566">
        <f t="shared" si="6"/>
        <v>0</v>
      </c>
      <c r="G272" s="566">
        <f t="shared" si="6"/>
        <v>0</v>
      </c>
      <c r="H272" s="566">
        <f t="shared" si="6"/>
        <v>0</v>
      </c>
      <c r="I272" s="566">
        <f t="shared" si="6"/>
        <v>0</v>
      </c>
      <c r="J272" s="566">
        <f t="shared" si="6"/>
        <v>0</v>
      </c>
      <c r="K272" s="566">
        <f t="shared" si="6"/>
        <v>0</v>
      </c>
      <c r="L272" s="566">
        <f t="shared" si="6"/>
        <v>0</v>
      </c>
      <c r="M272" s="566">
        <f t="shared" si="6"/>
        <v>0</v>
      </c>
      <c r="N272" s="566">
        <f t="shared" si="6"/>
        <v>1</v>
      </c>
      <c r="O272" s="566">
        <f t="shared" si="6"/>
        <v>0</v>
      </c>
      <c r="P272" s="566">
        <f t="shared" si="6"/>
        <v>0</v>
      </c>
      <c r="Q272" s="566">
        <f t="shared" si="6"/>
        <v>0</v>
      </c>
      <c r="R272" s="566">
        <f t="shared" si="6"/>
        <v>0</v>
      </c>
      <c r="S272" s="566">
        <f t="shared" si="6"/>
        <v>0</v>
      </c>
      <c r="T272" s="566">
        <f t="shared" si="6"/>
        <v>1</v>
      </c>
      <c r="U272" s="566">
        <f t="shared" si="6"/>
        <v>0</v>
      </c>
      <c r="V272" s="566">
        <f t="shared" si="6"/>
        <v>0</v>
      </c>
      <c r="W272" s="566">
        <f t="shared" si="6"/>
        <v>0</v>
      </c>
      <c r="X272" s="566">
        <f t="shared" si="6"/>
        <v>0</v>
      </c>
      <c r="Y272" s="566">
        <f t="shared" si="6"/>
        <v>0</v>
      </c>
      <c r="Z272" s="566">
        <f t="shared" si="6"/>
        <v>0</v>
      </c>
      <c r="AA272" s="566">
        <f t="shared" si="6"/>
        <v>0</v>
      </c>
      <c r="AB272" s="566">
        <f t="shared" si="6"/>
        <v>0</v>
      </c>
      <c r="AC272" s="566">
        <f t="shared" si="6"/>
        <v>0</v>
      </c>
      <c r="AD272" s="566">
        <f t="shared" si="6"/>
        <v>1</v>
      </c>
      <c r="AE272" s="566">
        <f t="shared" si="6"/>
        <v>0</v>
      </c>
      <c r="AF272" s="566">
        <f t="shared" si="6"/>
        <v>0</v>
      </c>
      <c r="AG272" s="566">
        <f t="shared" si="6"/>
        <v>0</v>
      </c>
      <c r="AH272" s="566">
        <f t="shared" si="6"/>
        <v>0</v>
      </c>
      <c r="AI272" s="566">
        <f t="shared" si="6"/>
        <v>0</v>
      </c>
      <c r="AJ272" s="566">
        <f t="shared" si="6"/>
        <v>0</v>
      </c>
      <c r="AK272" s="566">
        <f t="shared" si="6"/>
        <v>0</v>
      </c>
      <c r="AL272" s="566">
        <f t="shared" si="6"/>
        <v>0</v>
      </c>
      <c r="AM272" s="566">
        <f t="shared" si="6"/>
        <v>1</v>
      </c>
      <c r="AN272" s="566">
        <f t="shared" si="6"/>
        <v>1</v>
      </c>
      <c r="AO272" s="566">
        <f t="shared" si="6"/>
        <v>0</v>
      </c>
      <c r="AP272" s="566">
        <f t="shared" si="6"/>
        <v>0</v>
      </c>
      <c r="AQ272" s="566">
        <f t="shared" si="6"/>
        <v>0</v>
      </c>
      <c r="AR272" s="566">
        <f t="shared" si="6"/>
        <v>0</v>
      </c>
      <c r="AS272" s="566">
        <f t="shared" si="6"/>
        <v>0</v>
      </c>
      <c r="AT272" s="566">
        <f t="shared" si="6"/>
        <v>0</v>
      </c>
      <c r="AU272" s="566">
        <f t="shared" si="6"/>
        <v>0</v>
      </c>
      <c r="AV272" s="566">
        <f t="shared" si="6"/>
        <v>0</v>
      </c>
      <c r="AW272" s="566">
        <f t="shared" si="6"/>
        <v>0</v>
      </c>
      <c r="AX272" s="566">
        <f t="shared" si="6"/>
        <v>0</v>
      </c>
      <c r="AY272" s="566">
        <f t="shared" si="6"/>
        <v>0</v>
      </c>
      <c r="BB272" s="173"/>
      <c r="BC272" s="173"/>
      <c r="BD272" s="173"/>
      <c r="BE272" s="173"/>
      <c r="BF272" s="173"/>
      <c r="BG272" s="173"/>
      <c r="BH272" s="173"/>
      <c r="BI272" s="173"/>
      <c r="BJ272" s="173"/>
      <c r="BK272" s="173"/>
      <c r="BL272" s="173"/>
      <c r="BM272" s="173"/>
      <c r="BN272" s="173"/>
      <c r="BO272" s="173"/>
      <c r="BP272" s="173"/>
      <c r="BQ272" s="173"/>
      <c r="BR272" s="173"/>
      <c r="BS272" s="173"/>
      <c r="BT272" s="173"/>
      <c r="BU272" s="173"/>
      <c r="BV272" s="173"/>
      <c r="BW272" s="173"/>
      <c r="BX272" s="173"/>
      <c r="BY272" s="173"/>
      <c r="BZ272" s="173"/>
      <c r="CA272" s="173"/>
      <c r="CB272" s="173"/>
      <c r="CC272" s="173"/>
      <c r="CD272" s="173"/>
      <c r="CE272" s="173"/>
      <c r="CF272" s="173"/>
      <c r="CG272" s="173"/>
      <c r="CH272" s="173"/>
      <c r="CI272" s="173"/>
      <c r="CJ272" s="173"/>
      <c r="CK272" s="173"/>
      <c r="CL272" s="173"/>
      <c r="CM272" s="173"/>
      <c r="CN272" s="173"/>
      <c r="CO272" s="173"/>
      <c r="CP272" s="173"/>
      <c r="CQ272" s="173"/>
      <c r="CR272" s="173"/>
      <c r="CS272" s="173"/>
      <c r="CT272" s="173"/>
      <c r="CU272" s="173"/>
      <c r="CV272" s="173"/>
    </row>
    <row r="273" spans="2:105" x14ac:dyDescent="0.3">
      <c r="B273" s="555">
        <v>957</v>
      </c>
      <c r="C273" s="173"/>
      <c r="D273" s="566">
        <f>D211</f>
        <v>0</v>
      </c>
      <c r="E273" s="566">
        <f t="shared" ref="E273:AY273" si="7">E211</f>
        <v>0</v>
      </c>
      <c r="F273" s="566">
        <f t="shared" si="7"/>
        <v>0</v>
      </c>
      <c r="G273" s="566">
        <f t="shared" si="7"/>
        <v>0</v>
      </c>
      <c r="H273" s="566">
        <f t="shared" si="7"/>
        <v>0</v>
      </c>
      <c r="I273" s="566">
        <f t="shared" si="7"/>
        <v>0</v>
      </c>
      <c r="J273" s="566">
        <f t="shared" si="7"/>
        <v>0</v>
      </c>
      <c r="K273" s="566">
        <f t="shared" si="7"/>
        <v>0</v>
      </c>
      <c r="L273" s="566">
        <f t="shared" si="7"/>
        <v>0</v>
      </c>
      <c r="M273" s="566">
        <f t="shared" si="7"/>
        <v>0</v>
      </c>
      <c r="N273" s="566">
        <f t="shared" si="7"/>
        <v>0</v>
      </c>
      <c r="O273" s="566">
        <f t="shared" si="7"/>
        <v>0</v>
      </c>
      <c r="P273" s="566">
        <f t="shared" si="7"/>
        <v>0</v>
      </c>
      <c r="Q273" s="566">
        <f t="shared" si="7"/>
        <v>0</v>
      </c>
      <c r="R273" s="566">
        <f t="shared" si="7"/>
        <v>0</v>
      </c>
      <c r="S273" s="566">
        <f t="shared" si="7"/>
        <v>0</v>
      </c>
      <c r="T273" s="566">
        <f t="shared" si="7"/>
        <v>0</v>
      </c>
      <c r="U273" s="566">
        <f t="shared" si="7"/>
        <v>0</v>
      </c>
      <c r="V273" s="566">
        <f t="shared" si="7"/>
        <v>0</v>
      </c>
      <c r="W273" s="566">
        <f t="shared" si="7"/>
        <v>0</v>
      </c>
      <c r="X273" s="566">
        <f t="shared" si="7"/>
        <v>0</v>
      </c>
      <c r="Y273" s="566">
        <f t="shared" si="7"/>
        <v>0</v>
      </c>
      <c r="Z273" s="566">
        <f t="shared" si="7"/>
        <v>0</v>
      </c>
      <c r="AA273" s="566">
        <f t="shared" si="7"/>
        <v>0</v>
      </c>
      <c r="AB273" s="566">
        <f t="shared" si="7"/>
        <v>0</v>
      </c>
      <c r="AC273" s="566">
        <f t="shared" si="7"/>
        <v>0</v>
      </c>
      <c r="AD273" s="566">
        <f t="shared" si="7"/>
        <v>0</v>
      </c>
      <c r="AE273" s="566">
        <f t="shared" si="7"/>
        <v>0</v>
      </c>
      <c r="AF273" s="566">
        <f t="shared" si="7"/>
        <v>0</v>
      </c>
      <c r="AG273" s="566">
        <f t="shared" si="7"/>
        <v>0</v>
      </c>
      <c r="AH273" s="566">
        <f t="shared" si="7"/>
        <v>0</v>
      </c>
      <c r="AI273" s="566">
        <f t="shared" si="7"/>
        <v>0</v>
      </c>
      <c r="AJ273" s="566">
        <f t="shared" si="7"/>
        <v>0</v>
      </c>
      <c r="AK273" s="566">
        <f t="shared" si="7"/>
        <v>0</v>
      </c>
      <c r="AL273" s="566">
        <f t="shared" si="7"/>
        <v>0</v>
      </c>
      <c r="AM273" s="566">
        <f t="shared" si="7"/>
        <v>0</v>
      </c>
      <c r="AN273" s="566">
        <f t="shared" si="7"/>
        <v>0</v>
      </c>
      <c r="AO273" s="566">
        <f t="shared" si="7"/>
        <v>0</v>
      </c>
      <c r="AP273" s="566">
        <f t="shared" si="7"/>
        <v>0</v>
      </c>
      <c r="AQ273" s="566">
        <f t="shared" si="7"/>
        <v>0</v>
      </c>
      <c r="AR273" s="566">
        <f t="shared" si="7"/>
        <v>0</v>
      </c>
      <c r="AS273" s="566">
        <f t="shared" si="7"/>
        <v>0</v>
      </c>
      <c r="AT273" s="566">
        <f t="shared" si="7"/>
        <v>0</v>
      </c>
      <c r="AU273" s="566">
        <f t="shared" si="7"/>
        <v>0</v>
      </c>
      <c r="AV273" s="566">
        <f t="shared" si="7"/>
        <v>0</v>
      </c>
      <c r="AW273" s="566">
        <f t="shared" si="7"/>
        <v>0</v>
      </c>
      <c r="AX273" s="566">
        <f t="shared" si="7"/>
        <v>1</v>
      </c>
      <c r="AY273" s="566">
        <f t="shared" si="7"/>
        <v>0</v>
      </c>
      <c r="BB273" s="173"/>
      <c r="BC273" s="173"/>
      <c r="BD273" s="173"/>
      <c r="BE273" s="173"/>
      <c r="BF273" s="173"/>
      <c r="BG273" s="173"/>
      <c r="BH273" s="173"/>
      <c r="BI273" s="173"/>
      <c r="BJ273" s="173"/>
      <c r="BK273" s="173"/>
      <c r="BL273" s="173"/>
      <c r="BM273" s="173"/>
      <c r="BN273" s="173"/>
      <c r="BO273" s="173"/>
      <c r="BP273" s="173"/>
      <c r="BQ273" s="173"/>
      <c r="BR273" s="173"/>
      <c r="BS273" s="173"/>
      <c r="BT273" s="173"/>
      <c r="BU273" s="173"/>
      <c r="BV273" s="173"/>
      <c r="BW273" s="173"/>
      <c r="BX273" s="173"/>
      <c r="BY273" s="173"/>
      <c r="BZ273" s="173"/>
      <c r="CA273" s="173"/>
      <c r="CB273" s="173"/>
      <c r="CC273" s="173"/>
      <c r="CD273" s="173"/>
      <c r="CE273" s="173"/>
      <c r="CF273" s="173"/>
      <c r="CG273" s="173"/>
      <c r="CH273" s="173"/>
      <c r="CI273" s="173"/>
      <c r="CJ273" s="173"/>
      <c r="CK273" s="173"/>
      <c r="CL273" s="173"/>
      <c r="CM273" s="173"/>
      <c r="CN273" s="173"/>
      <c r="CO273" s="173"/>
      <c r="CP273" s="173"/>
      <c r="CQ273" s="173"/>
      <c r="CR273" s="173"/>
      <c r="CS273" s="173"/>
      <c r="CT273" s="173"/>
      <c r="CU273" s="173"/>
      <c r="CV273" s="173"/>
    </row>
    <row r="274" spans="2:105" x14ac:dyDescent="0.3">
      <c r="B274" s="555">
        <v>959</v>
      </c>
      <c r="C274" s="173"/>
      <c r="D274" s="566">
        <f>D213</f>
        <v>2</v>
      </c>
      <c r="E274" s="566">
        <f t="shared" ref="E274:AY274" si="8">E213</f>
        <v>2</v>
      </c>
      <c r="F274" s="566">
        <f t="shared" si="8"/>
        <v>2</v>
      </c>
      <c r="G274" s="566">
        <f t="shared" si="8"/>
        <v>2</v>
      </c>
      <c r="H274" s="566">
        <f t="shared" si="8"/>
        <v>2</v>
      </c>
      <c r="I274" s="566">
        <f t="shared" si="8"/>
        <v>2</v>
      </c>
      <c r="J274" s="566">
        <f t="shared" si="8"/>
        <v>2</v>
      </c>
      <c r="K274" s="566">
        <f t="shared" si="8"/>
        <v>2</v>
      </c>
      <c r="L274" s="566">
        <f t="shared" si="8"/>
        <v>0</v>
      </c>
      <c r="M274" s="566">
        <f t="shared" si="8"/>
        <v>2</v>
      </c>
      <c r="N274" s="566">
        <f t="shared" si="8"/>
        <v>2</v>
      </c>
      <c r="O274" s="566">
        <f t="shared" si="8"/>
        <v>2</v>
      </c>
      <c r="P274" s="566">
        <f t="shared" si="8"/>
        <v>2</v>
      </c>
      <c r="Q274" s="566">
        <f t="shared" si="8"/>
        <v>2</v>
      </c>
      <c r="R274" s="566">
        <f t="shared" si="8"/>
        <v>2</v>
      </c>
      <c r="S274" s="566">
        <f t="shared" si="8"/>
        <v>2</v>
      </c>
      <c r="T274" s="566">
        <f t="shared" si="8"/>
        <v>2</v>
      </c>
      <c r="U274" s="566">
        <f t="shared" si="8"/>
        <v>2</v>
      </c>
      <c r="V274" s="566">
        <f t="shared" si="8"/>
        <v>2</v>
      </c>
      <c r="W274" s="566">
        <f t="shared" si="8"/>
        <v>2</v>
      </c>
      <c r="X274" s="566">
        <f t="shared" si="8"/>
        <v>2</v>
      </c>
      <c r="Y274" s="566">
        <f t="shared" si="8"/>
        <v>2</v>
      </c>
      <c r="Z274" s="566">
        <f t="shared" si="8"/>
        <v>2</v>
      </c>
      <c r="AA274" s="566">
        <f t="shared" si="8"/>
        <v>2</v>
      </c>
      <c r="AB274" s="566">
        <f t="shared" si="8"/>
        <v>2</v>
      </c>
      <c r="AC274" s="566">
        <f t="shared" si="8"/>
        <v>2</v>
      </c>
      <c r="AD274" s="566">
        <f t="shared" si="8"/>
        <v>2</v>
      </c>
      <c r="AE274" s="566">
        <f t="shared" si="8"/>
        <v>1</v>
      </c>
      <c r="AF274" s="566">
        <f t="shared" si="8"/>
        <v>2</v>
      </c>
      <c r="AG274" s="566">
        <f t="shared" si="8"/>
        <v>2</v>
      </c>
      <c r="AH274" s="566">
        <f t="shared" si="8"/>
        <v>2</v>
      </c>
      <c r="AI274" s="566">
        <f t="shared" si="8"/>
        <v>2</v>
      </c>
      <c r="AJ274" s="566">
        <f t="shared" si="8"/>
        <v>2</v>
      </c>
      <c r="AK274" s="566">
        <f t="shared" si="8"/>
        <v>2</v>
      </c>
      <c r="AL274" s="566">
        <f t="shared" si="8"/>
        <v>2</v>
      </c>
      <c r="AM274" s="566">
        <f t="shared" si="8"/>
        <v>2</v>
      </c>
      <c r="AN274" s="566">
        <f t="shared" si="8"/>
        <v>2</v>
      </c>
      <c r="AO274" s="566">
        <f t="shared" si="8"/>
        <v>3</v>
      </c>
      <c r="AP274" s="566">
        <f t="shared" si="8"/>
        <v>2</v>
      </c>
      <c r="AQ274" s="566">
        <f t="shared" si="8"/>
        <v>2</v>
      </c>
      <c r="AR274" s="566">
        <f t="shared" si="8"/>
        <v>3</v>
      </c>
      <c r="AS274" s="566">
        <f t="shared" si="8"/>
        <v>0</v>
      </c>
      <c r="AT274" s="566">
        <f t="shared" si="8"/>
        <v>2</v>
      </c>
      <c r="AU274" s="566">
        <f t="shared" si="8"/>
        <v>2</v>
      </c>
      <c r="AV274" s="566">
        <f t="shared" si="8"/>
        <v>0</v>
      </c>
      <c r="AW274" s="566">
        <f t="shared" si="8"/>
        <v>2</v>
      </c>
      <c r="AX274" s="566">
        <f t="shared" si="8"/>
        <v>3</v>
      </c>
      <c r="AY274" s="566">
        <f t="shared" si="8"/>
        <v>2</v>
      </c>
      <c r="BB274" s="173"/>
      <c r="BC274" s="173"/>
      <c r="BD274" s="173"/>
      <c r="BE274" s="173"/>
      <c r="BF274" s="173"/>
      <c r="BG274" s="173"/>
      <c r="BH274" s="173"/>
      <c r="BI274" s="173"/>
      <c r="BJ274" s="173"/>
      <c r="BK274" s="173"/>
      <c r="BL274" s="173"/>
      <c r="BM274" s="173"/>
      <c r="BN274" s="173"/>
      <c r="BO274" s="173"/>
      <c r="BP274" s="173"/>
      <c r="BQ274" s="173"/>
      <c r="BR274" s="173"/>
      <c r="BS274" s="173"/>
      <c r="BT274" s="173"/>
      <c r="BU274" s="173"/>
      <c r="BV274" s="173"/>
      <c r="BW274" s="173"/>
      <c r="BX274" s="173"/>
      <c r="BY274" s="173"/>
      <c r="BZ274" s="173"/>
      <c r="CA274" s="173"/>
      <c r="CB274" s="173"/>
      <c r="CC274" s="173"/>
      <c r="CD274" s="173"/>
      <c r="CE274" s="173"/>
      <c r="CF274" s="173"/>
      <c r="CG274" s="173"/>
      <c r="CH274" s="173"/>
      <c r="CI274" s="173"/>
      <c r="CJ274" s="173"/>
      <c r="CK274" s="173"/>
      <c r="CL274" s="173"/>
      <c r="CM274" s="173"/>
      <c r="CN274" s="173"/>
      <c r="CO274" s="173"/>
      <c r="CP274" s="173"/>
      <c r="CQ274" s="173"/>
      <c r="CR274" s="173"/>
      <c r="CS274" s="173"/>
      <c r="CT274" s="173"/>
      <c r="CU274" s="173"/>
      <c r="CV274" s="173"/>
    </row>
    <row r="275" spans="2:105" x14ac:dyDescent="0.3">
      <c r="B275" s="149">
        <v>965</v>
      </c>
      <c r="C275" s="173"/>
      <c r="D275" s="173" t="s">
        <v>327</v>
      </c>
      <c r="E275" s="173" t="s">
        <v>327</v>
      </c>
      <c r="F275" s="173" t="s">
        <v>327</v>
      </c>
      <c r="G275" s="173" t="s">
        <v>327</v>
      </c>
      <c r="H275" s="173" t="s">
        <v>327</v>
      </c>
      <c r="I275" s="173" t="s">
        <v>327</v>
      </c>
      <c r="J275" s="173" t="s">
        <v>327</v>
      </c>
      <c r="K275" s="173" t="s">
        <v>327</v>
      </c>
      <c r="L275" s="173" t="s">
        <v>327</v>
      </c>
      <c r="M275" s="173" t="s">
        <v>327</v>
      </c>
      <c r="N275" s="173" t="s">
        <v>327</v>
      </c>
      <c r="O275" s="173" t="s">
        <v>327</v>
      </c>
      <c r="P275" s="173" t="s">
        <v>327</v>
      </c>
      <c r="Q275" s="173" t="s">
        <v>327</v>
      </c>
      <c r="R275" s="173" t="s">
        <v>327</v>
      </c>
      <c r="S275" s="173" t="s">
        <v>327</v>
      </c>
      <c r="T275" s="173" t="s">
        <v>327</v>
      </c>
      <c r="U275" s="173" t="s">
        <v>327</v>
      </c>
      <c r="V275" s="173" t="s">
        <v>327</v>
      </c>
      <c r="W275" s="173" t="s">
        <v>327</v>
      </c>
      <c r="X275" s="173" t="s">
        <v>327</v>
      </c>
      <c r="Y275" s="173" t="s">
        <v>327</v>
      </c>
      <c r="Z275" s="173" t="s">
        <v>327</v>
      </c>
      <c r="AA275" s="173" t="s">
        <v>327</v>
      </c>
      <c r="AB275" s="173" t="s">
        <v>327</v>
      </c>
      <c r="AC275" s="173" t="s">
        <v>327</v>
      </c>
      <c r="AD275" s="173" t="s">
        <v>327</v>
      </c>
      <c r="AE275" s="173" t="s">
        <v>327</v>
      </c>
      <c r="AF275" s="173" t="s">
        <v>327</v>
      </c>
      <c r="AG275" s="173" t="s">
        <v>327</v>
      </c>
      <c r="AH275" s="173" t="s">
        <v>327</v>
      </c>
      <c r="AI275" s="173" t="s">
        <v>327</v>
      </c>
      <c r="AJ275" s="173" t="s">
        <v>327</v>
      </c>
      <c r="AK275" s="173" t="s">
        <v>327</v>
      </c>
      <c r="AL275" s="173" t="s">
        <v>327</v>
      </c>
      <c r="AM275" s="173" t="s">
        <v>327</v>
      </c>
      <c r="AN275" s="173" t="s">
        <v>327</v>
      </c>
      <c r="AO275" s="173" t="s">
        <v>327</v>
      </c>
      <c r="AP275" s="173" t="s">
        <v>327</v>
      </c>
      <c r="AQ275" s="173" t="s">
        <v>327</v>
      </c>
      <c r="AR275" s="173" t="s">
        <v>327</v>
      </c>
      <c r="AS275" s="173" t="s">
        <v>327</v>
      </c>
      <c r="AT275" s="173" t="s">
        <v>327</v>
      </c>
      <c r="AU275" s="173" t="s">
        <v>327</v>
      </c>
      <c r="AV275" s="173" t="s">
        <v>327</v>
      </c>
      <c r="AW275" s="173" t="s">
        <v>327</v>
      </c>
      <c r="AX275" s="173" t="s">
        <v>327</v>
      </c>
      <c r="AY275" s="173" t="s">
        <v>327</v>
      </c>
      <c r="BB275" s="173"/>
      <c r="BC275" s="173"/>
      <c r="BD275" s="173"/>
      <c r="BE275" s="173"/>
      <c r="BF275" s="173"/>
      <c r="BG275" s="173"/>
      <c r="BH275" s="173"/>
      <c r="BI275" s="173"/>
      <c r="BJ275" s="173"/>
      <c r="BK275" s="173"/>
      <c r="BL275" s="173"/>
      <c r="BM275" s="173"/>
      <c r="BN275" s="173"/>
      <c r="BO275" s="173"/>
      <c r="BP275" s="173"/>
      <c r="BQ275" s="173"/>
      <c r="BR275" s="173"/>
      <c r="BS275" s="173"/>
      <c r="BT275" s="173"/>
      <c r="BU275" s="173"/>
      <c r="BV275" s="173"/>
      <c r="BW275" s="173"/>
      <c r="BX275" s="173"/>
      <c r="BY275" s="173"/>
      <c r="BZ275" s="173"/>
      <c r="CA275" s="173"/>
      <c r="CB275" s="173"/>
      <c r="CC275" s="173"/>
      <c r="CD275" s="173"/>
      <c r="CE275" s="173"/>
      <c r="CF275" s="173"/>
      <c r="CG275" s="173"/>
      <c r="CH275" s="173"/>
      <c r="CI275" s="173"/>
      <c r="CJ275" s="173"/>
      <c r="CK275" s="173"/>
      <c r="CL275" s="173"/>
      <c r="CM275" s="173"/>
      <c r="CN275" s="173"/>
      <c r="CO275" s="173"/>
      <c r="CP275" s="173"/>
      <c r="CQ275" s="173"/>
      <c r="CR275" s="173"/>
      <c r="CS275" s="173"/>
      <c r="CT275" s="173"/>
      <c r="CU275" s="173"/>
      <c r="CV275" s="173"/>
    </row>
    <row r="276" spans="2:105" x14ac:dyDescent="0.3">
      <c r="B276" s="555">
        <v>973</v>
      </c>
      <c r="C276" s="173"/>
      <c r="D276" s="566">
        <f>D219</f>
        <v>0</v>
      </c>
      <c r="E276" s="566">
        <f t="shared" ref="E276:AY278" si="9">E219</f>
        <v>0</v>
      </c>
      <c r="F276" s="566">
        <f t="shared" si="9"/>
        <v>0</v>
      </c>
      <c r="G276" s="566">
        <f t="shared" si="9"/>
        <v>0</v>
      </c>
      <c r="H276" s="566">
        <f t="shared" si="9"/>
        <v>0</v>
      </c>
      <c r="I276" s="566">
        <f t="shared" si="9"/>
        <v>0</v>
      </c>
      <c r="J276" s="566">
        <f t="shared" si="9"/>
        <v>0</v>
      </c>
      <c r="K276" s="566">
        <f t="shared" si="9"/>
        <v>0</v>
      </c>
      <c r="L276" s="566">
        <f t="shared" si="9"/>
        <v>0</v>
      </c>
      <c r="M276" s="566">
        <f t="shared" si="9"/>
        <v>0</v>
      </c>
      <c r="N276" s="566">
        <f t="shared" si="9"/>
        <v>0</v>
      </c>
      <c r="O276" s="566">
        <f t="shared" si="9"/>
        <v>1</v>
      </c>
      <c r="P276" s="566">
        <f t="shared" si="9"/>
        <v>0</v>
      </c>
      <c r="Q276" s="566">
        <f t="shared" si="9"/>
        <v>0</v>
      </c>
      <c r="R276" s="566">
        <f t="shared" si="9"/>
        <v>0</v>
      </c>
      <c r="S276" s="566">
        <f t="shared" si="9"/>
        <v>0</v>
      </c>
      <c r="T276" s="566">
        <f t="shared" si="9"/>
        <v>0</v>
      </c>
      <c r="U276" s="566">
        <f t="shared" si="9"/>
        <v>0</v>
      </c>
      <c r="V276" s="566">
        <f t="shared" si="9"/>
        <v>0</v>
      </c>
      <c r="W276" s="566">
        <f t="shared" si="9"/>
        <v>0</v>
      </c>
      <c r="X276" s="566">
        <f t="shared" si="9"/>
        <v>0</v>
      </c>
      <c r="Y276" s="566">
        <f t="shared" si="9"/>
        <v>0</v>
      </c>
      <c r="Z276" s="566">
        <f t="shared" si="9"/>
        <v>0</v>
      </c>
      <c r="AA276" s="566">
        <f t="shared" si="9"/>
        <v>0</v>
      </c>
      <c r="AB276" s="566">
        <f t="shared" si="9"/>
        <v>0</v>
      </c>
      <c r="AC276" s="566">
        <f t="shared" si="9"/>
        <v>0</v>
      </c>
      <c r="AD276" s="566">
        <f t="shared" si="9"/>
        <v>0</v>
      </c>
      <c r="AE276" s="566">
        <f t="shared" si="9"/>
        <v>0</v>
      </c>
      <c r="AF276" s="566">
        <f t="shared" si="9"/>
        <v>0</v>
      </c>
      <c r="AG276" s="566">
        <f t="shared" si="9"/>
        <v>0</v>
      </c>
      <c r="AH276" s="566">
        <f t="shared" si="9"/>
        <v>0</v>
      </c>
      <c r="AI276" s="566">
        <f t="shared" si="9"/>
        <v>0</v>
      </c>
      <c r="AJ276" s="566">
        <f t="shared" si="9"/>
        <v>0</v>
      </c>
      <c r="AK276" s="566">
        <f t="shared" si="9"/>
        <v>0</v>
      </c>
      <c r="AL276" s="566">
        <f t="shared" si="9"/>
        <v>0</v>
      </c>
      <c r="AM276" s="566">
        <f t="shared" si="9"/>
        <v>0</v>
      </c>
      <c r="AN276" s="566">
        <f t="shared" si="9"/>
        <v>0</v>
      </c>
      <c r="AO276" s="566">
        <f t="shared" si="9"/>
        <v>0</v>
      </c>
      <c r="AP276" s="566">
        <f t="shared" si="9"/>
        <v>0</v>
      </c>
      <c r="AQ276" s="566">
        <f t="shared" si="9"/>
        <v>0</v>
      </c>
      <c r="AR276" s="566">
        <f t="shared" si="9"/>
        <v>0</v>
      </c>
      <c r="AS276" s="566">
        <f t="shared" si="9"/>
        <v>0</v>
      </c>
      <c r="AT276" s="566">
        <f t="shared" si="9"/>
        <v>0</v>
      </c>
      <c r="AU276" s="566">
        <f t="shared" si="9"/>
        <v>0</v>
      </c>
      <c r="AV276" s="566">
        <f t="shared" si="9"/>
        <v>0</v>
      </c>
      <c r="AW276" s="566">
        <f t="shared" si="9"/>
        <v>0</v>
      </c>
      <c r="AX276" s="566">
        <f t="shared" si="9"/>
        <v>0</v>
      </c>
      <c r="AY276" s="566">
        <f t="shared" si="9"/>
        <v>0</v>
      </c>
      <c r="BB276" s="173"/>
      <c r="BC276" s="173"/>
      <c r="BD276" s="173"/>
      <c r="BE276" s="173"/>
      <c r="BF276" s="173"/>
      <c r="BG276" s="173"/>
      <c r="BH276" s="173"/>
      <c r="BI276" s="173"/>
      <c r="BJ276" s="173"/>
      <c r="BK276" s="173"/>
      <c r="BL276" s="173"/>
      <c r="BM276" s="173"/>
      <c r="BN276" s="173"/>
      <c r="BO276" s="173"/>
      <c r="BP276" s="173"/>
      <c r="BQ276" s="173"/>
      <c r="BR276" s="173"/>
      <c r="BS276" s="173"/>
      <c r="BT276" s="173"/>
      <c r="BU276" s="173"/>
      <c r="BV276" s="173"/>
      <c r="BW276" s="173"/>
      <c r="BX276" s="173"/>
      <c r="BY276" s="173"/>
      <c r="BZ276" s="173"/>
      <c r="CA276" s="173"/>
      <c r="CB276" s="173"/>
      <c r="CC276" s="173"/>
      <c r="CD276" s="173"/>
      <c r="CE276" s="173"/>
      <c r="CF276" s="173"/>
      <c r="CG276" s="173"/>
      <c r="CH276" s="173"/>
      <c r="CI276" s="173"/>
      <c r="CJ276" s="173"/>
      <c r="CK276" s="173"/>
      <c r="CL276" s="173"/>
      <c r="CM276" s="173"/>
      <c r="CN276" s="173"/>
      <c r="CO276" s="173"/>
      <c r="CP276" s="173"/>
      <c r="CQ276" s="173"/>
      <c r="CR276" s="173"/>
      <c r="CS276" s="173"/>
      <c r="CT276" s="173"/>
      <c r="CU276" s="173"/>
      <c r="CV276" s="173"/>
    </row>
    <row r="277" spans="2:105" x14ac:dyDescent="0.3">
      <c r="B277" s="555">
        <v>974</v>
      </c>
      <c r="C277" s="173"/>
      <c r="D277" s="566">
        <f t="shared" ref="D277:S278" si="10">D220</f>
        <v>3</v>
      </c>
      <c r="E277" s="566">
        <f t="shared" si="10"/>
        <v>2</v>
      </c>
      <c r="F277" s="566">
        <f t="shared" si="10"/>
        <v>2</v>
      </c>
      <c r="G277" s="566">
        <f t="shared" si="10"/>
        <v>2</v>
      </c>
      <c r="H277" s="566">
        <f t="shared" si="10"/>
        <v>2</v>
      </c>
      <c r="I277" s="566">
        <f t="shared" si="10"/>
        <v>2</v>
      </c>
      <c r="J277" s="566">
        <f t="shared" si="10"/>
        <v>2</v>
      </c>
      <c r="K277" s="566">
        <f t="shared" si="10"/>
        <v>2</v>
      </c>
      <c r="L277" s="566">
        <f t="shared" si="10"/>
        <v>0</v>
      </c>
      <c r="M277" s="566">
        <f t="shared" si="10"/>
        <v>2</v>
      </c>
      <c r="N277" s="566">
        <f t="shared" si="10"/>
        <v>2</v>
      </c>
      <c r="O277" s="566">
        <f t="shared" si="10"/>
        <v>2</v>
      </c>
      <c r="P277" s="566">
        <f t="shared" si="10"/>
        <v>2</v>
      </c>
      <c r="Q277" s="566">
        <f t="shared" si="10"/>
        <v>2</v>
      </c>
      <c r="R277" s="566">
        <f t="shared" si="10"/>
        <v>2</v>
      </c>
      <c r="S277" s="566">
        <f t="shared" si="10"/>
        <v>2</v>
      </c>
      <c r="T277" s="566">
        <f t="shared" si="9"/>
        <v>2</v>
      </c>
      <c r="U277" s="566">
        <f t="shared" si="9"/>
        <v>2</v>
      </c>
      <c r="V277" s="566">
        <f t="shared" si="9"/>
        <v>2</v>
      </c>
      <c r="W277" s="566">
        <f t="shared" si="9"/>
        <v>2</v>
      </c>
      <c r="X277" s="566">
        <f t="shared" si="9"/>
        <v>2</v>
      </c>
      <c r="Y277" s="566">
        <f t="shared" si="9"/>
        <v>2</v>
      </c>
      <c r="Z277" s="566">
        <f t="shared" si="9"/>
        <v>2</v>
      </c>
      <c r="AA277" s="566">
        <f t="shared" si="9"/>
        <v>2</v>
      </c>
      <c r="AB277" s="566">
        <f t="shared" si="9"/>
        <v>2</v>
      </c>
      <c r="AC277" s="566">
        <f t="shared" si="9"/>
        <v>2</v>
      </c>
      <c r="AD277" s="566">
        <f t="shared" si="9"/>
        <v>2</v>
      </c>
      <c r="AE277" s="566">
        <f t="shared" si="9"/>
        <v>2</v>
      </c>
      <c r="AF277" s="566">
        <f t="shared" si="9"/>
        <v>2</v>
      </c>
      <c r="AG277" s="566">
        <f t="shared" si="9"/>
        <v>2</v>
      </c>
      <c r="AH277" s="566">
        <f t="shared" si="9"/>
        <v>2</v>
      </c>
      <c r="AI277" s="566">
        <f t="shared" si="9"/>
        <v>2</v>
      </c>
      <c r="AJ277" s="566">
        <f t="shared" si="9"/>
        <v>2</v>
      </c>
      <c r="AK277" s="566">
        <f t="shared" si="9"/>
        <v>2</v>
      </c>
      <c r="AL277" s="566">
        <f t="shared" si="9"/>
        <v>2</v>
      </c>
      <c r="AM277" s="566">
        <f t="shared" si="9"/>
        <v>2</v>
      </c>
      <c r="AN277" s="566">
        <f t="shared" si="9"/>
        <v>2</v>
      </c>
      <c r="AO277" s="566">
        <f t="shared" si="9"/>
        <v>3</v>
      </c>
      <c r="AP277" s="566">
        <f t="shared" si="9"/>
        <v>2</v>
      </c>
      <c r="AQ277" s="566">
        <f t="shared" si="9"/>
        <v>2</v>
      </c>
      <c r="AR277" s="566">
        <f t="shared" si="9"/>
        <v>3</v>
      </c>
      <c r="AS277" s="566">
        <f t="shared" si="9"/>
        <v>0</v>
      </c>
      <c r="AT277" s="566">
        <f t="shared" si="9"/>
        <v>3</v>
      </c>
      <c r="AU277" s="566">
        <f t="shared" si="9"/>
        <v>2</v>
      </c>
      <c r="AV277" s="566">
        <f t="shared" si="9"/>
        <v>0</v>
      </c>
      <c r="AW277" s="566">
        <f t="shared" si="9"/>
        <v>2</v>
      </c>
      <c r="AX277" s="566">
        <f t="shared" si="9"/>
        <v>3</v>
      </c>
      <c r="AY277" s="566">
        <f t="shared" si="9"/>
        <v>2</v>
      </c>
      <c r="BB277" s="173"/>
      <c r="BC277" s="173"/>
      <c r="BD277" s="173"/>
      <c r="BE277" s="173"/>
      <c r="BF277" s="173"/>
      <c r="BG277" s="173"/>
      <c r="BH277" s="173"/>
      <c r="BI277" s="173"/>
      <c r="BJ277" s="173"/>
      <c r="BK277" s="173"/>
      <c r="BL277" s="173"/>
      <c r="BM277" s="173"/>
      <c r="BN277" s="173"/>
      <c r="BO277" s="173"/>
      <c r="BP277" s="173"/>
      <c r="BQ277" s="173"/>
      <c r="BR277" s="173"/>
      <c r="BS277" s="173"/>
      <c r="BT277" s="173"/>
      <c r="BU277" s="173"/>
      <c r="BV277" s="173"/>
      <c r="BW277" s="173"/>
      <c r="BX277" s="173"/>
      <c r="BY277" s="173"/>
      <c r="BZ277" s="173"/>
      <c r="CA277" s="173"/>
      <c r="CB277" s="173"/>
      <c r="CC277" s="173"/>
      <c r="CD277" s="173"/>
      <c r="CE277" s="173"/>
      <c r="CF277" s="173"/>
      <c r="CG277" s="173"/>
      <c r="CH277" s="173"/>
      <c r="CI277" s="173"/>
      <c r="CJ277" s="173"/>
      <c r="CK277" s="173"/>
      <c r="CL277" s="173"/>
      <c r="CM277" s="173"/>
      <c r="CN277" s="173"/>
      <c r="CO277" s="173"/>
      <c r="CP277" s="173"/>
      <c r="CQ277" s="173"/>
      <c r="CR277" s="173"/>
      <c r="CS277" s="173"/>
      <c r="CT277" s="173"/>
      <c r="CU277" s="173"/>
      <c r="CV277" s="173"/>
    </row>
    <row r="278" spans="2:105" x14ac:dyDescent="0.3">
      <c r="B278" s="555">
        <v>975</v>
      </c>
      <c r="C278" s="173"/>
      <c r="D278" s="566">
        <f t="shared" si="10"/>
        <v>1</v>
      </c>
      <c r="E278" s="566">
        <f t="shared" si="9"/>
        <v>2</v>
      </c>
      <c r="F278" s="566">
        <f t="shared" si="9"/>
        <v>2</v>
      </c>
      <c r="G278" s="566">
        <f t="shared" si="9"/>
        <v>1</v>
      </c>
      <c r="H278" s="566">
        <f t="shared" si="9"/>
        <v>2</v>
      </c>
      <c r="I278" s="566">
        <f t="shared" si="9"/>
        <v>2</v>
      </c>
      <c r="J278" s="566">
        <f t="shared" si="9"/>
        <v>2</v>
      </c>
      <c r="K278" s="566">
        <f t="shared" si="9"/>
        <v>2</v>
      </c>
      <c r="L278" s="566">
        <f t="shared" si="9"/>
        <v>0</v>
      </c>
      <c r="M278" s="566">
        <f t="shared" si="9"/>
        <v>1</v>
      </c>
      <c r="N278" s="566">
        <f t="shared" si="9"/>
        <v>2</v>
      </c>
      <c r="O278" s="566">
        <f t="shared" si="9"/>
        <v>1</v>
      </c>
      <c r="P278" s="566">
        <f t="shared" si="9"/>
        <v>2</v>
      </c>
      <c r="Q278" s="566">
        <f t="shared" si="9"/>
        <v>2</v>
      </c>
      <c r="R278" s="566">
        <f t="shared" si="9"/>
        <v>1</v>
      </c>
      <c r="S278" s="566">
        <f t="shared" si="9"/>
        <v>1</v>
      </c>
      <c r="T278" s="566">
        <f t="shared" si="9"/>
        <v>1</v>
      </c>
      <c r="U278" s="566">
        <f t="shared" si="9"/>
        <v>2</v>
      </c>
      <c r="V278" s="566">
        <f t="shared" si="9"/>
        <v>2</v>
      </c>
      <c r="W278" s="566">
        <f t="shared" si="9"/>
        <v>2</v>
      </c>
      <c r="X278" s="566">
        <f t="shared" si="9"/>
        <v>1</v>
      </c>
      <c r="Y278" s="566">
        <f t="shared" si="9"/>
        <v>2</v>
      </c>
      <c r="Z278" s="566">
        <f t="shared" si="9"/>
        <v>1</v>
      </c>
      <c r="AA278" s="566">
        <f t="shared" si="9"/>
        <v>2</v>
      </c>
      <c r="AB278" s="566">
        <f t="shared" si="9"/>
        <v>2</v>
      </c>
      <c r="AC278" s="566">
        <f t="shared" si="9"/>
        <v>2</v>
      </c>
      <c r="AD278" s="566">
        <f t="shared" si="9"/>
        <v>2</v>
      </c>
      <c r="AE278" s="566">
        <f t="shared" si="9"/>
        <v>2</v>
      </c>
      <c r="AF278" s="566">
        <f t="shared" si="9"/>
        <v>2</v>
      </c>
      <c r="AG278" s="566">
        <f t="shared" si="9"/>
        <v>2</v>
      </c>
      <c r="AH278" s="566">
        <f t="shared" si="9"/>
        <v>2</v>
      </c>
      <c r="AI278" s="566">
        <f t="shared" si="9"/>
        <v>2</v>
      </c>
      <c r="AJ278" s="566">
        <f t="shared" si="9"/>
        <v>1</v>
      </c>
      <c r="AK278" s="566">
        <f t="shared" si="9"/>
        <v>1</v>
      </c>
      <c r="AL278" s="566">
        <f t="shared" si="9"/>
        <v>2</v>
      </c>
      <c r="AM278" s="566">
        <f t="shared" si="9"/>
        <v>1</v>
      </c>
      <c r="AN278" s="566">
        <f t="shared" si="9"/>
        <v>2</v>
      </c>
      <c r="AO278" s="566">
        <f t="shared" si="9"/>
        <v>2</v>
      </c>
      <c r="AP278" s="566">
        <f t="shared" si="9"/>
        <v>2</v>
      </c>
      <c r="AQ278" s="566">
        <f t="shared" si="9"/>
        <v>1</v>
      </c>
      <c r="AR278" s="566">
        <f t="shared" si="9"/>
        <v>1</v>
      </c>
      <c r="AS278" s="566">
        <f t="shared" si="9"/>
        <v>0</v>
      </c>
      <c r="AT278" s="566">
        <f t="shared" si="9"/>
        <v>2</v>
      </c>
      <c r="AU278" s="566">
        <f t="shared" si="9"/>
        <v>2</v>
      </c>
      <c r="AV278" s="566">
        <f t="shared" si="9"/>
        <v>0</v>
      </c>
      <c r="AW278" s="566">
        <f t="shared" si="9"/>
        <v>2</v>
      </c>
      <c r="AX278" s="566">
        <f t="shared" si="9"/>
        <v>1</v>
      </c>
      <c r="AY278" s="566">
        <f t="shared" si="9"/>
        <v>1</v>
      </c>
      <c r="BB278" s="173"/>
      <c r="BC278" s="173"/>
      <c r="BD278" s="173"/>
      <c r="BE278" s="173"/>
      <c r="BF278" s="173"/>
      <c r="BG278" s="173"/>
      <c r="BH278" s="173"/>
      <c r="BI278" s="173"/>
      <c r="BJ278" s="173"/>
      <c r="BK278" s="173"/>
      <c r="BL278" s="173"/>
      <c r="BM278" s="173"/>
      <c r="BN278" s="173"/>
      <c r="BO278" s="173"/>
      <c r="BP278" s="173"/>
      <c r="BQ278" s="173"/>
      <c r="BR278" s="173"/>
      <c r="BS278" s="173"/>
      <c r="BT278" s="173"/>
      <c r="BU278" s="173"/>
      <c r="BV278" s="173"/>
      <c r="BW278" s="173"/>
      <c r="BX278" s="173"/>
      <c r="BY278" s="173"/>
      <c r="BZ278" s="173"/>
      <c r="CA278" s="173"/>
      <c r="CB278" s="173"/>
      <c r="CC278" s="173"/>
      <c r="CD278" s="173"/>
      <c r="CE278" s="173"/>
      <c r="CF278" s="173"/>
      <c r="CG278" s="173"/>
      <c r="CH278" s="173"/>
      <c r="CI278" s="173"/>
      <c r="CJ278" s="173"/>
      <c r="CK278" s="173"/>
      <c r="CL278" s="173"/>
      <c r="CM278" s="173"/>
      <c r="CN278" s="173"/>
      <c r="CO278" s="173"/>
      <c r="CP278" s="173"/>
      <c r="CQ278" s="173"/>
      <c r="CR278" s="173"/>
      <c r="CS278" s="173"/>
      <c r="CT278" s="173"/>
      <c r="CU278" s="173"/>
      <c r="CV278" s="173"/>
    </row>
    <row r="279" spans="2:105" x14ac:dyDescent="0.3">
      <c r="B279" s="555">
        <v>976</v>
      </c>
      <c r="C279" s="173"/>
      <c r="D279" s="556"/>
      <c r="E279" s="556"/>
      <c r="F279" s="556"/>
      <c r="G279" s="556"/>
      <c r="H279" s="556"/>
      <c r="I279" s="556"/>
      <c r="J279" s="556"/>
      <c r="K279" s="556"/>
      <c r="L279" s="556"/>
      <c r="M279" s="556"/>
      <c r="N279" s="556"/>
      <c r="O279" s="556"/>
      <c r="P279" s="556"/>
      <c r="Q279" s="556"/>
      <c r="R279" s="556"/>
      <c r="S279" s="556"/>
      <c r="T279" s="556"/>
      <c r="U279" s="556"/>
      <c r="V279" s="556"/>
      <c r="W279" s="556"/>
      <c r="X279" s="556"/>
      <c r="Y279" s="556"/>
      <c r="Z279" s="556"/>
      <c r="AA279" s="556"/>
      <c r="AB279" s="556"/>
      <c r="AC279" s="556"/>
      <c r="AD279" s="556"/>
      <c r="AE279" s="556"/>
      <c r="AF279" s="556"/>
      <c r="AG279" s="556"/>
      <c r="AH279" s="556"/>
      <c r="AI279" s="556"/>
      <c r="AJ279" s="556"/>
      <c r="AK279" s="556"/>
      <c r="AL279" s="556"/>
      <c r="AM279" s="556"/>
      <c r="AN279" s="556"/>
      <c r="AO279" s="556"/>
      <c r="AP279" s="556"/>
      <c r="AQ279" s="556"/>
      <c r="AR279" s="556"/>
      <c r="AS279" s="556"/>
      <c r="AT279" s="556"/>
      <c r="AU279" s="556"/>
      <c r="AV279" s="556"/>
      <c r="AW279" s="556"/>
      <c r="AX279" s="556"/>
      <c r="AY279" s="556"/>
      <c r="BB279" s="173"/>
      <c r="BC279" s="173"/>
      <c r="BD279" s="173"/>
      <c r="BE279" s="173"/>
      <c r="BF279" s="173"/>
      <c r="BG279" s="173"/>
      <c r="BH279" s="173"/>
      <c r="BI279" s="173"/>
      <c r="BJ279" s="173"/>
      <c r="BK279" s="173"/>
      <c r="BL279" s="173"/>
      <c r="BM279" s="173"/>
      <c r="BN279" s="173"/>
      <c r="BO279" s="173"/>
      <c r="BP279" s="173"/>
      <c r="BQ279" s="173"/>
      <c r="BR279" s="173"/>
      <c r="BS279" s="173"/>
      <c r="BT279" s="173"/>
      <c r="BU279" s="173"/>
      <c r="BV279" s="173"/>
      <c r="BW279" s="173"/>
      <c r="BX279" s="173"/>
      <c r="BY279" s="173"/>
      <c r="BZ279" s="173"/>
      <c r="CA279" s="173"/>
      <c r="CB279" s="173"/>
      <c r="CC279" s="173"/>
      <c r="CD279" s="173"/>
      <c r="CE279" s="173"/>
      <c r="CF279" s="173"/>
      <c r="CG279" s="173"/>
      <c r="CH279" s="173"/>
      <c r="CI279" s="173"/>
      <c r="CJ279" s="173"/>
      <c r="CK279" s="173"/>
      <c r="CL279" s="173"/>
      <c r="CM279" s="173"/>
      <c r="CN279" s="173"/>
      <c r="CO279" s="173"/>
      <c r="CP279" s="173"/>
      <c r="CQ279" s="173"/>
      <c r="CR279" s="173"/>
      <c r="CS279" s="173"/>
      <c r="CT279" s="173"/>
      <c r="CU279" s="173"/>
      <c r="CV279" s="173"/>
    </row>
    <row r="280" spans="2:105" x14ac:dyDescent="0.3">
      <c r="B280" s="555">
        <v>977</v>
      </c>
      <c r="C280" s="173"/>
      <c r="D280" s="566"/>
      <c r="E280" s="566"/>
      <c r="F280" s="566"/>
      <c r="G280" s="566"/>
      <c r="H280" s="566"/>
      <c r="I280" s="566"/>
      <c r="J280" s="566"/>
      <c r="K280" s="566"/>
      <c r="L280" s="566"/>
      <c r="M280" s="566"/>
      <c r="N280" s="566"/>
      <c r="O280" s="566"/>
      <c r="P280" s="566"/>
      <c r="Q280" s="566"/>
      <c r="R280" s="566"/>
      <c r="S280" s="566"/>
      <c r="T280" s="566"/>
      <c r="U280" s="566"/>
      <c r="V280" s="566"/>
      <c r="W280" s="566"/>
      <c r="X280" s="566"/>
      <c r="Y280" s="566"/>
      <c r="Z280" s="566"/>
      <c r="AA280" s="566"/>
      <c r="AB280" s="566"/>
      <c r="AC280" s="566"/>
      <c r="AD280" s="566"/>
      <c r="AE280" s="566"/>
      <c r="AF280" s="566"/>
      <c r="AG280" s="566"/>
      <c r="AH280" s="566"/>
      <c r="AI280" s="566"/>
      <c r="AJ280" s="566"/>
      <c r="AK280" s="566"/>
      <c r="AL280" s="566"/>
      <c r="AM280" s="566"/>
      <c r="AN280" s="566"/>
      <c r="AO280" s="566"/>
      <c r="AP280" s="566"/>
      <c r="AQ280" s="566"/>
      <c r="AR280" s="566"/>
      <c r="AS280" s="566"/>
      <c r="AT280" s="566"/>
      <c r="AU280" s="566"/>
      <c r="AV280" s="566"/>
      <c r="AW280" s="566"/>
      <c r="AX280" s="566"/>
      <c r="AY280" s="566"/>
      <c r="BB280" s="173"/>
      <c r="BC280" s="173"/>
      <c r="BD280" s="173"/>
      <c r="BE280" s="173"/>
      <c r="BF280" s="173"/>
      <c r="BG280" s="173"/>
      <c r="BH280" s="173"/>
      <c r="BI280" s="173"/>
      <c r="BJ280" s="173"/>
      <c r="BK280" s="173"/>
      <c r="BL280" s="173"/>
      <c r="BM280" s="173"/>
      <c r="BN280" s="173"/>
      <c r="BO280" s="173"/>
      <c r="BP280" s="173"/>
      <c r="BQ280" s="173"/>
      <c r="BR280" s="173"/>
      <c r="BS280" s="173"/>
      <c r="BT280" s="173"/>
      <c r="BU280" s="173"/>
      <c r="BV280" s="173"/>
      <c r="BW280" s="173"/>
      <c r="BX280" s="173"/>
      <c r="BY280" s="173"/>
      <c r="BZ280" s="173"/>
      <c r="CA280" s="173"/>
      <c r="CB280" s="173"/>
      <c r="CC280" s="173"/>
      <c r="CD280" s="173"/>
      <c r="CE280" s="173"/>
      <c r="CF280" s="173"/>
      <c r="CG280" s="173"/>
      <c r="CH280" s="173"/>
      <c r="CI280" s="173"/>
      <c r="CJ280" s="173"/>
      <c r="CK280" s="173"/>
      <c r="CL280" s="173"/>
      <c r="CM280" s="173"/>
      <c r="CN280" s="173"/>
      <c r="CO280" s="173"/>
      <c r="CP280" s="173"/>
      <c r="CQ280" s="173"/>
      <c r="CR280" s="173"/>
      <c r="CS280" s="173"/>
      <c r="CT280" s="173"/>
      <c r="CU280" s="173"/>
      <c r="CV280" s="173"/>
    </row>
    <row r="281" spans="2:105" x14ac:dyDescent="0.3">
      <c r="B281" s="555">
        <v>978</v>
      </c>
      <c r="C281" s="173"/>
      <c r="D281" s="566" t="s">
        <v>327</v>
      </c>
      <c r="E281" s="566" t="s">
        <v>327</v>
      </c>
      <c r="F281" s="566" t="s">
        <v>327</v>
      </c>
      <c r="G281" s="566" t="s">
        <v>327</v>
      </c>
      <c r="H281" s="566" t="s">
        <v>327</v>
      </c>
      <c r="I281" s="566" t="s">
        <v>327</v>
      </c>
      <c r="J281" s="566" t="s">
        <v>327</v>
      </c>
      <c r="K281" s="566" t="s">
        <v>327</v>
      </c>
      <c r="L281" s="566" t="s">
        <v>327</v>
      </c>
      <c r="M281" s="566" t="s">
        <v>327</v>
      </c>
      <c r="N281" s="566" t="s">
        <v>327</v>
      </c>
      <c r="O281" s="566" t="s">
        <v>327</v>
      </c>
      <c r="P281" s="566" t="s">
        <v>327</v>
      </c>
      <c r="Q281" s="566" t="s">
        <v>327</v>
      </c>
      <c r="R281" s="566" t="s">
        <v>327</v>
      </c>
      <c r="S281" s="566" t="s">
        <v>327</v>
      </c>
      <c r="T281" s="566" t="s">
        <v>327</v>
      </c>
      <c r="U281" s="566" t="s">
        <v>327</v>
      </c>
      <c r="V281" s="566" t="s">
        <v>327</v>
      </c>
      <c r="W281" s="566" t="s">
        <v>327</v>
      </c>
      <c r="X281" s="566" t="s">
        <v>327</v>
      </c>
      <c r="Y281" s="566" t="s">
        <v>327</v>
      </c>
      <c r="Z281" s="566" t="s">
        <v>327</v>
      </c>
      <c r="AA281" s="566" t="s">
        <v>327</v>
      </c>
      <c r="AB281" s="566" t="s">
        <v>327</v>
      </c>
      <c r="AC281" s="566" t="s">
        <v>327</v>
      </c>
      <c r="AD281" s="566" t="s">
        <v>327</v>
      </c>
      <c r="AE281" s="566" t="s">
        <v>327</v>
      </c>
      <c r="AF281" s="566" t="s">
        <v>327</v>
      </c>
      <c r="AG281" s="566" t="s">
        <v>327</v>
      </c>
      <c r="AH281" s="566" t="s">
        <v>327</v>
      </c>
      <c r="AI281" s="566" t="s">
        <v>327</v>
      </c>
      <c r="AJ281" s="566" t="s">
        <v>327</v>
      </c>
      <c r="AK281" s="566" t="s">
        <v>327</v>
      </c>
      <c r="AL281" s="566" t="s">
        <v>327</v>
      </c>
      <c r="AM281" s="566" t="s">
        <v>327</v>
      </c>
      <c r="AN281" s="566" t="s">
        <v>327</v>
      </c>
      <c r="AO281" s="566" t="s">
        <v>327</v>
      </c>
      <c r="AP281" s="566" t="s">
        <v>327</v>
      </c>
      <c r="AQ281" s="566" t="s">
        <v>327</v>
      </c>
      <c r="AR281" s="566" t="s">
        <v>327</v>
      </c>
      <c r="AS281" s="566" t="s">
        <v>327</v>
      </c>
      <c r="AT281" s="566" t="s">
        <v>327</v>
      </c>
      <c r="AU281" s="566" t="s">
        <v>327</v>
      </c>
      <c r="AV281" s="566" t="s">
        <v>327</v>
      </c>
      <c r="AW281" s="566" t="s">
        <v>327</v>
      </c>
      <c r="AX281" s="566" t="s">
        <v>327</v>
      </c>
      <c r="AY281" s="566" t="s">
        <v>327</v>
      </c>
      <c r="BB281" s="173"/>
      <c r="BC281" s="173"/>
      <c r="BD281" s="173"/>
      <c r="BE281" s="173"/>
      <c r="BF281" s="173"/>
      <c r="BG281" s="173"/>
      <c r="BH281" s="173"/>
      <c r="BI281" s="173"/>
      <c r="BJ281" s="173"/>
      <c r="BK281" s="173"/>
      <c r="BL281" s="173"/>
      <c r="BM281" s="173"/>
      <c r="BN281" s="173"/>
      <c r="BO281" s="173"/>
      <c r="BP281" s="173"/>
      <c r="BQ281" s="173"/>
      <c r="BR281" s="173"/>
      <c r="BS281" s="173"/>
      <c r="BT281" s="173"/>
      <c r="BU281" s="173"/>
      <c r="BV281" s="173"/>
      <c r="BW281" s="173"/>
      <c r="BX281" s="173"/>
      <c r="BY281" s="173"/>
      <c r="BZ281" s="173"/>
      <c r="CA281" s="173"/>
      <c r="CB281" s="173"/>
      <c r="CC281" s="173"/>
      <c r="CD281" s="173"/>
      <c r="CE281" s="173"/>
      <c r="CF281" s="173"/>
      <c r="CG281" s="173"/>
      <c r="CH281" s="173"/>
      <c r="CI281" s="173"/>
      <c r="CJ281" s="173"/>
      <c r="CK281" s="173"/>
      <c r="CL281" s="173"/>
      <c r="CM281" s="173"/>
      <c r="CN281" s="173"/>
      <c r="CO281" s="173"/>
      <c r="CP281" s="173"/>
      <c r="CQ281" s="173"/>
      <c r="CR281" s="173"/>
      <c r="CS281" s="173"/>
      <c r="CT281" s="173"/>
      <c r="CU281" s="173"/>
      <c r="CV281" s="173"/>
    </row>
    <row r="282" spans="2:105" x14ac:dyDescent="0.3">
      <c r="B282" s="555">
        <v>979</v>
      </c>
      <c r="C282" s="173"/>
      <c r="D282" s="566">
        <f>D222</f>
        <v>1</v>
      </c>
      <c r="E282" s="566">
        <f t="shared" ref="E282:AY282" si="11">E222</f>
        <v>1</v>
      </c>
      <c r="F282" s="566">
        <f t="shared" si="11"/>
        <v>1</v>
      </c>
      <c r="G282" s="566">
        <f t="shared" si="11"/>
        <v>2</v>
      </c>
      <c r="H282" s="566">
        <f t="shared" si="11"/>
        <v>1</v>
      </c>
      <c r="I282" s="566">
        <f t="shared" si="11"/>
        <v>1</v>
      </c>
      <c r="J282" s="566">
        <f t="shared" si="11"/>
        <v>1</v>
      </c>
      <c r="K282" s="566">
        <f t="shared" si="11"/>
        <v>1</v>
      </c>
      <c r="L282" s="566">
        <f t="shared" si="11"/>
        <v>0</v>
      </c>
      <c r="M282" s="566">
        <f t="shared" si="11"/>
        <v>1</v>
      </c>
      <c r="N282" s="566">
        <f t="shared" si="11"/>
        <v>1</v>
      </c>
      <c r="O282" s="566">
        <f t="shared" si="11"/>
        <v>2</v>
      </c>
      <c r="P282" s="566">
        <f t="shared" si="11"/>
        <v>1</v>
      </c>
      <c r="Q282" s="566">
        <f t="shared" si="11"/>
        <v>1</v>
      </c>
      <c r="R282" s="566">
        <f t="shared" si="11"/>
        <v>1</v>
      </c>
      <c r="S282" s="566">
        <f t="shared" si="11"/>
        <v>1</v>
      </c>
      <c r="T282" s="566">
        <f t="shared" si="11"/>
        <v>2</v>
      </c>
      <c r="U282" s="566">
        <f t="shared" si="11"/>
        <v>1</v>
      </c>
      <c r="V282" s="566">
        <f t="shared" si="11"/>
        <v>1</v>
      </c>
      <c r="W282" s="566">
        <f t="shared" si="11"/>
        <v>1</v>
      </c>
      <c r="X282" s="566">
        <f t="shared" si="11"/>
        <v>1</v>
      </c>
      <c r="Y282" s="566">
        <f t="shared" si="11"/>
        <v>1</v>
      </c>
      <c r="Z282" s="566">
        <f t="shared" si="11"/>
        <v>1</v>
      </c>
      <c r="AA282" s="566">
        <f t="shared" si="11"/>
        <v>1</v>
      </c>
      <c r="AB282" s="566">
        <f t="shared" si="11"/>
        <v>1</v>
      </c>
      <c r="AC282" s="566">
        <f t="shared" si="11"/>
        <v>1</v>
      </c>
      <c r="AD282" s="566">
        <f t="shared" si="11"/>
        <v>1</v>
      </c>
      <c r="AE282" s="566">
        <f t="shared" si="11"/>
        <v>1</v>
      </c>
      <c r="AF282" s="566">
        <f t="shared" si="11"/>
        <v>1</v>
      </c>
      <c r="AG282" s="566">
        <f t="shared" si="11"/>
        <v>1</v>
      </c>
      <c r="AH282" s="566">
        <f t="shared" si="11"/>
        <v>1</v>
      </c>
      <c r="AI282" s="566">
        <f t="shared" si="11"/>
        <v>1</v>
      </c>
      <c r="AJ282" s="566">
        <f t="shared" si="11"/>
        <v>1</v>
      </c>
      <c r="AK282" s="566">
        <f t="shared" si="11"/>
        <v>2</v>
      </c>
      <c r="AL282" s="566">
        <f t="shared" si="11"/>
        <v>1</v>
      </c>
      <c r="AM282" s="566">
        <f t="shared" si="11"/>
        <v>1</v>
      </c>
      <c r="AN282" s="566">
        <f t="shared" si="11"/>
        <v>1</v>
      </c>
      <c r="AO282" s="566">
        <f t="shared" si="11"/>
        <v>1</v>
      </c>
      <c r="AP282" s="566">
        <f t="shared" si="11"/>
        <v>1</v>
      </c>
      <c r="AQ282" s="566">
        <f t="shared" si="11"/>
        <v>1</v>
      </c>
      <c r="AR282" s="566">
        <f t="shared" si="11"/>
        <v>2</v>
      </c>
      <c r="AS282" s="566">
        <f t="shared" si="11"/>
        <v>0</v>
      </c>
      <c r="AT282" s="566">
        <f t="shared" si="11"/>
        <v>1</v>
      </c>
      <c r="AU282" s="566">
        <f t="shared" si="11"/>
        <v>1</v>
      </c>
      <c r="AV282" s="566">
        <f t="shared" si="11"/>
        <v>0</v>
      </c>
      <c r="AW282" s="566">
        <f t="shared" si="11"/>
        <v>1</v>
      </c>
      <c r="AX282" s="566">
        <f t="shared" si="11"/>
        <v>2</v>
      </c>
      <c r="AY282" s="566">
        <f t="shared" si="11"/>
        <v>2</v>
      </c>
      <c r="BB282" s="173"/>
      <c r="BC282" s="173"/>
      <c r="BD282" s="173"/>
      <c r="BE282" s="173"/>
      <c r="BF282" s="173"/>
      <c r="BG282" s="173"/>
      <c r="BH282" s="173"/>
      <c r="BI282" s="173"/>
      <c r="BJ282" s="173"/>
      <c r="BK282" s="173"/>
      <c r="BL282" s="173"/>
      <c r="BM282" s="173"/>
      <c r="BN282" s="173"/>
      <c r="BO282" s="173"/>
      <c r="BP282" s="173"/>
      <c r="BQ282" s="173"/>
      <c r="BR282" s="173"/>
      <c r="BS282" s="173"/>
      <c r="BT282" s="173"/>
      <c r="BU282" s="173"/>
      <c r="BV282" s="173"/>
      <c r="BW282" s="173"/>
      <c r="BX282" s="173"/>
      <c r="BY282" s="173"/>
      <c r="BZ282" s="173"/>
      <c r="CA282" s="173"/>
      <c r="CB282" s="173"/>
      <c r="CC282" s="173"/>
      <c r="CD282" s="173"/>
      <c r="CE282" s="173"/>
      <c r="CF282" s="173"/>
      <c r="CG282" s="173"/>
      <c r="CH282" s="173"/>
      <c r="CI282" s="173"/>
      <c r="CJ282" s="173"/>
      <c r="CK282" s="173"/>
      <c r="CL282" s="173"/>
      <c r="CM282" s="173"/>
      <c r="CN282" s="173"/>
      <c r="CO282" s="173"/>
      <c r="CP282" s="173"/>
      <c r="CQ282" s="173"/>
      <c r="CR282" s="173"/>
      <c r="CS282" s="173"/>
      <c r="CT282" s="173"/>
      <c r="CU282" s="173"/>
      <c r="CV282" s="173"/>
    </row>
    <row r="283" spans="2:105" x14ac:dyDescent="0.3">
      <c r="B283" s="149">
        <v>995</v>
      </c>
      <c r="C283" s="173"/>
      <c r="D283" s="556">
        <f>D227</f>
        <v>0</v>
      </c>
      <c r="E283" s="556">
        <f t="shared" ref="E283:AY286" si="12">E227</f>
        <v>0</v>
      </c>
      <c r="F283" s="556">
        <f t="shared" si="12"/>
        <v>0</v>
      </c>
      <c r="G283" s="556">
        <f t="shared" si="12"/>
        <v>0</v>
      </c>
      <c r="H283" s="556">
        <f t="shared" si="12"/>
        <v>0</v>
      </c>
      <c r="I283" s="556">
        <f t="shared" si="12"/>
        <v>0</v>
      </c>
      <c r="J283" s="556">
        <f t="shared" si="12"/>
        <v>0</v>
      </c>
      <c r="K283" s="556">
        <f t="shared" si="12"/>
        <v>0</v>
      </c>
      <c r="L283" s="556">
        <f t="shared" si="12"/>
        <v>0</v>
      </c>
      <c r="M283" s="556">
        <f t="shared" si="12"/>
        <v>0</v>
      </c>
      <c r="N283" s="556">
        <f t="shared" si="12"/>
        <v>0</v>
      </c>
      <c r="O283" s="556">
        <f t="shared" si="12"/>
        <v>0</v>
      </c>
      <c r="P283" s="556">
        <f t="shared" si="12"/>
        <v>0.09</v>
      </c>
      <c r="Q283" s="556">
        <f t="shared" si="12"/>
        <v>0</v>
      </c>
      <c r="R283" s="556">
        <f t="shared" si="12"/>
        <v>0</v>
      </c>
      <c r="S283" s="556">
        <f t="shared" si="12"/>
        <v>0</v>
      </c>
      <c r="T283" s="556">
        <f t="shared" si="12"/>
        <v>0</v>
      </c>
      <c r="U283" s="556">
        <f t="shared" si="12"/>
        <v>0.08</v>
      </c>
      <c r="V283" s="556">
        <f t="shared" si="12"/>
        <v>0</v>
      </c>
      <c r="W283" s="556">
        <f t="shared" si="12"/>
        <v>0</v>
      </c>
      <c r="X283" s="556">
        <f t="shared" si="12"/>
        <v>0</v>
      </c>
      <c r="Y283" s="556">
        <f t="shared" si="12"/>
        <v>0</v>
      </c>
      <c r="Z283" s="556">
        <f t="shared" si="12"/>
        <v>0</v>
      </c>
      <c r="AA283" s="556">
        <f t="shared" si="12"/>
        <v>0</v>
      </c>
      <c r="AB283" s="556">
        <f t="shared" si="12"/>
        <v>0</v>
      </c>
      <c r="AC283" s="556">
        <f t="shared" si="12"/>
        <v>0</v>
      </c>
      <c r="AD283" s="556">
        <f t="shared" si="12"/>
        <v>0</v>
      </c>
      <c r="AE283" s="556">
        <f t="shared" si="12"/>
        <v>0</v>
      </c>
      <c r="AF283" s="556">
        <f t="shared" si="12"/>
        <v>0</v>
      </c>
      <c r="AG283" s="556">
        <f t="shared" si="12"/>
        <v>0</v>
      </c>
      <c r="AH283" s="556">
        <f t="shared" si="12"/>
        <v>0</v>
      </c>
      <c r="AI283" s="556">
        <f t="shared" si="12"/>
        <v>0</v>
      </c>
      <c r="AJ283" s="556">
        <f t="shared" si="12"/>
        <v>0</v>
      </c>
      <c r="AK283" s="556">
        <f t="shared" si="12"/>
        <v>0</v>
      </c>
      <c r="AL283" s="556">
        <f t="shared" si="12"/>
        <v>0</v>
      </c>
      <c r="AM283" s="556">
        <f t="shared" si="12"/>
        <v>0</v>
      </c>
      <c r="AN283" s="556">
        <f t="shared" si="12"/>
        <v>0</v>
      </c>
      <c r="AO283" s="556">
        <f t="shared" si="12"/>
        <v>0</v>
      </c>
      <c r="AP283" s="556">
        <f t="shared" si="12"/>
        <v>0</v>
      </c>
      <c r="AQ283" s="556">
        <f t="shared" si="12"/>
        <v>0</v>
      </c>
      <c r="AR283" s="556">
        <f t="shared" si="12"/>
        <v>0</v>
      </c>
      <c r="AS283" s="556">
        <f t="shared" si="12"/>
        <v>0</v>
      </c>
      <c r="AT283" s="556">
        <f t="shared" si="12"/>
        <v>0</v>
      </c>
      <c r="AU283" s="556">
        <f t="shared" si="12"/>
        <v>0</v>
      </c>
      <c r="AV283" s="556">
        <f t="shared" si="12"/>
        <v>0</v>
      </c>
      <c r="AW283" s="556">
        <f t="shared" si="12"/>
        <v>0</v>
      </c>
      <c r="AX283" s="556">
        <f t="shared" si="12"/>
        <v>0</v>
      </c>
      <c r="AY283" s="556">
        <f t="shared" si="12"/>
        <v>0</v>
      </c>
      <c r="BB283" s="173"/>
      <c r="BC283" s="173"/>
      <c r="BD283" s="173"/>
      <c r="BE283" s="173"/>
      <c r="BF283" s="173"/>
      <c r="BG283" s="173"/>
      <c r="BH283" s="173"/>
      <c r="BI283" s="173"/>
      <c r="BJ283" s="173"/>
      <c r="BK283" s="173"/>
      <c r="BL283" s="173"/>
      <c r="BM283" s="173"/>
      <c r="BN283" s="173"/>
      <c r="BO283" s="173"/>
      <c r="BP283" s="173"/>
      <c r="BQ283" s="173"/>
      <c r="BR283" s="173"/>
      <c r="BS283" s="173"/>
      <c r="BT283" s="173"/>
      <c r="BU283" s="173"/>
      <c r="BV283" s="173"/>
      <c r="BW283" s="173"/>
      <c r="BX283" s="173"/>
      <c r="BY283" s="173"/>
      <c r="BZ283" s="173"/>
      <c r="CA283" s="173"/>
      <c r="CB283" s="173"/>
      <c r="CC283" s="173"/>
      <c r="CD283" s="173"/>
      <c r="CE283" s="173"/>
      <c r="CF283" s="173"/>
      <c r="CG283" s="173"/>
      <c r="CH283" s="173"/>
      <c r="CI283" s="173"/>
      <c r="CJ283" s="173"/>
      <c r="CK283" s="173"/>
      <c r="CL283" s="173"/>
      <c r="CM283" s="173"/>
      <c r="CN283" s="173"/>
      <c r="CO283" s="173"/>
      <c r="CP283" s="173"/>
      <c r="CQ283" s="173"/>
      <c r="CR283" s="173"/>
      <c r="CS283" s="173"/>
      <c r="CT283" s="173"/>
      <c r="CU283" s="173"/>
      <c r="CV283" s="173"/>
      <c r="CW283" s="173"/>
      <c r="CX283" s="173"/>
      <c r="CY283" s="173"/>
      <c r="CZ283" s="173"/>
      <c r="DA283" s="173"/>
    </row>
    <row r="284" spans="2:105" x14ac:dyDescent="0.3">
      <c r="B284" s="149">
        <v>996</v>
      </c>
      <c r="C284" s="173"/>
      <c r="D284" s="556">
        <f t="shared" ref="D284:S286" si="13">D228</f>
        <v>0.01</v>
      </c>
      <c r="E284" s="556">
        <f t="shared" si="13"/>
        <v>0.01</v>
      </c>
      <c r="F284" s="556">
        <f t="shared" si="13"/>
        <v>0.01</v>
      </c>
      <c r="G284" s="556">
        <f t="shared" si="13"/>
        <v>0.01</v>
      </c>
      <c r="H284" s="556">
        <f t="shared" si="13"/>
        <v>0.01</v>
      </c>
      <c r="I284" s="556">
        <f t="shared" si="13"/>
        <v>0.01</v>
      </c>
      <c r="J284" s="556">
        <f t="shared" si="13"/>
        <v>0.01</v>
      </c>
      <c r="K284" s="556">
        <f t="shared" si="13"/>
        <v>0.01</v>
      </c>
      <c r="L284" s="556">
        <f t="shared" si="13"/>
        <v>0.01</v>
      </c>
      <c r="M284" s="556">
        <f t="shared" si="13"/>
        <v>0.01</v>
      </c>
      <c r="N284" s="556">
        <f t="shared" si="13"/>
        <v>0.01</v>
      </c>
      <c r="O284" s="556">
        <f t="shared" si="13"/>
        <v>0.01</v>
      </c>
      <c r="P284" s="556">
        <f t="shared" si="13"/>
        <v>0.01</v>
      </c>
      <c r="Q284" s="556">
        <f t="shared" si="13"/>
        <v>0.01</v>
      </c>
      <c r="R284" s="556">
        <f t="shared" si="13"/>
        <v>0.01</v>
      </c>
      <c r="S284" s="556">
        <f t="shared" si="13"/>
        <v>0.01</v>
      </c>
      <c r="T284" s="556">
        <f t="shared" si="12"/>
        <v>0.01</v>
      </c>
      <c r="U284" s="556">
        <f t="shared" si="12"/>
        <v>0</v>
      </c>
      <c r="V284" s="556">
        <f t="shared" si="12"/>
        <v>0.01</v>
      </c>
      <c r="W284" s="556">
        <f t="shared" si="12"/>
        <v>0.01</v>
      </c>
      <c r="X284" s="556">
        <f t="shared" si="12"/>
        <v>0.01</v>
      </c>
      <c r="Y284" s="556">
        <f t="shared" si="12"/>
        <v>0.01</v>
      </c>
      <c r="Z284" s="556">
        <f t="shared" si="12"/>
        <v>0.01</v>
      </c>
      <c r="AA284" s="556">
        <f t="shared" si="12"/>
        <v>0.01</v>
      </c>
      <c r="AB284" s="556">
        <f t="shared" si="12"/>
        <v>0.01</v>
      </c>
      <c r="AC284" s="556">
        <f t="shared" si="12"/>
        <v>0.01</v>
      </c>
      <c r="AD284" s="556">
        <f t="shared" si="12"/>
        <v>0.01</v>
      </c>
      <c r="AE284" s="556">
        <f t="shared" si="12"/>
        <v>0.01</v>
      </c>
      <c r="AF284" s="556">
        <f t="shared" si="12"/>
        <v>0.01</v>
      </c>
      <c r="AG284" s="556">
        <f t="shared" si="12"/>
        <v>0.01</v>
      </c>
      <c r="AH284" s="556">
        <f t="shared" si="12"/>
        <v>0.01</v>
      </c>
      <c r="AI284" s="556">
        <f t="shared" si="12"/>
        <v>0.01</v>
      </c>
      <c r="AJ284" s="556">
        <f t="shared" si="12"/>
        <v>0.01</v>
      </c>
      <c r="AK284" s="556">
        <f t="shared" si="12"/>
        <v>0.01</v>
      </c>
      <c r="AL284" s="556">
        <f t="shared" si="12"/>
        <v>0.01</v>
      </c>
      <c r="AM284" s="556">
        <f t="shared" si="12"/>
        <v>0.01</v>
      </c>
      <c r="AN284" s="556">
        <f t="shared" si="12"/>
        <v>0.01</v>
      </c>
      <c r="AO284" s="556">
        <f t="shared" si="12"/>
        <v>0.01</v>
      </c>
      <c r="AP284" s="556">
        <f t="shared" si="12"/>
        <v>0.01</v>
      </c>
      <c r="AQ284" s="556">
        <f t="shared" si="12"/>
        <v>0.01</v>
      </c>
      <c r="AR284" s="556">
        <f t="shared" si="12"/>
        <v>0.01</v>
      </c>
      <c r="AS284" s="556">
        <f t="shared" si="12"/>
        <v>0.01</v>
      </c>
      <c r="AT284" s="556">
        <f t="shared" si="12"/>
        <v>0.01</v>
      </c>
      <c r="AU284" s="556">
        <f t="shared" si="12"/>
        <v>0.01</v>
      </c>
      <c r="AV284" s="556">
        <f t="shared" si="12"/>
        <v>0.01</v>
      </c>
      <c r="AW284" s="556">
        <f t="shared" si="12"/>
        <v>0.01</v>
      </c>
      <c r="AX284" s="556">
        <f t="shared" si="12"/>
        <v>0.01</v>
      </c>
      <c r="AY284" s="556">
        <f t="shared" si="12"/>
        <v>0.01</v>
      </c>
      <c r="BB284" s="173"/>
      <c r="BC284" s="173"/>
      <c r="BD284" s="173"/>
      <c r="BE284" s="173"/>
      <c r="BF284" s="173"/>
      <c r="BG284" s="173"/>
      <c r="BH284" s="173"/>
      <c r="BI284" s="173"/>
      <c r="BJ284" s="173"/>
      <c r="BK284" s="173"/>
      <c r="BL284" s="173"/>
      <c r="BM284" s="173"/>
      <c r="BN284" s="173"/>
      <c r="BO284" s="173"/>
      <c r="BP284" s="173"/>
      <c r="BQ284" s="173"/>
      <c r="BR284" s="173"/>
      <c r="BS284" s="173"/>
      <c r="BT284" s="173"/>
      <c r="BU284" s="173"/>
      <c r="BV284" s="173"/>
      <c r="BW284" s="173"/>
      <c r="BX284" s="173"/>
      <c r="BY284" s="173"/>
      <c r="BZ284" s="173"/>
      <c r="CA284" s="173"/>
      <c r="CB284" s="173"/>
      <c r="CC284" s="173"/>
      <c r="CD284" s="173"/>
      <c r="CE284" s="173"/>
      <c r="CF284" s="173"/>
      <c r="CG284" s="173"/>
      <c r="CH284" s="173"/>
      <c r="CI284" s="173"/>
      <c r="CJ284" s="173"/>
      <c r="CK284" s="173"/>
      <c r="CL284" s="173"/>
      <c r="CM284" s="173"/>
      <c r="CN284" s="173"/>
      <c r="CO284" s="173"/>
      <c r="CP284" s="173"/>
      <c r="CQ284" s="173"/>
      <c r="CR284" s="173"/>
      <c r="CS284" s="173"/>
      <c r="CT284" s="173"/>
      <c r="CU284" s="173"/>
      <c r="CV284" s="173"/>
      <c r="CW284" s="173"/>
      <c r="CX284" s="173"/>
      <c r="CY284" s="173"/>
      <c r="CZ284" s="173"/>
      <c r="DA284" s="173"/>
    </row>
    <row r="285" spans="2:105" x14ac:dyDescent="0.3">
      <c r="B285" s="149">
        <v>998</v>
      </c>
      <c r="C285" s="173"/>
      <c r="D285" s="556">
        <f t="shared" si="13"/>
        <v>59</v>
      </c>
      <c r="E285" s="556">
        <f t="shared" si="12"/>
        <v>59</v>
      </c>
      <c r="F285" s="556">
        <f t="shared" si="12"/>
        <v>59</v>
      </c>
      <c r="G285" s="556">
        <f t="shared" si="12"/>
        <v>59</v>
      </c>
      <c r="H285" s="556">
        <f t="shared" si="12"/>
        <v>59</v>
      </c>
      <c r="I285" s="556">
        <f t="shared" si="12"/>
        <v>59</v>
      </c>
      <c r="J285" s="556">
        <f t="shared" si="12"/>
        <v>59</v>
      </c>
      <c r="K285" s="556">
        <f t="shared" si="12"/>
        <v>59</v>
      </c>
      <c r="L285" s="556">
        <f t="shared" si="12"/>
        <v>59</v>
      </c>
      <c r="M285" s="556">
        <f t="shared" si="12"/>
        <v>59</v>
      </c>
      <c r="N285" s="556">
        <f t="shared" si="12"/>
        <v>59</v>
      </c>
      <c r="O285" s="556">
        <f t="shared" si="12"/>
        <v>59</v>
      </c>
      <c r="P285" s="556">
        <f t="shared" si="12"/>
        <v>59</v>
      </c>
      <c r="Q285" s="556">
        <f t="shared" si="12"/>
        <v>59</v>
      </c>
      <c r="R285" s="556">
        <f t="shared" si="12"/>
        <v>59</v>
      </c>
      <c r="S285" s="556">
        <f t="shared" si="12"/>
        <v>59</v>
      </c>
      <c r="T285" s="556">
        <f t="shared" si="12"/>
        <v>59</v>
      </c>
      <c r="U285" s="556">
        <f t="shared" si="12"/>
        <v>59</v>
      </c>
      <c r="V285" s="556">
        <f t="shared" si="12"/>
        <v>59</v>
      </c>
      <c r="W285" s="556">
        <f t="shared" si="12"/>
        <v>59</v>
      </c>
      <c r="X285" s="556">
        <f t="shared" si="12"/>
        <v>59</v>
      </c>
      <c r="Y285" s="556">
        <f t="shared" si="12"/>
        <v>59</v>
      </c>
      <c r="Z285" s="556">
        <f t="shared" si="12"/>
        <v>59</v>
      </c>
      <c r="AA285" s="556">
        <f t="shared" si="12"/>
        <v>59</v>
      </c>
      <c r="AB285" s="556">
        <f t="shared" si="12"/>
        <v>59</v>
      </c>
      <c r="AC285" s="556">
        <f t="shared" si="12"/>
        <v>59</v>
      </c>
      <c r="AD285" s="556">
        <f t="shared" si="12"/>
        <v>59</v>
      </c>
      <c r="AE285" s="556">
        <f t="shared" si="12"/>
        <v>59</v>
      </c>
      <c r="AF285" s="556">
        <f t="shared" si="12"/>
        <v>59</v>
      </c>
      <c r="AG285" s="556">
        <f t="shared" si="12"/>
        <v>59</v>
      </c>
      <c r="AH285" s="556">
        <f t="shared" si="12"/>
        <v>59</v>
      </c>
      <c r="AI285" s="556">
        <f t="shared" si="12"/>
        <v>59</v>
      </c>
      <c r="AJ285" s="556">
        <f t="shared" si="12"/>
        <v>59</v>
      </c>
      <c r="AK285" s="556">
        <f t="shared" si="12"/>
        <v>59</v>
      </c>
      <c r="AL285" s="556">
        <f t="shared" si="12"/>
        <v>59</v>
      </c>
      <c r="AM285" s="556">
        <f t="shared" si="12"/>
        <v>59</v>
      </c>
      <c r="AN285" s="556">
        <f t="shared" si="12"/>
        <v>59</v>
      </c>
      <c r="AO285" s="556">
        <f t="shared" si="12"/>
        <v>59</v>
      </c>
      <c r="AP285" s="556">
        <f t="shared" si="12"/>
        <v>59</v>
      </c>
      <c r="AQ285" s="556">
        <f t="shared" si="12"/>
        <v>59</v>
      </c>
      <c r="AR285" s="556">
        <f t="shared" si="12"/>
        <v>59</v>
      </c>
      <c r="AS285" s="556">
        <f t="shared" si="12"/>
        <v>59</v>
      </c>
      <c r="AT285" s="556">
        <f t="shared" si="12"/>
        <v>59</v>
      </c>
      <c r="AU285" s="556">
        <f t="shared" si="12"/>
        <v>59</v>
      </c>
      <c r="AV285" s="556">
        <f t="shared" si="12"/>
        <v>59</v>
      </c>
      <c r="AW285" s="556">
        <f t="shared" si="12"/>
        <v>59</v>
      </c>
      <c r="AX285" s="556">
        <f t="shared" si="12"/>
        <v>59</v>
      </c>
      <c r="AY285" s="556">
        <f t="shared" si="12"/>
        <v>59</v>
      </c>
      <c r="BB285" s="173"/>
      <c r="BC285" s="173"/>
      <c r="BD285" s="173"/>
      <c r="BE285" s="173"/>
      <c r="BF285" s="173"/>
      <c r="BG285" s="173"/>
      <c r="BH285" s="173"/>
      <c r="BI285" s="173"/>
      <c r="BJ285" s="173"/>
      <c r="BK285" s="173"/>
      <c r="BL285" s="173"/>
      <c r="BM285" s="173"/>
      <c r="BN285" s="173"/>
      <c r="BO285" s="173"/>
      <c r="BP285" s="173"/>
      <c r="BQ285" s="173"/>
      <c r="BR285" s="173"/>
      <c r="BS285" s="173"/>
      <c r="BT285" s="173"/>
      <c r="BU285" s="173"/>
      <c r="BV285" s="173"/>
      <c r="BW285" s="173"/>
      <c r="BX285" s="173"/>
      <c r="BY285" s="173"/>
      <c r="BZ285" s="173"/>
      <c r="CA285" s="173"/>
      <c r="CB285" s="173"/>
      <c r="CC285" s="173"/>
      <c r="CD285" s="173"/>
      <c r="CE285" s="173"/>
      <c r="CF285" s="173"/>
      <c r="CG285" s="173"/>
      <c r="CH285" s="173"/>
      <c r="CI285" s="173"/>
      <c r="CJ285" s="173"/>
      <c r="CK285" s="173"/>
      <c r="CL285" s="173"/>
      <c r="CM285" s="173"/>
      <c r="CN285" s="173"/>
      <c r="CO285" s="173"/>
      <c r="CP285" s="173"/>
      <c r="CQ285" s="173"/>
      <c r="CR285" s="173"/>
      <c r="CS285" s="173"/>
      <c r="CT285" s="173"/>
      <c r="CU285" s="173"/>
      <c r="CV285" s="173"/>
      <c r="CW285" s="173"/>
      <c r="CX285" s="173"/>
      <c r="CY285" s="173"/>
      <c r="CZ285" s="173"/>
      <c r="DA285" s="173"/>
    </row>
    <row r="286" spans="2:105" x14ac:dyDescent="0.3">
      <c r="B286" s="149">
        <v>999</v>
      </c>
      <c r="C286" s="173"/>
      <c r="D286" s="556">
        <f t="shared" si="13"/>
        <v>591706</v>
      </c>
      <c r="E286" s="556">
        <f t="shared" si="12"/>
        <v>591600</v>
      </c>
      <c r="F286" s="556">
        <f t="shared" si="12"/>
        <v>592152</v>
      </c>
      <c r="G286" s="556">
        <f t="shared" si="12"/>
        <v>591612</v>
      </c>
      <c r="H286" s="556">
        <f t="shared" si="12"/>
        <v>591752</v>
      </c>
      <c r="I286" s="556">
        <f t="shared" si="12"/>
        <v>591715</v>
      </c>
      <c r="J286" s="556">
        <f t="shared" si="12"/>
        <v>592388</v>
      </c>
      <c r="K286" s="556">
        <f t="shared" si="12"/>
        <v>591603</v>
      </c>
      <c r="L286" s="556">
        <f t="shared" si="12"/>
        <v>591604</v>
      </c>
      <c r="M286" s="556">
        <f t="shared" si="12"/>
        <v>591721</v>
      </c>
      <c r="N286" s="556">
        <f t="shared" si="12"/>
        <v>591605</v>
      </c>
      <c r="O286" s="556">
        <f t="shared" si="12"/>
        <v>591632</v>
      </c>
      <c r="P286" s="556">
        <f t="shared" si="12"/>
        <v>594150</v>
      </c>
      <c r="Q286" s="556">
        <f t="shared" si="12"/>
        <v>591606</v>
      </c>
      <c r="R286" s="556">
        <f t="shared" si="12"/>
        <v>592181</v>
      </c>
      <c r="S286" s="556">
        <f t="shared" si="12"/>
        <v>591607</v>
      </c>
      <c r="T286" s="556">
        <f t="shared" si="12"/>
        <v>591608</v>
      </c>
      <c r="U286" s="556">
        <f t="shared" si="12"/>
        <v>591737</v>
      </c>
      <c r="V286" s="556">
        <f t="shared" si="12"/>
        <v>591609</v>
      </c>
      <c r="W286" s="556">
        <f t="shared" si="12"/>
        <v>591610</v>
      </c>
      <c r="X286" s="556">
        <f t="shared" si="12"/>
        <v>591611</v>
      </c>
      <c r="Y286" s="556">
        <f t="shared" si="12"/>
        <v>591749</v>
      </c>
      <c r="Z286" s="556">
        <f t="shared" si="12"/>
        <v>591613</v>
      </c>
      <c r="AA286" s="556">
        <f t="shared" si="12"/>
        <v>592396</v>
      </c>
      <c r="AB286" s="556">
        <f t="shared" si="12"/>
        <v>591614</v>
      </c>
      <c r="AC286" s="556">
        <f t="shared" si="12"/>
        <v>592180</v>
      </c>
      <c r="AD286" s="556">
        <f t="shared" si="12"/>
        <v>591615</v>
      </c>
      <c r="AE286" s="556">
        <f t="shared" si="12"/>
        <v>591616</v>
      </c>
      <c r="AF286" s="556">
        <f t="shared" si="12"/>
        <v>592158</v>
      </c>
      <c r="AG286" s="556">
        <f t="shared" si="12"/>
        <v>591759</v>
      </c>
      <c r="AH286" s="556">
        <f t="shared" si="12"/>
        <v>591762</v>
      </c>
      <c r="AI286" s="556">
        <f t="shared" si="12"/>
        <v>591619</v>
      </c>
      <c r="AJ286" s="556">
        <f t="shared" si="12"/>
        <v>591770</v>
      </c>
      <c r="AK286" s="556">
        <f t="shared" si="12"/>
        <v>591620</v>
      </c>
      <c r="AL286" s="556">
        <f t="shared" si="12"/>
        <v>592357</v>
      </c>
      <c r="AM286" s="556">
        <f t="shared" si="12"/>
        <v>59713</v>
      </c>
      <c r="AN286" s="556">
        <f t="shared" si="12"/>
        <v>591622</v>
      </c>
      <c r="AO286" s="556">
        <f t="shared" si="12"/>
        <v>591623</v>
      </c>
      <c r="AP286" s="556">
        <f t="shared" si="12"/>
        <v>591624</v>
      </c>
      <c r="AQ286" s="556">
        <f t="shared" si="12"/>
        <v>592368</v>
      </c>
      <c r="AR286" s="556">
        <f t="shared" si="12"/>
        <v>592155</v>
      </c>
      <c r="AS286" s="556">
        <f t="shared" si="12"/>
        <v>591633</v>
      </c>
      <c r="AT286" s="556">
        <f t="shared" si="12"/>
        <v>591768</v>
      </c>
      <c r="AU286" s="556">
        <f t="shared" si="12"/>
        <v>591634</v>
      </c>
      <c r="AV286" s="556">
        <f t="shared" si="12"/>
        <v>591627</v>
      </c>
      <c r="AW286" s="556">
        <f t="shared" si="12"/>
        <v>591628</v>
      </c>
      <c r="AX286" s="556">
        <f t="shared" si="12"/>
        <v>591629</v>
      </c>
      <c r="AY286" s="556">
        <f t="shared" si="12"/>
        <v>591636</v>
      </c>
      <c r="BB286" s="173"/>
      <c r="BC286" s="173"/>
      <c r="BD286" s="173"/>
      <c r="BE286" s="173"/>
      <c r="BF286" s="173"/>
      <c r="BG286" s="173"/>
      <c r="BH286" s="173"/>
      <c r="BI286" s="173"/>
      <c r="BJ286" s="173"/>
      <c r="BK286" s="173"/>
      <c r="BL286" s="173"/>
      <c r="BM286" s="173"/>
      <c r="BN286" s="173"/>
      <c r="BO286" s="173"/>
      <c r="BP286" s="173"/>
      <c r="BQ286" s="173"/>
      <c r="BR286" s="173"/>
      <c r="BS286" s="173"/>
      <c r="BT286" s="173"/>
      <c r="BU286" s="173"/>
      <c r="BV286" s="173"/>
      <c r="BW286" s="173"/>
      <c r="BX286" s="173"/>
      <c r="BY286" s="173"/>
      <c r="BZ286" s="173"/>
      <c r="CA286" s="173"/>
      <c r="CB286" s="173"/>
      <c r="CC286" s="173"/>
      <c r="CD286" s="173"/>
      <c r="CE286" s="173"/>
      <c r="CF286" s="173"/>
      <c r="CG286" s="173"/>
      <c r="CH286" s="173"/>
      <c r="CI286" s="173"/>
      <c r="CJ286" s="173"/>
      <c r="CK286" s="173"/>
      <c r="CL286" s="173"/>
      <c r="CM286" s="173"/>
      <c r="CN286" s="173"/>
      <c r="CO286" s="173"/>
      <c r="CP286" s="173"/>
      <c r="CQ286" s="173"/>
      <c r="CR286" s="173"/>
      <c r="CS286" s="173"/>
      <c r="CT286" s="173"/>
      <c r="CU286" s="173"/>
      <c r="CV286" s="173"/>
      <c r="CW286" s="173"/>
      <c r="CX286" s="173"/>
      <c r="CY286" s="173"/>
      <c r="CZ286" s="173"/>
      <c r="DA286" s="173"/>
    </row>
    <row r="287" spans="2:105" x14ac:dyDescent="0.3">
      <c r="B287" s="557">
        <v>554</v>
      </c>
      <c r="C287" s="173"/>
      <c r="D287" s="556">
        <f>D143</f>
        <v>0</v>
      </c>
      <c r="E287" s="556">
        <f t="shared" ref="E287:AY290" si="14">E143</f>
        <v>0</v>
      </c>
      <c r="F287" s="556">
        <f t="shared" si="14"/>
        <v>0</v>
      </c>
      <c r="G287" s="556">
        <f t="shared" si="14"/>
        <v>0</v>
      </c>
      <c r="H287" s="556">
        <f t="shared" si="14"/>
        <v>0</v>
      </c>
      <c r="I287" s="556">
        <f t="shared" si="14"/>
        <v>0</v>
      </c>
      <c r="J287" s="556">
        <f t="shared" si="14"/>
        <v>617629</v>
      </c>
      <c r="K287" s="556">
        <f t="shared" si="14"/>
        <v>4896930</v>
      </c>
      <c r="L287" s="556">
        <f t="shared" si="14"/>
        <v>0</v>
      </c>
      <c r="M287" s="556">
        <f t="shared" si="14"/>
        <v>4172379</v>
      </c>
      <c r="N287" s="556">
        <f t="shared" si="14"/>
        <v>0</v>
      </c>
      <c r="O287" s="556">
        <f t="shared" si="14"/>
        <v>0</v>
      </c>
      <c r="P287" s="556">
        <f t="shared" si="14"/>
        <v>0</v>
      </c>
      <c r="Q287" s="556">
        <f t="shared" si="14"/>
        <v>0</v>
      </c>
      <c r="R287" s="556">
        <f t="shared" si="14"/>
        <v>0</v>
      </c>
      <c r="S287" s="556">
        <f t="shared" si="14"/>
        <v>0</v>
      </c>
      <c r="T287" s="556">
        <f t="shared" si="14"/>
        <v>0</v>
      </c>
      <c r="U287" s="556">
        <f t="shared" si="14"/>
        <v>0</v>
      </c>
      <c r="V287" s="556">
        <f t="shared" si="14"/>
        <v>0</v>
      </c>
      <c r="W287" s="556">
        <f t="shared" si="14"/>
        <v>0</v>
      </c>
      <c r="X287" s="556">
        <f t="shared" si="14"/>
        <v>0</v>
      </c>
      <c r="Y287" s="556">
        <f t="shared" si="14"/>
        <v>0</v>
      </c>
      <c r="Z287" s="556">
        <f t="shared" si="14"/>
        <v>0</v>
      </c>
      <c r="AA287" s="556">
        <f t="shared" si="14"/>
        <v>0</v>
      </c>
      <c r="AB287" s="556">
        <f t="shared" si="14"/>
        <v>0</v>
      </c>
      <c r="AC287" s="556">
        <f t="shared" si="14"/>
        <v>0</v>
      </c>
      <c r="AD287" s="556">
        <f t="shared" si="14"/>
        <v>0</v>
      </c>
      <c r="AE287" s="556">
        <f t="shared" si="14"/>
        <v>0</v>
      </c>
      <c r="AF287" s="556">
        <f t="shared" si="14"/>
        <v>0</v>
      </c>
      <c r="AG287" s="556">
        <f t="shared" si="14"/>
        <v>0</v>
      </c>
      <c r="AH287" s="556">
        <f t="shared" si="14"/>
        <v>0</v>
      </c>
      <c r="AI287" s="556">
        <f t="shared" si="14"/>
        <v>0</v>
      </c>
      <c r="AJ287" s="556">
        <f t="shared" si="14"/>
        <v>0</v>
      </c>
      <c r="AK287" s="556">
        <f t="shared" si="14"/>
        <v>0</v>
      </c>
      <c r="AL287" s="556">
        <f t="shared" si="14"/>
        <v>0</v>
      </c>
      <c r="AM287" s="556">
        <f t="shared" si="14"/>
        <v>0</v>
      </c>
      <c r="AN287" s="556">
        <f t="shared" si="14"/>
        <v>0</v>
      </c>
      <c r="AO287" s="556">
        <f t="shared" si="14"/>
        <v>0</v>
      </c>
      <c r="AP287" s="556">
        <f t="shared" si="14"/>
        <v>0</v>
      </c>
      <c r="AQ287" s="556">
        <f t="shared" si="14"/>
        <v>0</v>
      </c>
      <c r="AR287" s="556">
        <f t="shared" si="14"/>
        <v>0</v>
      </c>
      <c r="AS287" s="556">
        <f t="shared" si="14"/>
        <v>0</v>
      </c>
      <c r="AT287" s="556">
        <f t="shared" si="14"/>
        <v>0</v>
      </c>
      <c r="AU287" s="556">
        <f t="shared" si="14"/>
        <v>0</v>
      </c>
      <c r="AV287" s="556">
        <f t="shared" si="14"/>
        <v>0</v>
      </c>
      <c r="AW287" s="556">
        <f t="shared" si="14"/>
        <v>0</v>
      </c>
      <c r="AX287" s="556">
        <f t="shared" si="14"/>
        <v>0</v>
      </c>
      <c r="AY287" s="556">
        <f t="shared" si="14"/>
        <v>754274</v>
      </c>
      <c r="BB287" s="173"/>
      <c r="BC287" s="173"/>
      <c r="BD287" s="173"/>
      <c r="BE287" s="173"/>
      <c r="BF287" s="173"/>
      <c r="BG287" s="173"/>
      <c r="BH287" s="173"/>
      <c r="BI287" s="173"/>
      <c r="BJ287" s="173"/>
      <c r="BK287" s="173"/>
      <c r="BL287" s="173"/>
      <c r="BM287" s="173"/>
      <c r="BN287" s="173"/>
      <c r="BO287" s="173"/>
      <c r="BP287" s="173"/>
      <c r="BQ287" s="173"/>
      <c r="BR287" s="173"/>
      <c r="BS287" s="173"/>
      <c r="BT287" s="173"/>
      <c r="BU287" s="173"/>
      <c r="BV287" s="173"/>
      <c r="BW287" s="173"/>
      <c r="BX287" s="173"/>
      <c r="BY287" s="173"/>
      <c r="BZ287" s="173"/>
      <c r="CA287" s="173"/>
      <c r="CB287" s="173"/>
      <c r="CC287" s="173"/>
      <c r="CD287" s="173"/>
      <c r="CE287" s="173"/>
      <c r="CF287" s="173"/>
      <c r="CG287" s="173"/>
      <c r="CH287" s="173"/>
      <c r="CI287" s="173"/>
      <c r="CJ287" s="173"/>
      <c r="CK287" s="173"/>
      <c r="CL287" s="173"/>
      <c r="CM287" s="173"/>
      <c r="CN287" s="173"/>
      <c r="CO287" s="173"/>
      <c r="CP287" s="173"/>
      <c r="CQ287" s="173"/>
      <c r="CR287" s="173"/>
      <c r="CS287" s="173"/>
      <c r="CT287" s="173"/>
      <c r="CU287" s="173"/>
      <c r="CV287" s="173"/>
      <c r="CW287" s="173"/>
      <c r="CX287" s="173"/>
      <c r="CY287" s="173"/>
      <c r="CZ287" s="173"/>
      <c r="DA287" s="173"/>
    </row>
    <row r="288" spans="2:105" x14ac:dyDescent="0.3">
      <c r="B288" s="557">
        <v>555</v>
      </c>
      <c r="C288" s="173"/>
      <c r="D288" s="556">
        <f t="shared" ref="D288:S290" si="15">D144</f>
        <v>0</v>
      </c>
      <c r="E288" s="556">
        <f t="shared" si="15"/>
        <v>0</v>
      </c>
      <c r="F288" s="556">
        <f t="shared" si="15"/>
        <v>0</v>
      </c>
      <c r="G288" s="556">
        <f t="shared" si="15"/>
        <v>0</v>
      </c>
      <c r="H288" s="556">
        <f t="shared" si="15"/>
        <v>0</v>
      </c>
      <c r="I288" s="556">
        <f t="shared" si="15"/>
        <v>0</v>
      </c>
      <c r="J288" s="556">
        <f t="shared" si="15"/>
        <v>0</v>
      </c>
      <c r="K288" s="556">
        <f t="shared" si="15"/>
        <v>4896750</v>
      </c>
      <c r="L288" s="556">
        <f t="shared" si="15"/>
        <v>0</v>
      </c>
      <c r="M288" s="556">
        <f t="shared" si="15"/>
        <v>4172379</v>
      </c>
      <c r="N288" s="556">
        <f t="shared" si="15"/>
        <v>0</v>
      </c>
      <c r="O288" s="556">
        <f t="shared" si="15"/>
        <v>0</v>
      </c>
      <c r="P288" s="556">
        <f t="shared" si="15"/>
        <v>0</v>
      </c>
      <c r="Q288" s="556">
        <f t="shared" si="15"/>
        <v>0</v>
      </c>
      <c r="R288" s="556">
        <f t="shared" si="15"/>
        <v>0</v>
      </c>
      <c r="S288" s="556">
        <f t="shared" si="15"/>
        <v>0</v>
      </c>
      <c r="T288" s="556">
        <f t="shared" si="14"/>
        <v>0</v>
      </c>
      <c r="U288" s="556">
        <f t="shared" si="14"/>
        <v>0</v>
      </c>
      <c r="V288" s="556">
        <f t="shared" si="14"/>
        <v>0</v>
      </c>
      <c r="W288" s="556">
        <f t="shared" si="14"/>
        <v>0</v>
      </c>
      <c r="X288" s="556">
        <f t="shared" si="14"/>
        <v>0</v>
      </c>
      <c r="Y288" s="556">
        <f t="shared" si="14"/>
        <v>0</v>
      </c>
      <c r="Z288" s="556">
        <f t="shared" si="14"/>
        <v>0</v>
      </c>
      <c r="AA288" s="556">
        <f t="shared" si="14"/>
        <v>0</v>
      </c>
      <c r="AB288" s="556">
        <f t="shared" si="14"/>
        <v>0</v>
      </c>
      <c r="AC288" s="556">
        <f t="shared" si="14"/>
        <v>0</v>
      </c>
      <c r="AD288" s="556">
        <f t="shared" si="14"/>
        <v>0</v>
      </c>
      <c r="AE288" s="556">
        <f t="shared" si="14"/>
        <v>0</v>
      </c>
      <c r="AF288" s="556">
        <f t="shared" si="14"/>
        <v>0</v>
      </c>
      <c r="AG288" s="556">
        <f t="shared" si="14"/>
        <v>0</v>
      </c>
      <c r="AH288" s="556">
        <f t="shared" si="14"/>
        <v>0</v>
      </c>
      <c r="AI288" s="556">
        <f t="shared" si="14"/>
        <v>0</v>
      </c>
      <c r="AJ288" s="556">
        <f t="shared" si="14"/>
        <v>0</v>
      </c>
      <c r="AK288" s="556">
        <f t="shared" si="14"/>
        <v>0</v>
      </c>
      <c r="AL288" s="556">
        <f t="shared" si="14"/>
        <v>0</v>
      </c>
      <c r="AM288" s="556">
        <f t="shared" si="14"/>
        <v>0</v>
      </c>
      <c r="AN288" s="556">
        <f t="shared" si="14"/>
        <v>0</v>
      </c>
      <c r="AO288" s="556">
        <f t="shared" si="14"/>
        <v>0</v>
      </c>
      <c r="AP288" s="556">
        <f t="shared" si="14"/>
        <v>0</v>
      </c>
      <c r="AQ288" s="556">
        <f t="shared" si="14"/>
        <v>0</v>
      </c>
      <c r="AR288" s="556">
        <f t="shared" si="14"/>
        <v>0</v>
      </c>
      <c r="AS288" s="556">
        <f t="shared" si="14"/>
        <v>0</v>
      </c>
      <c r="AT288" s="556">
        <f t="shared" si="14"/>
        <v>0</v>
      </c>
      <c r="AU288" s="556">
        <f t="shared" si="14"/>
        <v>0</v>
      </c>
      <c r="AV288" s="556">
        <f t="shared" si="14"/>
        <v>0</v>
      </c>
      <c r="AW288" s="556">
        <f t="shared" si="14"/>
        <v>0</v>
      </c>
      <c r="AX288" s="556">
        <f t="shared" si="14"/>
        <v>0</v>
      </c>
      <c r="AY288" s="556">
        <f t="shared" si="14"/>
        <v>592132</v>
      </c>
      <c r="BB288" s="173"/>
      <c r="BC288" s="173"/>
      <c r="BD288" s="173"/>
      <c r="BE288" s="173"/>
      <c r="BF288" s="173"/>
      <c r="BG288" s="173"/>
      <c r="BH288" s="173"/>
      <c r="BI288" s="173"/>
      <c r="BJ288" s="173"/>
      <c r="BK288" s="173"/>
      <c r="BL288" s="173"/>
      <c r="BM288" s="173"/>
      <c r="BN288" s="173"/>
      <c r="BO288" s="173"/>
      <c r="BP288" s="173"/>
      <c r="BQ288" s="173"/>
      <c r="BR288" s="173"/>
      <c r="BS288" s="173"/>
      <c r="BT288" s="173"/>
      <c r="BU288" s="173"/>
      <c r="BV288" s="173"/>
      <c r="BW288" s="173"/>
      <c r="BX288" s="173"/>
      <c r="BY288" s="173"/>
      <c r="BZ288" s="173"/>
      <c r="CA288" s="173"/>
      <c r="CB288" s="173"/>
      <c r="CC288" s="173"/>
      <c r="CD288" s="173"/>
      <c r="CE288" s="173"/>
      <c r="CF288" s="173"/>
      <c r="CG288" s="173"/>
      <c r="CH288" s="173"/>
      <c r="CI288" s="173"/>
      <c r="CJ288" s="173"/>
      <c r="CK288" s="173"/>
      <c r="CL288" s="173"/>
      <c r="CM288" s="173"/>
      <c r="CN288" s="173"/>
      <c r="CO288" s="173"/>
      <c r="CP288" s="173"/>
      <c r="CQ288" s="173"/>
      <c r="CR288" s="173"/>
      <c r="CS288" s="173"/>
      <c r="CT288" s="173"/>
      <c r="CU288" s="173"/>
      <c r="CV288" s="173"/>
      <c r="CW288" s="173"/>
      <c r="CX288" s="173"/>
      <c r="CY288" s="173"/>
      <c r="CZ288" s="173"/>
      <c r="DA288" s="173"/>
    </row>
    <row r="289" spans="1:105" x14ac:dyDescent="0.3">
      <c r="B289" s="557">
        <v>556</v>
      </c>
      <c r="C289" s="173"/>
      <c r="D289" s="556">
        <f t="shared" si="15"/>
        <v>0</v>
      </c>
      <c r="E289" s="556">
        <f t="shared" si="14"/>
        <v>0</v>
      </c>
      <c r="F289" s="556">
        <f t="shared" si="14"/>
        <v>0</v>
      </c>
      <c r="G289" s="556">
        <f t="shared" si="14"/>
        <v>0</v>
      </c>
      <c r="H289" s="556">
        <f t="shared" si="14"/>
        <v>0</v>
      </c>
      <c r="I289" s="556">
        <f t="shared" si="14"/>
        <v>0</v>
      </c>
      <c r="J289" s="556">
        <f t="shared" si="14"/>
        <v>637323</v>
      </c>
      <c r="K289" s="556">
        <f t="shared" si="14"/>
        <v>38250</v>
      </c>
      <c r="L289" s="556">
        <f t="shared" si="14"/>
        <v>0</v>
      </c>
      <c r="M289" s="556">
        <f t="shared" si="14"/>
        <v>0</v>
      </c>
      <c r="N289" s="556">
        <f t="shared" si="14"/>
        <v>0</v>
      </c>
      <c r="O289" s="556">
        <f t="shared" si="14"/>
        <v>0</v>
      </c>
      <c r="P289" s="556">
        <f t="shared" si="14"/>
        <v>0</v>
      </c>
      <c r="Q289" s="556">
        <f t="shared" si="14"/>
        <v>0</v>
      </c>
      <c r="R289" s="556">
        <f t="shared" si="14"/>
        <v>0</v>
      </c>
      <c r="S289" s="556">
        <f t="shared" si="14"/>
        <v>0</v>
      </c>
      <c r="T289" s="556">
        <f t="shared" si="14"/>
        <v>0</v>
      </c>
      <c r="U289" s="556">
        <f t="shared" si="14"/>
        <v>0</v>
      </c>
      <c r="V289" s="556">
        <f t="shared" si="14"/>
        <v>0</v>
      </c>
      <c r="W289" s="556">
        <f t="shared" si="14"/>
        <v>0</v>
      </c>
      <c r="X289" s="556">
        <f t="shared" si="14"/>
        <v>0</v>
      </c>
      <c r="Y289" s="556">
        <f t="shared" si="14"/>
        <v>0</v>
      </c>
      <c r="Z289" s="556">
        <f t="shared" si="14"/>
        <v>0</v>
      </c>
      <c r="AA289" s="556">
        <f t="shared" si="14"/>
        <v>0</v>
      </c>
      <c r="AB289" s="556">
        <f t="shared" si="14"/>
        <v>0</v>
      </c>
      <c r="AC289" s="556">
        <f t="shared" si="14"/>
        <v>0</v>
      </c>
      <c r="AD289" s="556">
        <f t="shared" si="14"/>
        <v>0</v>
      </c>
      <c r="AE289" s="556">
        <f t="shared" si="14"/>
        <v>0</v>
      </c>
      <c r="AF289" s="556">
        <f t="shared" si="14"/>
        <v>0</v>
      </c>
      <c r="AG289" s="556">
        <f t="shared" si="14"/>
        <v>0</v>
      </c>
      <c r="AH289" s="556">
        <f t="shared" si="14"/>
        <v>0</v>
      </c>
      <c r="AI289" s="556">
        <f t="shared" si="14"/>
        <v>0</v>
      </c>
      <c r="AJ289" s="556">
        <f t="shared" si="14"/>
        <v>0</v>
      </c>
      <c r="AK289" s="556">
        <f t="shared" si="14"/>
        <v>0</v>
      </c>
      <c r="AL289" s="556">
        <f t="shared" si="14"/>
        <v>0</v>
      </c>
      <c r="AM289" s="556">
        <f t="shared" si="14"/>
        <v>0</v>
      </c>
      <c r="AN289" s="556">
        <f t="shared" si="14"/>
        <v>0</v>
      </c>
      <c r="AO289" s="556">
        <f t="shared" si="14"/>
        <v>0</v>
      </c>
      <c r="AP289" s="556">
        <f t="shared" si="14"/>
        <v>0</v>
      </c>
      <c r="AQ289" s="556">
        <f t="shared" si="14"/>
        <v>0</v>
      </c>
      <c r="AR289" s="556">
        <f t="shared" si="14"/>
        <v>0</v>
      </c>
      <c r="AS289" s="556">
        <f t="shared" si="14"/>
        <v>0</v>
      </c>
      <c r="AT289" s="556">
        <f t="shared" si="14"/>
        <v>0</v>
      </c>
      <c r="AU289" s="556">
        <f t="shared" si="14"/>
        <v>0</v>
      </c>
      <c r="AV289" s="556">
        <f t="shared" si="14"/>
        <v>0</v>
      </c>
      <c r="AW289" s="556">
        <f t="shared" si="14"/>
        <v>0</v>
      </c>
      <c r="AX289" s="556">
        <f t="shared" si="14"/>
        <v>0</v>
      </c>
      <c r="AY289" s="556">
        <f t="shared" si="14"/>
        <v>1520901</v>
      </c>
      <c r="BB289" s="173"/>
      <c r="BC289" s="173"/>
      <c r="BD289" s="173"/>
      <c r="BE289" s="173"/>
      <c r="BF289" s="173"/>
      <c r="BG289" s="173"/>
      <c r="BH289" s="173"/>
      <c r="BI289" s="173"/>
      <c r="BJ289" s="173"/>
      <c r="BK289" s="173"/>
      <c r="BL289" s="173"/>
      <c r="BM289" s="173"/>
      <c r="BN289" s="173"/>
      <c r="BO289" s="173"/>
      <c r="BP289" s="173"/>
      <c r="BQ289" s="173"/>
      <c r="BR289" s="173"/>
      <c r="BS289" s="173"/>
      <c r="BT289" s="173"/>
      <c r="BU289" s="173"/>
      <c r="BV289" s="173"/>
      <c r="BW289" s="173"/>
      <c r="BX289" s="173"/>
      <c r="BY289" s="173"/>
      <c r="BZ289" s="173"/>
      <c r="CA289" s="173"/>
      <c r="CB289" s="173"/>
      <c r="CC289" s="173"/>
      <c r="CD289" s="173"/>
      <c r="CE289" s="173"/>
      <c r="CF289" s="173"/>
      <c r="CG289" s="173"/>
      <c r="CH289" s="173"/>
      <c r="CI289" s="173"/>
      <c r="CJ289" s="173"/>
      <c r="CK289" s="173"/>
      <c r="CL289" s="173"/>
      <c r="CM289" s="173"/>
      <c r="CN289" s="173"/>
      <c r="CO289" s="173"/>
      <c r="CP289" s="173"/>
      <c r="CQ289" s="173"/>
      <c r="CR289" s="173"/>
      <c r="CS289" s="173"/>
      <c r="CT289" s="173"/>
      <c r="CU289" s="173"/>
      <c r="CV289" s="173"/>
      <c r="CW289" s="173"/>
      <c r="CX289" s="173"/>
      <c r="CY289" s="173"/>
      <c r="CZ289" s="173"/>
      <c r="DA289" s="173"/>
    </row>
    <row r="290" spans="1:105" s="173" customFormat="1" x14ac:dyDescent="0.3">
      <c r="A290" s="754"/>
      <c r="B290" s="557">
        <v>557</v>
      </c>
      <c r="D290" s="556">
        <f t="shared" si="15"/>
        <v>0</v>
      </c>
      <c r="E290" s="556">
        <f t="shared" si="14"/>
        <v>0</v>
      </c>
      <c r="F290" s="556">
        <f t="shared" si="14"/>
        <v>0</v>
      </c>
      <c r="G290" s="556">
        <f t="shared" si="14"/>
        <v>0</v>
      </c>
      <c r="H290" s="556">
        <f t="shared" si="14"/>
        <v>0</v>
      </c>
      <c r="I290" s="556">
        <f t="shared" si="14"/>
        <v>0</v>
      </c>
      <c r="J290" s="556">
        <f t="shared" si="14"/>
        <v>615652</v>
      </c>
      <c r="K290" s="556">
        <f t="shared" si="14"/>
        <v>0</v>
      </c>
      <c r="L290" s="556">
        <f t="shared" si="14"/>
        <v>0</v>
      </c>
      <c r="M290" s="556">
        <f t="shared" si="14"/>
        <v>0</v>
      </c>
      <c r="N290" s="556">
        <f t="shared" si="14"/>
        <v>0</v>
      </c>
      <c r="O290" s="556">
        <f t="shared" si="14"/>
        <v>0</v>
      </c>
      <c r="P290" s="556">
        <f t="shared" si="14"/>
        <v>0</v>
      </c>
      <c r="Q290" s="556">
        <f t="shared" si="14"/>
        <v>0</v>
      </c>
      <c r="R290" s="556">
        <f t="shared" si="14"/>
        <v>0</v>
      </c>
      <c r="S290" s="556">
        <f t="shared" si="14"/>
        <v>0</v>
      </c>
      <c r="T290" s="556">
        <f t="shared" si="14"/>
        <v>0</v>
      </c>
      <c r="U290" s="556">
        <f t="shared" si="14"/>
        <v>0</v>
      </c>
      <c r="V290" s="556">
        <f t="shared" si="14"/>
        <v>0</v>
      </c>
      <c r="W290" s="556">
        <f t="shared" si="14"/>
        <v>0</v>
      </c>
      <c r="X290" s="556">
        <f t="shared" si="14"/>
        <v>0</v>
      </c>
      <c r="Y290" s="556">
        <f t="shared" si="14"/>
        <v>0</v>
      </c>
      <c r="Z290" s="556">
        <f t="shared" si="14"/>
        <v>0</v>
      </c>
      <c r="AA290" s="556">
        <f t="shared" si="14"/>
        <v>0</v>
      </c>
      <c r="AB290" s="556">
        <f t="shared" si="14"/>
        <v>0</v>
      </c>
      <c r="AC290" s="556">
        <f t="shared" si="14"/>
        <v>0</v>
      </c>
      <c r="AD290" s="556">
        <f t="shared" si="14"/>
        <v>0</v>
      </c>
      <c r="AE290" s="556">
        <f t="shared" si="14"/>
        <v>0</v>
      </c>
      <c r="AF290" s="556">
        <f t="shared" si="14"/>
        <v>0</v>
      </c>
      <c r="AG290" s="556">
        <f t="shared" si="14"/>
        <v>0</v>
      </c>
      <c r="AH290" s="556">
        <f t="shared" si="14"/>
        <v>0</v>
      </c>
      <c r="AI290" s="556">
        <f t="shared" si="14"/>
        <v>0</v>
      </c>
      <c r="AJ290" s="556">
        <f t="shared" si="14"/>
        <v>0</v>
      </c>
      <c r="AK290" s="556">
        <f t="shared" si="14"/>
        <v>0</v>
      </c>
      <c r="AL290" s="556">
        <f t="shared" si="14"/>
        <v>0</v>
      </c>
      <c r="AM290" s="556">
        <f t="shared" si="14"/>
        <v>0</v>
      </c>
      <c r="AN290" s="556">
        <f t="shared" si="14"/>
        <v>0</v>
      </c>
      <c r="AO290" s="556">
        <f t="shared" si="14"/>
        <v>0</v>
      </c>
      <c r="AP290" s="556">
        <f t="shared" si="14"/>
        <v>0</v>
      </c>
      <c r="AQ290" s="556">
        <f t="shared" si="14"/>
        <v>0</v>
      </c>
      <c r="AR290" s="556">
        <f t="shared" si="14"/>
        <v>0</v>
      </c>
      <c r="AS290" s="556">
        <f t="shared" si="14"/>
        <v>0</v>
      </c>
      <c r="AT290" s="556">
        <f t="shared" si="14"/>
        <v>0</v>
      </c>
      <c r="AU290" s="556">
        <f t="shared" si="14"/>
        <v>0</v>
      </c>
      <c r="AV290" s="556">
        <f t="shared" si="14"/>
        <v>0</v>
      </c>
      <c r="AW290" s="556">
        <f t="shared" si="14"/>
        <v>0</v>
      </c>
      <c r="AX290" s="556">
        <f t="shared" si="14"/>
        <v>0</v>
      </c>
      <c r="AY290" s="556">
        <f t="shared" si="14"/>
        <v>1483920</v>
      </c>
      <c r="AZ290"/>
      <c r="BA290"/>
    </row>
    <row r="291" spans="1:105" x14ac:dyDescent="0.3">
      <c r="B291" s="557">
        <v>606</v>
      </c>
      <c r="C291" s="173"/>
      <c r="D291" s="556">
        <f>D163</f>
        <v>0</v>
      </c>
      <c r="E291" s="556">
        <f t="shared" ref="E291:AY291" si="16">E163</f>
        <v>0</v>
      </c>
      <c r="F291" s="556">
        <f t="shared" si="16"/>
        <v>0</v>
      </c>
      <c r="G291" s="556">
        <f t="shared" si="16"/>
        <v>0</v>
      </c>
      <c r="H291" s="556">
        <f t="shared" si="16"/>
        <v>0</v>
      </c>
      <c r="I291" s="556">
        <f t="shared" si="16"/>
        <v>0</v>
      </c>
      <c r="J291" s="556">
        <f t="shared" si="16"/>
        <v>1</v>
      </c>
      <c r="K291" s="556">
        <f t="shared" si="16"/>
        <v>1</v>
      </c>
      <c r="L291" s="556">
        <f t="shared" si="16"/>
        <v>0</v>
      </c>
      <c r="M291" s="556">
        <f t="shared" si="16"/>
        <v>1</v>
      </c>
      <c r="N291" s="556">
        <f t="shared" si="16"/>
        <v>0</v>
      </c>
      <c r="O291" s="556">
        <f t="shared" si="16"/>
        <v>0</v>
      </c>
      <c r="P291" s="556">
        <f t="shared" si="16"/>
        <v>0</v>
      </c>
      <c r="Q291" s="556">
        <f t="shared" si="16"/>
        <v>0</v>
      </c>
      <c r="R291" s="556">
        <f t="shared" si="16"/>
        <v>0</v>
      </c>
      <c r="S291" s="556">
        <f t="shared" si="16"/>
        <v>0</v>
      </c>
      <c r="T291" s="556">
        <f t="shared" si="16"/>
        <v>0</v>
      </c>
      <c r="U291" s="556">
        <f t="shared" si="16"/>
        <v>0</v>
      </c>
      <c r="V291" s="556">
        <f t="shared" si="16"/>
        <v>0</v>
      </c>
      <c r="W291" s="556">
        <f t="shared" si="16"/>
        <v>0</v>
      </c>
      <c r="X291" s="556">
        <f t="shared" si="16"/>
        <v>0</v>
      </c>
      <c r="Y291" s="556">
        <f t="shared" si="16"/>
        <v>0</v>
      </c>
      <c r="Z291" s="556">
        <f t="shared" si="16"/>
        <v>0</v>
      </c>
      <c r="AA291" s="556">
        <f t="shared" si="16"/>
        <v>0</v>
      </c>
      <c r="AB291" s="556">
        <f t="shared" si="16"/>
        <v>0</v>
      </c>
      <c r="AC291" s="556">
        <f t="shared" si="16"/>
        <v>0</v>
      </c>
      <c r="AD291" s="556">
        <f t="shared" si="16"/>
        <v>0</v>
      </c>
      <c r="AE291" s="556">
        <f t="shared" si="16"/>
        <v>0</v>
      </c>
      <c r="AF291" s="556">
        <f t="shared" si="16"/>
        <v>0</v>
      </c>
      <c r="AG291" s="556">
        <f t="shared" si="16"/>
        <v>0</v>
      </c>
      <c r="AH291" s="556">
        <f t="shared" si="16"/>
        <v>0</v>
      </c>
      <c r="AI291" s="556">
        <f t="shared" si="16"/>
        <v>0</v>
      </c>
      <c r="AJ291" s="556">
        <f t="shared" si="16"/>
        <v>0</v>
      </c>
      <c r="AK291" s="556">
        <f t="shared" si="16"/>
        <v>0</v>
      </c>
      <c r="AL291" s="556">
        <f t="shared" si="16"/>
        <v>0</v>
      </c>
      <c r="AM291" s="556">
        <f t="shared" si="16"/>
        <v>0</v>
      </c>
      <c r="AN291" s="556">
        <f t="shared" si="16"/>
        <v>0</v>
      </c>
      <c r="AO291" s="556">
        <f t="shared" si="16"/>
        <v>0</v>
      </c>
      <c r="AP291" s="556">
        <f t="shared" si="16"/>
        <v>0</v>
      </c>
      <c r="AQ291" s="556">
        <f t="shared" si="16"/>
        <v>0</v>
      </c>
      <c r="AR291" s="556">
        <f t="shared" si="16"/>
        <v>0</v>
      </c>
      <c r="AS291" s="556">
        <f t="shared" si="16"/>
        <v>0</v>
      </c>
      <c r="AT291" s="556">
        <f t="shared" si="16"/>
        <v>0</v>
      </c>
      <c r="AU291" s="556">
        <f t="shared" si="16"/>
        <v>0</v>
      </c>
      <c r="AV291" s="556">
        <f t="shared" si="16"/>
        <v>0</v>
      </c>
      <c r="AW291" s="556">
        <f t="shared" si="16"/>
        <v>0</v>
      </c>
      <c r="AX291" s="556">
        <f t="shared" si="16"/>
        <v>0</v>
      </c>
      <c r="AY291" s="556">
        <f t="shared" si="16"/>
        <v>1</v>
      </c>
      <c r="BB291" s="173"/>
      <c r="BC291" s="173"/>
      <c r="BD291" s="173"/>
      <c r="BE291" s="173"/>
      <c r="BF291" s="173"/>
      <c r="BG291" s="173"/>
      <c r="BH291" s="173"/>
      <c r="BI291" s="173"/>
      <c r="BJ291" s="173"/>
      <c r="BK291" s="173"/>
      <c r="BL291" s="173"/>
      <c r="BM291" s="173"/>
      <c r="BN291" s="173"/>
      <c r="BO291" s="173"/>
      <c r="BP291" s="173"/>
      <c r="BQ291" s="173"/>
      <c r="BR291" s="173"/>
      <c r="BS291" s="173"/>
      <c r="BT291" s="173"/>
      <c r="BU291" s="173"/>
      <c r="BV291" s="173"/>
      <c r="BW291" s="173"/>
      <c r="BX291" s="173"/>
      <c r="BY291" s="173"/>
      <c r="BZ291" s="173"/>
      <c r="CA291" s="173"/>
      <c r="CB291" s="173"/>
      <c r="CC291" s="173"/>
      <c r="CD291" s="173"/>
      <c r="CE291" s="173"/>
      <c r="CF291" s="173"/>
      <c r="CG291" s="173"/>
      <c r="CH291" s="173"/>
      <c r="CI291" s="173"/>
      <c r="CJ291" s="173"/>
      <c r="CK291" s="173"/>
      <c r="CL291" s="173"/>
      <c r="CM291" s="173"/>
      <c r="CN291" s="173"/>
      <c r="CO291" s="173"/>
      <c r="CP291" s="173"/>
      <c r="CQ291" s="173"/>
      <c r="CR291" s="173"/>
      <c r="CS291" s="173"/>
      <c r="CT291" s="173"/>
      <c r="CU291" s="173"/>
      <c r="CV291" s="173"/>
      <c r="CW291" s="173"/>
      <c r="CX291" s="173"/>
      <c r="CY291" s="173"/>
      <c r="CZ291" s="173"/>
      <c r="DA291" s="173"/>
    </row>
    <row r="292" spans="1:105" x14ac:dyDescent="0.3">
      <c r="B292" s="557">
        <v>662</v>
      </c>
      <c r="C292" s="173" t="s">
        <v>418</v>
      </c>
      <c r="D292" s="556">
        <f>D197</f>
        <v>0</v>
      </c>
      <c r="E292" s="556">
        <f t="shared" ref="E292:AY292" si="17">E197</f>
        <v>0</v>
      </c>
      <c r="F292" s="556">
        <f t="shared" si="17"/>
        <v>0</v>
      </c>
      <c r="G292" s="556">
        <f t="shared" si="17"/>
        <v>0</v>
      </c>
      <c r="H292" s="556">
        <f t="shared" si="17"/>
        <v>0</v>
      </c>
      <c r="I292" s="556">
        <f t="shared" si="17"/>
        <v>0</v>
      </c>
      <c r="J292" s="556">
        <f t="shared" si="17"/>
        <v>0</v>
      </c>
      <c r="K292" s="556">
        <f t="shared" si="17"/>
        <v>0</v>
      </c>
      <c r="L292" s="556">
        <f t="shared" si="17"/>
        <v>0</v>
      </c>
      <c r="M292" s="556">
        <f t="shared" si="17"/>
        <v>0</v>
      </c>
      <c r="N292" s="556">
        <f t="shared" si="17"/>
        <v>0</v>
      </c>
      <c r="O292" s="556">
        <f t="shared" si="17"/>
        <v>0</v>
      </c>
      <c r="P292" s="556">
        <f t="shared" si="17"/>
        <v>0</v>
      </c>
      <c r="Q292" s="556">
        <f t="shared" si="17"/>
        <v>0</v>
      </c>
      <c r="R292" s="556">
        <f t="shared" si="17"/>
        <v>0</v>
      </c>
      <c r="S292" s="556">
        <f t="shared" si="17"/>
        <v>0</v>
      </c>
      <c r="T292" s="556">
        <f t="shared" si="17"/>
        <v>0</v>
      </c>
      <c r="U292" s="556">
        <f t="shared" si="17"/>
        <v>0</v>
      </c>
      <c r="V292" s="556">
        <f t="shared" si="17"/>
        <v>0</v>
      </c>
      <c r="W292" s="556">
        <f t="shared" si="17"/>
        <v>0</v>
      </c>
      <c r="X292" s="556">
        <f t="shared" si="17"/>
        <v>0</v>
      </c>
      <c r="Y292" s="556">
        <f t="shared" si="17"/>
        <v>0</v>
      </c>
      <c r="Z292" s="556">
        <f t="shared" si="17"/>
        <v>0</v>
      </c>
      <c r="AA292" s="556">
        <f t="shared" si="17"/>
        <v>0</v>
      </c>
      <c r="AB292" s="556">
        <f t="shared" si="17"/>
        <v>0</v>
      </c>
      <c r="AC292" s="556">
        <f t="shared" si="17"/>
        <v>0</v>
      </c>
      <c r="AD292" s="556">
        <f t="shared" si="17"/>
        <v>0</v>
      </c>
      <c r="AE292" s="556">
        <f t="shared" si="17"/>
        <v>0</v>
      </c>
      <c r="AF292" s="556">
        <f t="shared" si="17"/>
        <v>0</v>
      </c>
      <c r="AG292" s="556">
        <f t="shared" si="17"/>
        <v>0</v>
      </c>
      <c r="AH292" s="556">
        <f t="shared" si="17"/>
        <v>0</v>
      </c>
      <c r="AI292" s="556">
        <f t="shared" si="17"/>
        <v>0</v>
      </c>
      <c r="AJ292" s="556">
        <f t="shared" si="17"/>
        <v>0</v>
      </c>
      <c r="AK292" s="556">
        <f t="shared" si="17"/>
        <v>0</v>
      </c>
      <c r="AL292" s="556">
        <f t="shared" si="17"/>
        <v>0</v>
      </c>
      <c r="AM292" s="556">
        <f t="shared" si="17"/>
        <v>0</v>
      </c>
      <c r="AN292" s="556">
        <f t="shared" si="17"/>
        <v>0</v>
      </c>
      <c r="AO292" s="556">
        <f t="shared" si="17"/>
        <v>0</v>
      </c>
      <c r="AP292" s="556">
        <f t="shared" si="17"/>
        <v>0</v>
      </c>
      <c r="AQ292" s="556">
        <f t="shared" si="17"/>
        <v>0</v>
      </c>
      <c r="AR292" s="556">
        <f t="shared" si="17"/>
        <v>0</v>
      </c>
      <c r="AS292" s="556">
        <f t="shared" si="17"/>
        <v>0</v>
      </c>
      <c r="AT292" s="556">
        <f t="shared" si="17"/>
        <v>0</v>
      </c>
      <c r="AU292" s="556">
        <f t="shared" si="17"/>
        <v>0</v>
      </c>
      <c r="AV292" s="556">
        <f t="shared" si="17"/>
        <v>0</v>
      </c>
      <c r="AW292" s="556">
        <f t="shared" si="17"/>
        <v>0</v>
      </c>
      <c r="AX292" s="556">
        <f t="shared" si="17"/>
        <v>0</v>
      </c>
      <c r="AY292" s="556">
        <f t="shared" si="17"/>
        <v>0</v>
      </c>
      <c r="BB292" s="173"/>
      <c r="BC292" s="173"/>
      <c r="BD292" s="173"/>
      <c r="BE292" s="173"/>
      <c r="BF292" s="173"/>
      <c r="BG292" s="173"/>
      <c r="BH292" s="173"/>
      <c r="BI292" s="173"/>
      <c r="BJ292" s="173"/>
      <c r="BK292" s="173"/>
      <c r="BL292" s="173"/>
      <c r="BM292" s="173"/>
      <c r="BN292" s="173"/>
      <c r="BO292" s="173"/>
      <c r="BP292" s="173"/>
      <c r="BQ292" s="173"/>
      <c r="BR292" s="173"/>
      <c r="BS292" s="173"/>
      <c r="BT292" s="173"/>
      <c r="BU292" s="173"/>
      <c r="BV292" s="173"/>
      <c r="BW292" s="173"/>
      <c r="BX292" s="173"/>
      <c r="BY292" s="173"/>
      <c r="BZ292" s="173"/>
      <c r="CA292" s="173"/>
      <c r="CB292" s="173"/>
      <c r="CC292" s="173"/>
      <c r="CD292" s="173"/>
      <c r="CE292" s="173"/>
      <c r="CF292" s="173"/>
      <c r="CG292" s="173"/>
      <c r="CH292" s="173"/>
      <c r="CI292" s="173"/>
      <c r="CJ292" s="173"/>
      <c r="CK292" s="173"/>
      <c r="CL292" s="173"/>
      <c r="CM292" s="173"/>
      <c r="CN292" s="173"/>
      <c r="CO292" s="173"/>
      <c r="CP292" s="173"/>
      <c r="CQ292" s="173"/>
      <c r="CR292" s="173"/>
      <c r="CS292" s="173"/>
      <c r="CT292" s="173"/>
      <c r="CU292" s="173"/>
      <c r="CV292" s="173"/>
      <c r="CW292" s="173"/>
      <c r="CX292" s="173"/>
      <c r="CY292" s="173"/>
      <c r="CZ292" s="173"/>
      <c r="DA292" s="173"/>
    </row>
    <row r="293" spans="1:105" x14ac:dyDescent="0.3">
      <c r="B293" s="557">
        <v>663</v>
      </c>
      <c r="C293" s="173" t="s">
        <v>900</v>
      </c>
      <c r="D293" s="556">
        <f>D198</f>
        <v>0</v>
      </c>
      <c r="E293" s="556">
        <f t="shared" ref="E293:AY293" si="18">E198</f>
        <v>0</v>
      </c>
      <c r="F293" s="556">
        <f t="shared" si="18"/>
        <v>0</v>
      </c>
      <c r="G293" s="556">
        <f t="shared" si="18"/>
        <v>0</v>
      </c>
      <c r="H293" s="556">
        <f t="shared" si="18"/>
        <v>0</v>
      </c>
      <c r="I293" s="556">
        <f t="shared" si="18"/>
        <v>0</v>
      </c>
      <c r="J293" s="556">
        <f t="shared" si="18"/>
        <v>0</v>
      </c>
      <c r="K293" s="556">
        <f t="shared" si="18"/>
        <v>0</v>
      </c>
      <c r="L293" s="556">
        <f t="shared" si="18"/>
        <v>0</v>
      </c>
      <c r="M293" s="556">
        <f t="shared" si="18"/>
        <v>0</v>
      </c>
      <c r="N293" s="556">
        <f t="shared" si="18"/>
        <v>0</v>
      </c>
      <c r="O293" s="556">
        <f t="shared" si="18"/>
        <v>0</v>
      </c>
      <c r="P293" s="556">
        <f t="shared" si="18"/>
        <v>0</v>
      </c>
      <c r="Q293" s="556">
        <f t="shared" si="18"/>
        <v>0</v>
      </c>
      <c r="R293" s="556">
        <f t="shared" si="18"/>
        <v>0</v>
      </c>
      <c r="S293" s="556">
        <f t="shared" si="18"/>
        <v>0</v>
      </c>
      <c r="T293" s="556">
        <f t="shared" si="18"/>
        <v>0</v>
      </c>
      <c r="U293" s="556">
        <f t="shared" si="18"/>
        <v>0</v>
      </c>
      <c r="V293" s="556">
        <f t="shared" si="18"/>
        <v>0</v>
      </c>
      <c r="W293" s="556">
        <f t="shared" si="18"/>
        <v>0</v>
      </c>
      <c r="X293" s="556">
        <f t="shared" si="18"/>
        <v>0</v>
      </c>
      <c r="Y293" s="556">
        <f t="shared" si="18"/>
        <v>0</v>
      </c>
      <c r="Z293" s="556">
        <f t="shared" si="18"/>
        <v>0</v>
      </c>
      <c r="AA293" s="556">
        <f t="shared" si="18"/>
        <v>0</v>
      </c>
      <c r="AB293" s="556">
        <f t="shared" si="18"/>
        <v>0</v>
      </c>
      <c r="AC293" s="556">
        <f t="shared" si="18"/>
        <v>0</v>
      </c>
      <c r="AD293" s="556">
        <f t="shared" si="18"/>
        <v>0</v>
      </c>
      <c r="AE293" s="556">
        <f t="shared" si="18"/>
        <v>0</v>
      </c>
      <c r="AF293" s="556">
        <f t="shared" si="18"/>
        <v>0</v>
      </c>
      <c r="AG293" s="556">
        <f t="shared" si="18"/>
        <v>0</v>
      </c>
      <c r="AH293" s="556">
        <f t="shared" si="18"/>
        <v>0</v>
      </c>
      <c r="AI293" s="556">
        <f t="shared" si="18"/>
        <v>0</v>
      </c>
      <c r="AJ293" s="556">
        <f t="shared" si="18"/>
        <v>0</v>
      </c>
      <c r="AK293" s="556">
        <f t="shared" si="18"/>
        <v>0</v>
      </c>
      <c r="AL293" s="556">
        <f t="shared" si="18"/>
        <v>0</v>
      </c>
      <c r="AM293" s="556">
        <f t="shared" si="18"/>
        <v>0</v>
      </c>
      <c r="AN293" s="556">
        <f t="shared" si="18"/>
        <v>0</v>
      </c>
      <c r="AO293" s="556">
        <f t="shared" si="18"/>
        <v>0</v>
      </c>
      <c r="AP293" s="556">
        <f t="shared" si="18"/>
        <v>0</v>
      </c>
      <c r="AQ293" s="556">
        <f t="shared" si="18"/>
        <v>0</v>
      </c>
      <c r="AR293" s="556">
        <f t="shared" si="18"/>
        <v>0</v>
      </c>
      <c r="AS293" s="556">
        <f t="shared" si="18"/>
        <v>0</v>
      </c>
      <c r="AT293" s="556">
        <f t="shared" si="18"/>
        <v>0</v>
      </c>
      <c r="AU293" s="556">
        <f t="shared" si="18"/>
        <v>0</v>
      </c>
      <c r="AV293" s="556">
        <f t="shared" si="18"/>
        <v>0</v>
      </c>
      <c r="AW293" s="556">
        <f t="shared" si="18"/>
        <v>0</v>
      </c>
      <c r="AX293" s="556">
        <f t="shared" si="18"/>
        <v>0</v>
      </c>
      <c r="AY293" s="556">
        <f t="shared" si="18"/>
        <v>0</v>
      </c>
      <c r="BB293" s="173"/>
      <c r="BC293" s="173"/>
      <c r="BD293" s="173"/>
      <c r="BE293" s="173"/>
      <c r="BF293" s="173"/>
      <c r="BG293" s="173"/>
      <c r="BH293" s="173"/>
      <c r="BI293" s="173"/>
      <c r="BJ293" s="173"/>
      <c r="BK293" s="173"/>
      <c r="BL293" s="173"/>
      <c r="BM293" s="173"/>
      <c r="BN293" s="173"/>
      <c r="BO293" s="173"/>
      <c r="BP293" s="173"/>
      <c r="BQ293" s="173"/>
      <c r="BR293" s="173"/>
      <c r="BS293" s="173"/>
      <c r="BT293" s="173"/>
      <c r="BU293" s="173"/>
      <c r="BV293" s="173"/>
      <c r="BW293" s="173"/>
      <c r="BX293" s="173"/>
      <c r="BY293" s="173"/>
      <c r="BZ293" s="173"/>
      <c r="CA293" s="173"/>
      <c r="CB293" s="173"/>
      <c r="CC293" s="173"/>
      <c r="CD293" s="173"/>
      <c r="CE293" s="173"/>
      <c r="CF293" s="173"/>
      <c r="CG293" s="173"/>
      <c r="CH293" s="173"/>
      <c r="CI293" s="173"/>
      <c r="CJ293" s="173"/>
      <c r="CK293" s="173"/>
      <c r="CL293" s="173"/>
      <c r="CM293" s="173"/>
      <c r="CN293" s="173"/>
      <c r="CO293" s="173"/>
      <c r="CP293" s="173"/>
      <c r="CQ293" s="173"/>
      <c r="CR293" s="173"/>
      <c r="CS293" s="173"/>
      <c r="CT293" s="173"/>
      <c r="CU293" s="173"/>
      <c r="CV293" s="173"/>
      <c r="CW293" s="173"/>
      <c r="CX293" s="173"/>
      <c r="CY293" s="173"/>
      <c r="CZ293" s="173"/>
      <c r="DA293" s="173"/>
    </row>
    <row r="294" spans="1:105" x14ac:dyDescent="0.3">
      <c r="B294" s="558">
        <v>336</v>
      </c>
      <c r="C294" s="173"/>
      <c r="D294" s="173">
        <f>D57</f>
        <v>0</v>
      </c>
      <c r="E294" s="173">
        <f t="shared" ref="E294:AY294" si="19">E57</f>
        <v>0</v>
      </c>
      <c r="F294" s="173">
        <f t="shared" si="19"/>
        <v>0</v>
      </c>
      <c r="G294" s="173">
        <f t="shared" si="19"/>
        <v>0</v>
      </c>
      <c r="H294" s="173">
        <f t="shared" si="19"/>
        <v>0</v>
      </c>
      <c r="I294" s="173">
        <f t="shared" si="19"/>
        <v>0</v>
      </c>
      <c r="J294" s="173">
        <f t="shared" si="19"/>
        <v>0</v>
      </c>
      <c r="K294" s="173">
        <f t="shared" si="19"/>
        <v>0</v>
      </c>
      <c r="L294" s="173">
        <f t="shared" si="19"/>
        <v>0</v>
      </c>
      <c r="M294" s="173">
        <f t="shared" si="19"/>
        <v>0</v>
      </c>
      <c r="N294" s="173">
        <f t="shared" si="19"/>
        <v>0</v>
      </c>
      <c r="O294" s="173">
        <f t="shared" si="19"/>
        <v>0</v>
      </c>
      <c r="P294" s="173">
        <f t="shared" si="19"/>
        <v>0</v>
      </c>
      <c r="Q294" s="173">
        <f t="shared" si="19"/>
        <v>0</v>
      </c>
      <c r="R294" s="173">
        <f t="shared" si="19"/>
        <v>0</v>
      </c>
      <c r="S294" s="173">
        <f t="shared" si="19"/>
        <v>0</v>
      </c>
      <c r="T294" s="173">
        <f t="shared" si="19"/>
        <v>0</v>
      </c>
      <c r="U294" s="173">
        <f t="shared" si="19"/>
        <v>0</v>
      </c>
      <c r="V294" s="173">
        <f t="shared" si="19"/>
        <v>0</v>
      </c>
      <c r="W294" s="173">
        <f t="shared" si="19"/>
        <v>0</v>
      </c>
      <c r="X294" s="173">
        <f t="shared" si="19"/>
        <v>0</v>
      </c>
      <c r="Y294" s="173">
        <f t="shared" si="19"/>
        <v>0</v>
      </c>
      <c r="Z294" s="173">
        <f t="shared" si="19"/>
        <v>0</v>
      </c>
      <c r="AA294" s="173">
        <f t="shared" si="19"/>
        <v>0</v>
      </c>
      <c r="AB294" s="173">
        <f t="shared" si="19"/>
        <v>0</v>
      </c>
      <c r="AC294" s="173">
        <f t="shared" si="19"/>
        <v>0</v>
      </c>
      <c r="AD294" s="173">
        <f t="shared" si="19"/>
        <v>0</v>
      </c>
      <c r="AE294" s="173">
        <f t="shared" si="19"/>
        <v>0</v>
      </c>
      <c r="AF294" s="173">
        <f t="shared" si="19"/>
        <v>0</v>
      </c>
      <c r="AG294" s="173">
        <f t="shared" si="19"/>
        <v>0</v>
      </c>
      <c r="AH294" s="173">
        <f t="shared" si="19"/>
        <v>0</v>
      </c>
      <c r="AI294" s="173">
        <f t="shared" si="19"/>
        <v>0</v>
      </c>
      <c r="AJ294" s="173">
        <f t="shared" si="19"/>
        <v>0</v>
      </c>
      <c r="AK294" s="173">
        <f t="shared" si="19"/>
        <v>27170</v>
      </c>
      <c r="AL294" s="173">
        <f t="shared" si="19"/>
        <v>0</v>
      </c>
      <c r="AM294" s="173">
        <f t="shared" si="19"/>
        <v>0</v>
      </c>
      <c r="AN294" s="173">
        <f t="shared" si="19"/>
        <v>0</v>
      </c>
      <c r="AO294" s="173">
        <f t="shared" si="19"/>
        <v>0</v>
      </c>
      <c r="AP294" s="173">
        <f t="shared" si="19"/>
        <v>0</v>
      </c>
      <c r="AQ294" s="173">
        <f t="shared" si="19"/>
        <v>0</v>
      </c>
      <c r="AR294" s="173">
        <f t="shared" si="19"/>
        <v>0</v>
      </c>
      <c r="AS294" s="173">
        <f t="shared" si="19"/>
        <v>0</v>
      </c>
      <c r="AT294" s="173">
        <f t="shared" si="19"/>
        <v>0</v>
      </c>
      <c r="AU294" s="173">
        <f t="shared" si="19"/>
        <v>0</v>
      </c>
      <c r="AV294" s="173">
        <f t="shared" si="19"/>
        <v>0</v>
      </c>
      <c r="AW294" s="173">
        <f t="shared" si="19"/>
        <v>0</v>
      </c>
      <c r="AX294" s="173">
        <f t="shared" si="19"/>
        <v>0</v>
      </c>
      <c r="AY294" s="173">
        <f t="shared" si="19"/>
        <v>0</v>
      </c>
      <c r="BB294" s="173"/>
      <c r="BC294" s="173"/>
      <c r="BD294" s="173"/>
      <c r="BE294" s="173"/>
      <c r="BF294" s="173"/>
      <c r="BG294" s="173"/>
      <c r="BH294" s="173"/>
      <c r="BI294" s="173"/>
      <c r="BJ294" s="173"/>
      <c r="BK294" s="173"/>
      <c r="BL294" s="173"/>
      <c r="BM294" s="173"/>
      <c r="BN294" s="173"/>
      <c r="BO294" s="173"/>
      <c r="BP294" s="173"/>
      <c r="BQ294" s="173"/>
      <c r="BR294" s="173"/>
      <c r="BS294" s="173"/>
      <c r="BT294" s="173"/>
      <c r="BU294" s="173"/>
      <c r="BV294" s="173"/>
      <c r="BW294" s="173"/>
      <c r="BX294" s="173"/>
      <c r="BY294" s="173"/>
      <c r="BZ294" s="173"/>
      <c r="CA294" s="173"/>
      <c r="CB294" s="173"/>
      <c r="CC294" s="173"/>
      <c r="CD294" s="173"/>
      <c r="CE294" s="173"/>
      <c r="CF294" s="173"/>
      <c r="CG294" s="173"/>
      <c r="CH294" s="173"/>
      <c r="CI294" s="173"/>
      <c r="CJ294" s="173"/>
      <c r="CK294" s="173"/>
      <c r="CL294" s="173"/>
      <c r="CM294" s="173"/>
      <c r="CN294" s="173"/>
      <c r="CO294" s="173"/>
      <c r="CP294" s="173"/>
      <c r="CQ294" s="173"/>
      <c r="CR294" s="173"/>
      <c r="CS294" s="173"/>
      <c r="CT294" s="173"/>
      <c r="CU294" s="173"/>
      <c r="CV294" s="173"/>
      <c r="CW294" s="173"/>
      <c r="CX294" s="173"/>
      <c r="CY294" s="173"/>
      <c r="CZ294" s="173"/>
      <c r="DA294" s="173"/>
    </row>
    <row r="295" spans="1:105" x14ac:dyDescent="0.3">
      <c r="B295" s="558">
        <v>44</v>
      </c>
      <c r="C295" s="173"/>
      <c r="D295" s="173">
        <f>D13</f>
        <v>1888566</v>
      </c>
      <c r="E295" s="173">
        <f t="shared" ref="E295:AY298" si="20">E13</f>
        <v>8205217</v>
      </c>
      <c r="F295" s="173">
        <f t="shared" si="20"/>
        <v>9404893</v>
      </c>
      <c r="G295" s="173">
        <f t="shared" si="20"/>
        <v>52257504</v>
      </c>
      <c r="H295" s="173">
        <f t="shared" si="20"/>
        <v>84504521</v>
      </c>
      <c r="I295" s="173">
        <f t="shared" si="20"/>
        <v>47216686</v>
      </c>
      <c r="J295" s="173">
        <f t="shared" si="20"/>
        <v>64868468</v>
      </c>
      <c r="K295" s="173">
        <f t="shared" si="20"/>
        <v>17457169</v>
      </c>
      <c r="L295" s="173">
        <f t="shared" si="20"/>
        <v>0</v>
      </c>
      <c r="M295" s="173">
        <f t="shared" si="20"/>
        <v>3040891</v>
      </c>
      <c r="N295" s="173">
        <f t="shared" si="20"/>
        <v>7749876</v>
      </c>
      <c r="O295" s="173">
        <f t="shared" si="20"/>
        <v>70315</v>
      </c>
      <c r="P295" s="173">
        <f t="shared" si="20"/>
        <v>63177510</v>
      </c>
      <c r="Q295" s="173">
        <f t="shared" si="20"/>
        <v>1774007</v>
      </c>
      <c r="R295" s="173">
        <f t="shared" si="20"/>
        <v>859030</v>
      </c>
      <c r="S295" s="173">
        <f t="shared" si="20"/>
        <v>7868873</v>
      </c>
      <c r="T295" s="173">
        <f t="shared" si="20"/>
        <v>941375</v>
      </c>
      <c r="U295" s="173">
        <f t="shared" si="20"/>
        <v>30498260</v>
      </c>
      <c r="V295" s="173">
        <f t="shared" si="20"/>
        <v>4137228</v>
      </c>
      <c r="W295" s="173">
        <f t="shared" si="20"/>
        <v>791868</v>
      </c>
      <c r="X295" s="173">
        <f t="shared" si="20"/>
        <v>3917701</v>
      </c>
      <c r="Y295" s="173">
        <f t="shared" si="20"/>
        <v>4019986</v>
      </c>
      <c r="Z295" s="173">
        <f t="shared" si="20"/>
        <v>1833205</v>
      </c>
      <c r="AA295" s="173">
        <f t="shared" si="20"/>
        <v>1436760</v>
      </c>
      <c r="AB295" s="173">
        <f t="shared" si="20"/>
        <v>1307701</v>
      </c>
      <c r="AC295" s="173">
        <f t="shared" si="20"/>
        <v>7794080</v>
      </c>
      <c r="AD295" s="173">
        <f t="shared" si="20"/>
        <v>3695916</v>
      </c>
      <c r="AE295" s="173">
        <f t="shared" si="20"/>
        <v>743828</v>
      </c>
      <c r="AF295" s="173">
        <f t="shared" si="20"/>
        <v>51617255</v>
      </c>
      <c r="AG295" s="173">
        <f t="shared" si="20"/>
        <v>31479400</v>
      </c>
      <c r="AH295" s="173">
        <f t="shared" si="20"/>
        <v>15940761</v>
      </c>
      <c r="AI295" s="173">
        <f t="shared" si="20"/>
        <v>14955753</v>
      </c>
      <c r="AJ295" s="173">
        <f t="shared" si="20"/>
        <v>543185</v>
      </c>
      <c r="AK295" s="173">
        <f t="shared" si="20"/>
        <v>1210392</v>
      </c>
      <c r="AL295" s="173">
        <f t="shared" si="20"/>
        <v>28087027</v>
      </c>
      <c r="AM295" s="173">
        <f t="shared" si="20"/>
        <v>3980552</v>
      </c>
      <c r="AN295" s="173">
        <f t="shared" si="20"/>
        <v>9524039</v>
      </c>
      <c r="AO295" s="173">
        <f t="shared" si="20"/>
        <v>2714284</v>
      </c>
      <c r="AP295" s="173">
        <f t="shared" si="20"/>
        <v>2636462</v>
      </c>
      <c r="AQ295" s="173">
        <f t="shared" si="20"/>
        <v>1303303</v>
      </c>
      <c r="AR295" s="173">
        <f t="shared" si="20"/>
        <v>398156</v>
      </c>
      <c r="AS295" s="173">
        <f t="shared" si="20"/>
        <v>0</v>
      </c>
      <c r="AT295" s="173">
        <f t="shared" si="20"/>
        <v>16769534</v>
      </c>
      <c r="AU295" s="173">
        <f t="shared" si="20"/>
        <v>0</v>
      </c>
      <c r="AV295" s="173">
        <f t="shared" si="20"/>
        <v>0</v>
      </c>
      <c r="AW295" s="173">
        <f t="shared" si="20"/>
        <v>45373</v>
      </c>
      <c r="AX295" s="173">
        <f t="shared" si="20"/>
        <v>3720182</v>
      </c>
      <c r="AY295" s="173">
        <f t="shared" si="20"/>
        <v>2830956</v>
      </c>
      <c r="BB295" s="173"/>
      <c r="BC295" s="173"/>
      <c r="BD295" s="173"/>
      <c r="BE295" s="173"/>
      <c r="BF295" s="173"/>
      <c r="BG295" s="173"/>
      <c r="BH295" s="173"/>
      <c r="BI295" s="173"/>
      <c r="BJ295" s="173"/>
      <c r="BK295" s="173"/>
      <c r="BL295" s="173"/>
      <c r="BM295" s="173"/>
      <c r="BN295" s="173"/>
      <c r="BO295" s="173"/>
      <c r="BP295" s="173"/>
      <c r="BQ295" s="173"/>
      <c r="BR295" s="173"/>
      <c r="BS295" s="173"/>
      <c r="BT295" s="173"/>
      <c r="BU295" s="173"/>
      <c r="BV295" s="173"/>
      <c r="BW295" s="173"/>
      <c r="BX295" s="173"/>
      <c r="BY295" s="173"/>
      <c r="BZ295" s="173"/>
      <c r="CA295" s="173"/>
      <c r="CB295" s="173"/>
      <c r="CC295" s="173"/>
      <c r="CD295" s="173"/>
      <c r="CE295" s="173"/>
      <c r="CF295" s="173"/>
      <c r="CG295" s="173"/>
      <c r="CH295" s="173"/>
      <c r="CI295" s="173"/>
      <c r="CJ295" s="173"/>
      <c r="CK295" s="173"/>
      <c r="CL295" s="173"/>
      <c r="CM295" s="173"/>
      <c r="CN295" s="173"/>
      <c r="CO295" s="173"/>
      <c r="CP295" s="173"/>
      <c r="CQ295" s="173"/>
      <c r="CR295" s="173"/>
      <c r="CS295" s="173"/>
      <c r="CT295" s="173"/>
      <c r="CU295" s="173"/>
      <c r="CV295" s="173"/>
      <c r="CW295" s="173"/>
      <c r="CX295" s="173"/>
      <c r="CY295" s="173"/>
      <c r="CZ295" s="173"/>
      <c r="DA295" s="173"/>
    </row>
    <row r="296" spans="1:105" x14ac:dyDescent="0.3">
      <c r="B296" s="558">
        <v>45</v>
      </c>
      <c r="C296" s="173"/>
      <c r="D296" s="173">
        <f t="shared" ref="D296:S298" si="21">D14</f>
        <v>307619</v>
      </c>
      <c r="E296" s="173">
        <f t="shared" si="21"/>
        <v>348357</v>
      </c>
      <c r="F296" s="173">
        <f t="shared" si="21"/>
        <v>2871987</v>
      </c>
      <c r="G296" s="173">
        <f t="shared" si="21"/>
        <v>6831562</v>
      </c>
      <c r="H296" s="173">
        <f t="shared" si="21"/>
        <v>5030955</v>
      </c>
      <c r="I296" s="173">
        <f t="shared" si="21"/>
        <v>4737586</v>
      </c>
      <c r="J296" s="173">
        <f t="shared" si="21"/>
        <v>34000882</v>
      </c>
      <c r="K296" s="173">
        <f t="shared" si="21"/>
        <v>2066129</v>
      </c>
      <c r="L296" s="173">
        <f t="shared" si="21"/>
        <v>0</v>
      </c>
      <c r="M296" s="173">
        <f t="shared" si="21"/>
        <v>2080952</v>
      </c>
      <c r="N296" s="173">
        <f t="shared" si="21"/>
        <v>566874</v>
      </c>
      <c r="O296" s="173">
        <f t="shared" si="21"/>
        <v>42416</v>
      </c>
      <c r="P296" s="173">
        <f t="shared" si="21"/>
        <v>31710274</v>
      </c>
      <c r="Q296" s="173">
        <f t="shared" si="21"/>
        <v>111352</v>
      </c>
      <c r="R296" s="173">
        <f t="shared" si="21"/>
        <v>821072</v>
      </c>
      <c r="S296" s="173">
        <f t="shared" si="21"/>
        <v>415812</v>
      </c>
      <c r="T296" s="173">
        <f t="shared" si="20"/>
        <v>20311</v>
      </c>
      <c r="U296" s="173">
        <f t="shared" si="20"/>
        <v>7785213</v>
      </c>
      <c r="V296" s="173">
        <f t="shared" si="20"/>
        <v>1008169</v>
      </c>
      <c r="W296" s="173">
        <f t="shared" si="20"/>
        <v>19882</v>
      </c>
      <c r="X296" s="173">
        <f t="shared" si="20"/>
        <v>973941</v>
      </c>
      <c r="Y296" s="173">
        <f t="shared" si="20"/>
        <v>1696564</v>
      </c>
      <c r="Z296" s="173">
        <f t="shared" si="20"/>
        <v>326792</v>
      </c>
      <c r="AA296" s="173">
        <f t="shared" si="20"/>
        <v>331303</v>
      </c>
      <c r="AB296" s="173">
        <f t="shared" si="20"/>
        <v>16333</v>
      </c>
      <c r="AC296" s="173">
        <f t="shared" si="20"/>
        <v>3049260</v>
      </c>
      <c r="AD296" s="173">
        <f t="shared" si="20"/>
        <v>226353</v>
      </c>
      <c r="AE296" s="173">
        <f t="shared" si="20"/>
        <v>207982</v>
      </c>
      <c r="AF296" s="173">
        <f t="shared" si="20"/>
        <v>9999363</v>
      </c>
      <c r="AG296" s="173">
        <f t="shared" si="20"/>
        <v>10402157</v>
      </c>
      <c r="AH296" s="173">
        <f t="shared" si="20"/>
        <v>2279285</v>
      </c>
      <c r="AI296" s="173">
        <f t="shared" si="20"/>
        <v>1260585</v>
      </c>
      <c r="AJ296" s="173">
        <f t="shared" si="20"/>
        <v>44218</v>
      </c>
      <c r="AK296" s="173">
        <f t="shared" si="20"/>
        <v>27170</v>
      </c>
      <c r="AL296" s="173">
        <f t="shared" si="20"/>
        <v>3820761</v>
      </c>
      <c r="AM296" s="173">
        <f t="shared" si="20"/>
        <v>197343</v>
      </c>
      <c r="AN296" s="173">
        <f t="shared" si="20"/>
        <v>548118</v>
      </c>
      <c r="AO296" s="173">
        <f t="shared" si="20"/>
        <v>79672</v>
      </c>
      <c r="AP296" s="173">
        <f t="shared" si="20"/>
        <v>126053</v>
      </c>
      <c r="AQ296" s="173">
        <f t="shared" si="20"/>
        <v>187582</v>
      </c>
      <c r="AR296" s="173">
        <f t="shared" si="20"/>
        <v>2409</v>
      </c>
      <c r="AS296" s="173">
        <f t="shared" si="20"/>
        <v>0</v>
      </c>
      <c r="AT296" s="173">
        <f t="shared" si="20"/>
        <v>691032</v>
      </c>
      <c r="AU296" s="173">
        <f t="shared" si="20"/>
        <v>0</v>
      </c>
      <c r="AV296" s="173">
        <f t="shared" si="20"/>
        <v>0</v>
      </c>
      <c r="AW296" s="173">
        <f t="shared" si="20"/>
        <v>1437</v>
      </c>
      <c r="AX296" s="173">
        <f t="shared" si="20"/>
        <v>298216</v>
      </c>
      <c r="AY296" s="173">
        <f t="shared" si="20"/>
        <v>680944</v>
      </c>
      <c r="BB296" s="173"/>
      <c r="BC296" s="173"/>
      <c r="BD296" s="173"/>
      <c r="BE296" s="173"/>
      <c r="BF296" s="173"/>
      <c r="BG296" s="173"/>
      <c r="BH296" s="173"/>
      <c r="BI296" s="173"/>
      <c r="BJ296" s="173"/>
      <c r="BK296" s="173"/>
      <c r="BL296" s="173"/>
      <c r="BM296" s="173"/>
      <c r="BN296" s="173"/>
      <c r="BO296" s="173"/>
      <c r="BP296" s="173"/>
      <c r="BQ296" s="173"/>
      <c r="BR296" s="173"/>
      <c r="BS296" s="173"/>
      <c r="BT296" s="173"/>
      <c r="BU296" s="173"/>
      <c r="BV296" s="173"/>
      <c r="BW296" s="173"/>
      <c r="BX296" s="173"/>
      <c r="BY296" s="173"/>
      <c r="BZ296" s="173"/>
      <c r="CA296" s="173"/>
      <c r="CB296" s="173"/>
      <c r="CC296" s="173"/>
      <c r="CD296" s="173"/>
      <c r="CE296" s="173"/>
      <c r="CF296" s="173"/>
      <c r="CG296" s="173"/>
      <c r="CH296" s="173"/>
      <c r="CI296" s="173"/>
      <c r="CJ296" s="173"/>
      <c r="CK296" s="173"/>
      <c r="CL296" s="173"/>
      <c r="CM296" s="173"/>
      <c r="CN296" s="173"/>
      <c r="CO296" s="173"/>
      <c r="CP296" s="173"/>
      <c r="CQ296" s="173"/>
      <c r="CR296" s="173"/>
      <c r="CS296" s="173"/>
      <c r="CT296" s="173"/>
      <c r="CU296" s="173"/>
      <c r="CV296" s="173"/>
      <c r="CW296" s="173"/>
      <c r="CX296" s="173"/>
      <c r="CY296" s="173"/>
      <c r="CZ296" s="173"/>
      <c r="DA296" s="173"/>
    </row>
    <row r="297" spans="1:105" x14ac:dyDescent="0.3">
      <c r="B297" s="558">
        <v>47</v>
      </c>
      <c r="C297" s="173"/>
      <c r="D297" s="173">
        <f t="shared" si="21"/>
        <v>0</v>
      </c>
      <c r="E297" s="173">
        <f t="shared" si="20"/>
        <v>0</v>
      </c>
      <c r="F297" s="173">
        <f t="shared" si="20"/>
        <v>0</v>
      </c>
      <c r="G297" s="173">
        <f t="shared" si="20"/>
        <v>0</v>
      </c>
      <c r="H297" s="173">
        <f t="shared" si="20"/>
        <v>0</v>
      </c>
      <c r="I297" s="173">
        <f t="shared" si="20"/>
        <v>0</v>
      </c>
      <c r="J297" s="173">
        <f t="shared" si="20"/>
        <v>0</v>
      </c>
      <c r="K297" s="173">
        <f t="shared" si="20"/>
        <v>0</v>
      </c>
      <c r="L297" s="173">
        <f t="shared" si="20"/>
        <v>0</v>
      </c>
      <c r="M297" s="173">
        <f t="shared" si="20"/>
        <v>0</v>
      </c>
      <c r="N297" s="173">
        <f t="shared" si="20"/>
        <v>0</v>
      </c>
      <c r="O297" s="173">
        <f t="shared" si="20"/>
        <v>0</v>
      </c>
      <c r="P297" s="173">
        <f t="shared" si="20"/>
        <v>135868026</v>
      </c>
      <c r="Q297" s="173">
        <f t="shared" si="20"/>
        <v>0</v>
      </c>
      <c r="R297" s="173">
        <f t="shared" si="20"/>
        <v>0</v>
      </c>
      <c r="S297" s="173">
        <f t="shared" si="20"/>
        <v>0</v>
      </c>
      <c r="T297" s="173">
        <f t="shared" si="20"/>
        <v>0</v>
      </c>
      <c r="U297" s="173">
        <f t="shared" si="20"/>
        <v>69493165</v>
      </c>
      <c r="V297" s="173">
        <f t="shared" si="20"/>
        <v>0</v>
      </c>
      <c r="W297" s="173">
        <f t="shared" si="20"/>
        <v>0</v>
      </c>
      <c r="X297" s="173">
        <f t="shared" si="20"/>
        <v>0</v>
      </c>
      <c r="Y297" s="173">
        <f t="shared" si="20"/>
        <v>0</v>
      </c>
      <c r="Z297" s="173">
        <f t="shared" si="20"/>
        <v>0</v>
      </c>
      <c r="AA297" s="173">
        <f t="shared" si="20"/>
        <v>0</v>
      </c>
      <c r="AB297" s="173">
        <f t="shared" si="20"/>
        <v>0</v>
      </c>
      <c r="AC297" s="173">
        <f t="shared" si="20"/>
        <v>0</v>
      </c>
      <c r="AD297" s="173">
        <f t="shared" si="20"/>
        <v>0</v>
      </c>
      <c r="AE297" s="173">
        <f t="shared" si="20"/>
        <v>0</v>
      </c>
      <c r="AF297" s="173">
        <f t="shared" si="20"/>
        <v>0</v>
      </c>
      <c r="AG297" s="173">
        <f t="shared" si="20"/>
        <v>0</v>
      </c>
      <c r="AH297" s="173">
        <f t="shared" si="20"/>
        <v>0</v>
      </c>
      <c r="AI297" s="173">
        <f t="shared" si="20"/>
        <v>0</v>
      </c>
      <c r="AJ297" s="173">
        <f t="shared" si="20"/>
        <v>0</v>
      </c>
      <c r="AK297" s="173">
        <f t="shared" si="20"/>
        <v>0</v>
      </c>
      <c r="AL297" s="173">
        <f t="shared" si="20"/>
        <v>0</v>
      </c>
      <c r="AM297" s="173">
        <f t="shared" si="20"/>
        <v>0</v>
      </c>
      <c r="AN297" s="173">
        <f t="shared" si="20"/>
        <v>0</v>
      </c>
      <c r="AO297" s="173">
        <f t="shared" si="20"/>
        <v>0</v>
      </c>
      <c r="AP297" s="173">
        <f t="shared" si="20"/>
        <v>0</v>
      </c>
      <c r="AQ297" s="173">
        <f t="shared" si="20"/>
        <v>0</v>
      </c>
      <c r="AR297" s="173">
        <f t="shared" si="20"/>
        <v>0</v>
      </c>
      <c r="AS297" s="173">
        <f t="shared" si="20"/>
        <v>0</v>
      </c>
      <c r="AT297" s="173">
        <f t="shared" si="20"/>
        <v>0</v>
      </c>
      <c r="AU297" s="173">
        <f t="shared" si="20"/>
        <v>0</v>
      </c>
      <c r="AV297" s="173">
        <f t="shared" si="20"/>
        <v>0</v>
      </c>
      <c r="AW297" s="173">
        <f t="shared" si="20"/>
        <v>0</v>
      </c>
      <c r="AX297" s="173">
        <f t="shared" si="20"/>
        <v>0</v>
      </c>
      <c r="AY297" s="173">
        <f t="shared" si="20"/>
        <v>0</v>
      </c>
      <c r="BB297" s="173"/>
      <c r="BC297" s="173"/>
      <c r="BD297" s="173"/>
      <c r="BE297" s="173"/>
      <c r="BF297" s="173"/>
      <c r="BG297" s="173"/>
      <c r="BH297" s="173"/>
      <c r="BI297" s="173"/>
      <c r="BJ297" s="173"/>
      <c r="BK297" s="173"/>
      <c r="BL297" s="173"/>
      <c r="BM297" s="173"/>
      <c r="BN297" s="173"/>
      <c r="BO297" s="173"/>
      <c r="BP297" s="173"/>
      <c r="BQ297" s="173"/>
      <c r="BR297" s="173"/>
      <c r="BS297" s="173"/>
      <c r="BT297" s="173"/>
      <c r="BU297" s="173"/>
      <c r="BV297" s="173"/>
      <c r="BW297" s="173"/>
      <c r="BX297" s="173"/>
      <c r="BY297" s="173"/>
      <c r="BZ297" s="173"/>
      <c r="CA297" s="173"/>
      <c r="CB297" s="173"/>
      <c r="CC297" s="173"/>
      <c r="CD297" s="173"/>
      <c r="CE297" s="173"/>
      <c r="CF297" s="173"/>
      <c r="CG297" s="173"/>
      <c r="CH297" s="173"/>
      <c r="CI297" s="173"/>
      <c r="CJ297" s="173"/>
      <c r="CK297" s="173"/>
      <c r="CL297" s="173"/>
      <c r="CM297" s="173"/>
      <c r="CN297" s="173"/>
      <c r="CO297" s="173"/>
      <c r="CP297" s="173"/>
      <c r="CQ297" s="173"/>
      <c r="CR297" s="173"/>
      <c r="CS297" s="173"/>
      <c r="CT297" s="173"/>
      <c r="CU297" s="173"/>
      <c r="CV297" s="173"/>
      <c r="CW297" s="173"/>
      <c r="CX297" s="173"/>
      <c r="CY297" s="173"/>
      <c r="CZ297" s="173"/>
      <c r="DA297" s="173"/>
    </row>
    <row r="298" spans="1:105" x14ac:dyDescent="0.3">
      <c r="B298" s="558">
        <v>48</v>
      </c>
      <c r="C298" s="173"/>
      <c r="D298" s="173">
        <f t="shared" si="21"/>
        <v>0</v>
      </c>
      <c r="E298" s="173">
        <f t="shared" si="20"/>
        <v>0</v>
      </c>
      <c r="F298" s="173">
        <f t="shared" si="20"/>
        <v>0</v>
      </c>
      <c r="G298" s="173">
        <f t="shared" si="20"/>
        <v>0</v>
      </c>
      <c r="H298" s="173">
        <f t="shared" si="20"/>
        <v>0</v>
      </c>
      <c r="I298" s="173">
        <f t="shared" si="20"/>
        <v>0</v>
      </c>
      <c r="J298" s="173">
        <f t="shared" si="20"/>
        <v>0</v>
      </c>
      <c r="K298" s="173">
        <f t="shared" si="20"/>
        <v>0</v>
      </c>
      <c r="L298" s="173">
        <f t="shared" si="20"/>
        <v>0</v>
      </c>
      <c r="M298" s="173">
        <f t="shared" si="20"/>
        <v>0</v>
      </c>
      <c r="N298" s="173">
        <f t="shared" si="20"/>
        <v>0</v>
      </c>
      <c r="O298" s="173">
        <f t="shared" si="20"/>
        <v>0</v>
      </c>
      <c r="P298" s="173">
        <f t="shared" si="20"/>
        <v>13778572</v>
      </c>
      <c r="Q298" s="173">
        <f t="shared" si="20"/>
        <v>0</v>
      </c>
      <c r="R298" s="173">
        <f t="shared" si="20"/>
        <v>0</v>
      </c>
      <c r="S298" s="173">
        <f t="shared" si="20"/>
        <v>0</v>
      </c>
      <c r="T298" s="173">
        <f t="shared" si="20"/>
        <v>0</v>
      </c>
      <c r="U298" s="173">
        <f t="shared" si="20"/>
        <v>17031760</v>
      </c>
      <c r="V298" s="173">
        <f t="shared" si="20"/>
        <v>0</v>
      </c>
      <c r="W298" s="173">
        <f t="shared" si="20"/>
        <v>0</v>
      </c>
      <c r="X298" s="173">
        <f t="shared" si="20"/>
        <v>0</v>
      </c>
      <c r="Y298" s="173">
        <f t="shared" si="20"/>
        <v>0</v>
      </c>
      <c r="Z298" s="173">
        <f t="shared" si="20"/>
        <v>0</v>
      </c>
      <c r="AA298" s="173">
        <f t="shared" si="20"/>
        <v>0</v>
      </c>
      <c r="AB298" s="173">
        <f t="shared" si="20"/>
        <v>0</v>
      </c>
      <c r="AC298" s="173">
        <f t="shared" si="20"/>
        <v>0</v>
      </c>
      <c r="AD298" s="173">
        <f t="shared" si="20"/>
        <v>0</v>
      </c>
      <c r="AE298" s="173">
        <f t="shared" si="20"/>
        <v>0</v>
      </c>
      <c r="AF298" s="173">
        <f t="shared" si="20"/>
        <v>0</v>
      </c>
      <c r="AG298" s="173">
        <f t="shared" si="20"/>
        <v>0</v>
      </c>
      <c r="AH298" s="173">
        <f t="shared" si="20"/>
        <v>0</v>
      </c>
      <c r="AI298" s="173">
        <f t="shared" si="20"/>
        <v>0</v>
      </c>
      <c r="AJ298" s="173">
        <f t="shared" si="20"/>
        <v>0</v>
      </c>
      <c r="AK298" s="173">
        <f t="shared" si="20"/>
        <v>0</v>
      </c>
      <c r="AL298" s="173">
        <f t="shared" si="20"/>
        <v>0</v>
      </c>
      <c r="AM298" s="173">
        <f t="shared" si="20"/>
        <v>0</v>
      </c>
      <c r="AN298" s="173">
        <f t="shared" si="20"/>
        <v>0</v>
      </c>
      <c r="AO298" s="173">
        <f t="shared" si="20"/>
        <v>0</v>
      </c>
      <c r="AP298" s="173">
        <f t="shared" si="20"/>
        <v>0</v>
      </c>
      <c r="AQ298" s="173">
        <f t="shared" si="20"/>
        <v>0</v>
      </c>
      <c r="AR298" s="173">
        <f t="shared" si="20"/>
        <v>0</v>
      </c>
      <c r="AS298" s="173">
        <f t="shared" si="20"/>
        <v>0</v>
      </c>
      <c r="AT298" s="173">
        <f t="shared" si="20"/>
        <v>0</v>
      </c>
      <c r="AU298" s="173">
        <f t="shared" si="20"/>
        <v>0</v>
      </c>
      <c r="AV298" s="173">
        <f t="shared" si="20"/>
        <v>0</v>
      </c>
      <c r="AW298" s="173">
        <f t="shared" si="20"/>
        <v>0</v>
      </c>
      <c r="AX298" s="173">
        <f t="shared" si="20"/>
        <v>0</v>
      </c>
      <c r="AY298" s="173">
        <f t="shared" si="20"/>
        <v>0</v>
      </c>
      <c r="BB298" s="173"/>
      <c r="BC298" s="173"/>
      <c r="BD298" s="173"/>
      <c r="BE298" s="173"/>
      <c r="BF298" s="173"/>
      <c r="BG298" s="173"/>
      <c r="BH298" s="173"/>
      <c r="BI298" s="173"/>
      <c r="BJ298" s="173"/>
      <c r="BK298" s="173"/>
      <c r="BL298" s="173"/>
      <c r="BM298" s="173"/>
      <c r="BN298" s="173"/>
      <c r="BO298" s="173"/>
      <c r="BP298" s="173"/>
      <c r="BQ298" s="173"/>
      <c r="BR298" s="173"/>
      <c r="BS298" s="173"/>
      <c r="BT298" s="173"/>
      <c r="BU298" s="173"/>
      <c r="BV298" s="173"/>
      <c r="BW298" s="173"/>
      <c r="BX298" s="173"/>
      <c r="BY298" s="173"/>
      <c r="BZ298" s="173"/>
      <c r="CA298" s="173"/>
      <c r="CB298" s="173"/>
      <c r="CC298" s="173"/>
      <c r="CD298" s="173"/>
      <c r="CE298" s="173"/>
      <c r="CF298" s="173"/>
      <c r="CG298" s="173"/>
      <c r="CH298" s="173"/>
      <c r="CI298" s="173"/>
      <c r="CJ298" s="173"/>
      <c r="CK298" s="173"/>
      <c r="CL298" s="173"/>
      <c r="CM298" s="173"/>
      <c r="CN298" s="173"/>
      <c r="CO298" s="173"/>
      <c r="CP298" s="173"/>
      <c r="CQ298" s="173"/>
      <c r="CR298" s="173"/>
      <c r="CS298" s="173"/>
      <c r="CT298" s="173"/>
      <c r="CU298" s="173"/>
      <c r="CV298" s="173"/>
      <c r="CW298" s="173"/>
      <c r="CX298" s="173"/>
      <c r="CY298" s="173"/>
      <c r="CZ298" s="173"/>
      <c r="DA298" s="173"/>
    </row>
    <row r="299" spans="1:105" x14ac:dyDescent="0.3">
      <c r="B299" s="561">
        <v>385</v>
      </c>
      <c r="C299" s="173"/>
      <c r="D299" s="173">
        <f>D94</f>
        <v>0</v>
      </c>
      <c r="E299" s="173">
        <f t="shared" ref="E299:AY299" si="22">E94</f>
        <v>0</v>
      </c>
      <c r="F299" s="173">
        <f t="shared" si="22"/>
        <v>0</v>
      </c>
      <c r="G299" s="173">
        <f t="shared" si="22"/>
        <v>0</v>
      </c>
      <c r="H299" s="173">
        <f t="shared" si="22"/>
        <v>0</v>
      </c>
      <c r="I299" s="173">
        <f t="shared" si="22"/>
        <v>0</v>
      </c>
      <c r="J299" s="173">
        <f t="shared" si="22"/>
        <v>0</v>
      </c>
      <c r="K299" s="173">
        <f t="shared" si="22"/>
        <v>0</v>
      </c>
      <c r="L299" s="173">
        <f t="shared" si="22"/>
        <v>0</v>
      </c>
      <c r="M299" s="173">
        <f t="shared" si="22"/>
        <v>0</v>
      </c>
      <c r="N299" s="173">
        <f t="shared" si="22"/>
        <v>0</v>
      </c>
      <c r="O299" s="173">
        <f t="shared" si="22"/>
        <v>0</v>
      </c>
      <c r="P299" s="173">
        <f t="shared" si="22"/>
        <v>0</v>
      </c>
      <c r="Q299" s="173">
        <f t="shared" si="22"/>
        <v>0</v>
      </c>
      <c r="R299" s="173">
        <f t="shared" si="22"/>
        <v>0</v>
      </c>
      <c r="S299" s="173">
        <f t="shared" si="22"/>
        <v>0</v>
      </c>
      <c r="T299" s="173">
        <f t="shared" si="22"/>
        <v>0</v>
      </c>
      <c r="U299" s="173">
        <f t="shared" si="22"/>
        <v>0</v>
      </c>
      <c r="V299" s="173">
        <f t="shared" si="22"/>
        <v>0</v>
      </c>
      <c r="W299" s="173">
        <f t="shared" si="22"/>
        <v>0</v>
      </c>
      <c r="X299" s="173">
        <f t="shared" si="22"/>
        <v>0</v>
      </c>
      <c r="Y299" s="173">
        <f t="shared" si="22"/>
        <v>0</v>
      </c>
      <c r="Z299" s="173">
        <f t="shared" si="22"/>
        <v>0</v>
      </c>
      <c r="AA299" s="173">
        <f t="shared" si="22"/>
        <v>0</v>
      </c>
      <c r="AB299" s="173">
        <f t="shared" si="22"/>
        <v>0</v>
      </c>
      <c r="AC299" s="173">
        <f t="shared" si="22"/>
        <v>0</v>
      </c>
      <c r="AD299" s="173">
        <f t="shared" si="22"/>
        <v>0</v>
      </c>
      <c r="AE299" s="173">
        <f t="shared" si="22"/>
        <v>0</v>
      </c>
      <c r="AF299" s="173">
        <f t="shared" si="22"/>
        <v>0</v>
      </c>
      <c r="AG299" s="173">
        <f t="shared" si="22"/>
        <v>0</v>
      </c>
      <c r="AH299" s="173">
        <f t="shared" si="22"/>
        <v>0</v>
      </c>
      <c r="AI299" s="173">
        <f t="shared" si="22"/>
        <v>0</v>
      </c>
      <c r="AJ299" s="173">
        <f t="shared" si="22"/>
        <v>0</v>
      </c>
      <c r="AK299" s="173">
        <f t="shared" si="22"/>
        <v>1897590</v>
      </c>
      <c r="AL299" s="173">
        <f t="shared" si="22"/>
        <v>0</v>
      </c>
      <c r="AM299" s="173">
        <f t="shared" si="22"/>
        <v>0</v>
      </c>
      <c r="AN299" s="173">
        <f t="shared" si="22"/>
        <v>0</v>
      </c>
      <c r="AO299" s="173">
        <f t="shared" si="22"/>
        <v>0</v>
      </c>
      <c r="AP299" s="173">
        <f t="shared" si="22"/>
        <v>0</v>
      </c>
      <c r="AQ299" s="173">
        <f t="shared" si="22"/>
        <v>0</v>
      </c>
      <c r="AR299" s="173">
        <f t="shared" si="22"/>
        <v>0</v>
      </c>
      <c r="AS299" s="173">
        <f t="shared" si="22"/>
        <v>0</v>
      </c>
      <c r="AT299" s="173">
        <f t="shared" si="22"/>
        <v>0</v>
      </c>
      <c r="AU299" s="173">
        <f t="shared" si="22"/>
        <v>0</v>
      </c>
      <c r="AV299" s="173">
        <f t="shared" si="22"/>
        <v>0</v>
      </c>
      <c r="AW299" s="173">
        <f t="shared" si="22"/>
        <v>0</v>
      </c>
      <c r="AX299" s="173">
        <f t="shared" si="22"/>
        <v>0</v>
      </c>
      <c r="AY299" s="173">
        <f t="shared" si="22"/>
        <v>0</v>
      </c>
      <c r="BB299" s="173"/>
      <c r="BC299" s="173"/>
      <c r="BD299" s="173"/>
      <c r="BE299" s="173"/>
      <c r="BF299" s="173"/>
      <c r="BG299" s="173"/>
      <c r="BH299" s="173"/>
      <c r="BI299" s="173"/>
      <c r="BJ299" s="173"/>
      <c r="BK299" s="173"/>
      <c r="BL299" s="173"/>
      <c r="BM299" s="173"/>
      <c r="BN299" s="173"/>
      <c r="BO299" s="173"/>
      <c r="BP299" s="173"/>
      <c r="BQ299" s="173"/>
      <c r="BR299" s="173"/>
      <c r="BS299" s="173"/>
      <c r="BT299" s="173"/>
      <c r="BU299" s="173"/>
      <c r="BV299" s="173"/>
      <c r="BW299" s="173"/>
      <c r="BX299" s="173"/>
      <c r="BY299" s="173"/>
      <c r="BZ299" s="173"/>
      <c r="CA299" s="173"/>
      <c r="CB299" s="173"/>
      <c r="CC299" s="173"/>
      <c r="CD299" s="173"/>
      <c r="CE299" s="173"/>
      <c r="CF299" s="173"/>
      <c r="CG299" s="173"/>
      <c r="CH299" s="173"/>
      <c r="CI299" s="173"/>
      <c r="CJ299" s="173"/>
      <c r="CK299" s="173"/>
      <c r="CL299" s="173"/>
      <c r="CM299" s="173"/>
      <c r="CN299" s="173"/>
      <c r="CO299" s="173"/>
      <c r="CP299" s="173"/>
      <c r="CQ299" s="173"/>
      <c r="CR299" s="173"/>
      <c r="CS299" s="173"/>
      <c r="CT299" s="173"/>
      <c r="CU299" s="173"/>
      <c r="CV299" s="173"/>
      <c r="CW299" s="173"/>
      <c r="CX299" s="173"/>
      <c r="CY299" s="173"/>
      <c r="CZ299" s="173"/>
      <c r="DA299" s="173"/>
    </row>
    <row r="300" spans="1:105" x14ac:dyDescent="0.3">
      <c r="B300" s="561">
        <v>626</v>
      </c>
      <c r="C300" s="173"/>
      <c r="D300" s="173">
        <f>D168</f>
        <v>0</v>
      </c>
      <c r="E300" s="173">
        <f t="shared" ref="E300:AY300" si="23">E168</f>
        <v>0</v>
      </c>
      <c r="F300" s="173">
        <f t="shared" si="23"/>
        <v>0</v>
      </c>
      <c r="G300" s="173">
        <f t="shared" si="23"/>
        <v>0</v>
      </c>
      <c r="H300" s="173">
        <f t="shared" si="23"/>
        <v>0</v>
      </c>
      <c r="I300" s="173">
        <f t="shared" si="23"/>
        <v>0</v>
      </c>
      <c r="J300" s="173">
        <f t="shared" si="23"/>
        <v>0</v>
      </c>
      <c r="K300" s="173">
        <f t="shared" si="23"/>
        <v>0</v>
      </c>
      <c r="L300" s="173">
        <f t="shared" si="23"/>
        <v>0</v>
      </c>
      <c r="M300" s="173">
        <f t="shared" si="23"/>
        <v>0</v>
      </c>
      <c r="N300" s="173">
        <f t="shared" si="23"/>
        <v>0</v>
      </c>
      <c r="O300" s="173">
        <f t="shared" si="23"/>
        <v>0</v>
      </c>
      <c r="P300" s="173">
        <f t="shared" si="23"/>
        <v>0</v>
      </c>
      <c r="Q300" s="173">
        <f t="shared" si="23"/>
        <v>0</v>
      </c>
      <c r="R300" s="173">
        <f t="shared" si="23"/>
        <v>0</v>
      </c>
      <c r="S300" s="173">
        <f t="shared" si="23"/>
        <v>0</v>
      </c>
      <c r="T300" s="173">
        <f t="shared" si="23"/>
        <v>0</v>
      </c>
      <c r="U300" s="173">
        <f t="shared" si="23"/>
        <v>0</v>
      </c>
      <c r="V300" s="173">
        <f t="shared" si="23"/>
        <v>0</v>
      </c>
      <c r="W300" s="173">
        <f t="shared" si="23"/>
        <v>0</v>
      </c>
      <c r="X300" s="173">
        <f t="shared" si="23"/>
        <v>0</v>
      </c>
      <c r="Y300" s="173">
        <f t="shared" si="23"/>
        <v>0</v>
      </c>
      <c r="Z300" s="173">
        <f t="shared" si="23"/>
        <v>0</v>
      </c>
      <c r="AA300" s="173">
        <f t="shared" si="23"/>
        <v>0</v>
      </c>
      <c r="AB300" s="173">
        <f t="shared" si="23"/>
        <v>0</v>
      </c>
      <c r="AC300" s="173">
        <f t="shared" si="23"/>
        <v>0</v>
      </c>
      <c r="AD300" s="173">
        <f t="shared" si="23"/>
        <v>0</v>
      </c>
      <c r="AE300" s="173">
        <f t="shared" si="23"/>
        <v>0</v>
      </c>
      <c r="AF300" s="173">
        <f t="shared" si="23"/>
        <v>0</v>
      </c>
      <c r="AG300" s="173">
        <f t="shared" si="23"/>
        <v>0</v>
      </c>
      <c r="AH300" s="173">
        <f t="shared" si="23"/>
        <v>0</v>
      </c>
      <c r="AI300" s="173">
        <f t="shared" si="23"/>
        <v>0</v>
      </c>
      <c r="AJ300" s="173">
        <f t="shared" si="23"/>
        <v>0</v>
      </c>
      <c r="AK300" s="173">
        <f t="shared" si="23"/>
        <v>27170</v>
      </c>
      <c r="AL300" s="173">
        <f t="shared" si="23"/>
        <v>0</v>
      </c>
      <c r="AM300" s="173">
        <f t="shared" si="23"/>
        <v>0</v>
      </c>
      <c r="AN300" s="173">
        <f t="shared" si="23"/>
        <v>0</v>
      </c>
      <c r="AO300" s="173">
        <f t="shared" si="23"/>
        <v>0</v>
      </c>
      <c r="AP300" s="173">
        <f t="shared" si="23"/>
        <v>0</v>
      </c>
      <c r="AQ300" s="173">
        <f t="shared" si="23"/>
        <v>0</v>
      </c>
      <c r="AR300" s="173">
        <f t="shared" si="23"/>
        <v>0</v>
      </c>
      <c r="AS300" s="173">
        <f t="shared" si="23"/>
        <v>0</v>
      </c>
      <c r="AT300" s="173">
        <f t="shared" si="23"/>
        <v>0</v>
      </c>
      <c r="AU300" s="173">
        <f t="shared" si="23"/>
        <v>0</v>
      </c>
      <c r="AV300" s="173">
        <f t="shared" si="23"/>
        <v>0</v>
      </c>
      <c r="AW300" s="173">
        <f t="shared" si="23"/>
        <v>0</v>
      </c>
      <c r="AX300" s="173">
        <f t="shared" si="23"/>
        <v>0</v>
      </c>
      <c r="AY300" s="173">
        <f t="shared" si="23"/>
        <v>0</v>
      </c>
      <c r="BB300" s="173"/>
      <c r="BC300" s="173"/>
      <c r="BD300" s="173"/>
      <c r="BE300" s="173"/>
      <c r="BF300" s="173"/>
      <c r="BG300" s="173"/>
      <c r="BH300" s="173"/>
      <c r="BI300" s="173"/>
      <c r="BJ300" s="173"/>
      <c r="BK300" s="173"/>
      <c r="BL300" s="173"/>
      <c r="BM300" s="173"/>
      <c r="BN300" s="173"/>
      <c r="BO300" s="173"/>
      <c r="BP300" s="173"/>
      <c r="BQ300" s="173"/>
      <c r="BR300" s="173"/>
      <c r="BS300" s="173"/>
      <c r="BT300" s="173"/>
      <c r="BU300" s="173"/>
      <c r="BV300" s="173"/>
      <c r="BW300" s="173"/>
      <c r="BX300" s="173"/>
      <c r="BY300" s="173"/>
      <c r="BZ300" s="173"/>
      <c r="CA300" s="173"/>
      <c r="CB300" s="173"/>
      <c r="CC300" s="173"/>
      <c r="CD300" s="173"/>
      <c r="CE300" s="173"/>
      <c r="CF300" s="173"/>
      <c r="CG300" s="173"/>
      <c r="CH300" s="173"/>
      <c r="CI300" s="173"/>
      <c r="CJ300" s="173"/>
      <c r="CK300" s="173"/>
      <c r="CL300" s="173"/>
      <c r="CM300" s="173"/>
      <c r="CN300" s="173"/>
      <c r="CO300" s="173"/>
      <c r="CP300" s="173"/>
      <c r="CQ300" s="173"/>
      <c r="CR300" s="173"/>
      <c r="CS300" s="173"/>
      <c r="CT300" s="173"/>
      <c r="CU300" s="173"/>
      <c r="CV300" s="173"/>
      <c r="CW300" s="173"/>
      <c r="CX300" s="173"/>
      <c r="CY300" s="173"/>
      <c r="CZ300" s="173"/>
      <c r="DA300" s="173"/>
    </row>
    <row r="301" spans="1:105" x14ac:dyDescent="0.3">
      <c r="B301" s="561">
        <v>338</v>
      </c>
      <c r="C301" s="173"/>
      <c r="D301" s="173">
        <f>D59</f>
        <v>0</v>
      </c>
      <c r="E301" s="173">
        <f t="shared" ref="E301:AY301" si="24">E59</f>
        <v>0</v>
      </c>
      <c r="F301" s="173">
        <f t="shared" si="24"/>
        <v>0</v>
      </c>
      <c r="G301" s="173">
        <f t="shared" si="24"/>
        <v>0</v>
      </c>
      <c r="H301" s="173">
        <f t="shared" si="24"/>
        <v>0</v>
      </c>
      <c r="I301" s="173">
        <f t="shared" si="24"/>
        <v>0</v>
      </c>
      <c r="J301" s="173">
        <f t="shared" si="24"/>
        <v>0</v>
      </c>
      <c r="K301" s="173">
        <f t="shared" si="24"/>
        <v>0</v>
      </c>
      <c r="L301" s="173">
        <f t="shared" si="24"/>
        <v>0</v>
      </c>
      <c r="M301" s="173">
        <f t="shared" si="24"/>
        <v>0</v>
      </c>
      <c r="N301" s="173">
        <f t="shared" si="24"/>
        <v>0</v>
      </c>
      <c r="O301" s="173">
        <f t="shared" si="24"/>
        <v>0</v>
      </c>
      <c r="P301" s="173">
        <f t="shared" si="24"/>
        <v>0</v>
      </c>
      <c r="Q301" s="173">
        <f t="shared" si="24"/>
        <v>0</v>
      </c>
      <c r="R301" s="173">
        <f t="shared" si="24"/>
        <v>0</v>
      </c>
      <c r="S301" s="173">
        <f t="shared" si="24"/>
        <v>0</v>
      </c>
      <c r="T301" s="173">
        <f t="shared" si="24"/>
        <v>0</v>
      </c>
      <c r="U301" s="173">
        <f t="shared" si="24"/>
        <v>0</v>
      </c>
      <c r="V301" s="173">
        <f t="shared" si="24"/>
        <v>0</v>
      </c>
      <c r="W301" s="173">
        <f t="shared" si="24"/>
        <v>0</v>
      </c>
      <c r="X301" s="173">
        <f t="shared" si="24"/>
        <v>0</v>
      </c>
      <c r="Y301" s="173">
        <f t="shared" si="24"/>
        <v>0</v>
      </c>
      <c r="Z301" s="173">
        <f t="shared" si="24"/>
        <v>0</v>
      </c>
      <c r="AA301" s="173">
        <f t="shared" si="24"/>
        <v>0</v>
      </c>
      <c r="AB301" s="173">
        <f t="shared" si="24"/>
        <v>0</v>
      </c>
      <c r="AC301" s="173">
        <f t="shared" si="24"/>
        <v>0</v>
      </c>
      <c r="AD301" s="173">
        <f t="shared" si="24"/>
        <v>0</v>
      </c>
      <c r="AE301" s="173">
        <f t="shared" si="24"/>
        <v>0</v>
      </c>
      <c r="AF301" s="173">
        <f t="shared" si="24"/>
        <v>0</v>
      </c>
      <c r="AG301" s="173">
        <f t="shared" si="24"/>
        <v>0</v>
      </c>
      <c r="AH301" s="173">
        <f t="shared" si="24"/>
        <v>0</v>
      </c>
      <c r="AI301" s="173">
        <f t="shared" si="24"/>
        <v>0</v>
      </c>
      <c r="AJ301" s="173">
        <f t="shared" si="24"/>
        <v>0</v>
      </c>
      <c r="AK301" s="173">
        <f t="shared" si="24"/>
        <v>28140</v>
      </c>
      <c r="AL301" s="173">
        <f t="shared" si="24"/>
        <v>0</v>
      </c>
      <c r="AM301" s="173">
        <f t="shared" si="24"/>
        <v>0</v>
      </c>
      <c r="AN301" s="173">
        <f t="shared" si="24"/>
        <v>0</v>
      </c>
      <c r="AO301" s="173">
        <f t="shared" si="24"/>
        <v>0</v>
      </c>
      <c r="AP301" s="173">
        <f t="shared" si="24"/>
        <v>0</v>
      </c>
      <c r="AQ301" s="173">
        <f t="shared" si="24"/>
        <v>0</v>
      </c>
      <c r="AR301" s="173">
        <f t="shared" si="24"/>
        <v>0</v>
      </c>
      <c r="AS301" s="173">
        <f t="shared" si="24"/>
        <v>0</v>
      </c>
      <c r="AT301" s="173">
        <f t="shared" si="24"/>
        <v>0</v>
      </c>
      <c r="AU301" s="173">
        <f t="shared" si="24"/>
        <v>0</v>
      </c>
      <c r="AV301" s="173">
        <f t="shared" si="24"/>
        <v>0</v>
      </c>
      <c r="AW301" s="173">
        <f t="shared" si="24"/>
        <v>0</v>
      </c>
      <c r="AX301" s="173">
        <f t="shared" si="24"/>
        <v>0</v>
      </c>
      <c r="AY301" s="173">
        <f t="shared" si="24"/>
        <v>0</v>
      </c>
      <c r="BB301" s="173"/>
      <c r="BC301" s="173"/>
      <c r="BD301" s="173"/>
      <c r="BE301" s="173"/>
      <c r="BF301" s="173"/>
      <c r="BG301" s="173"/>
      <c r="BH301" s="173"/>
      <c r="BI301" s="173"/>
      <c r="BJ301" s="173"/>
      <c r="BK301" s="173"/>
      <c r="BL301" s="173"/>
      <c r="BM301" s="173"/>
      <c r="BN301" s="173"/>
      <c r="BO301" s="173"/>
      <c r="BP301" s="173"/>
      <c r="BQ301" s="173"/>
      <c r="BR301" s="173"/>
      <c r="BS301" s="173"/>
      <c r="BT301" s="173"/>
      <c r="BU301" s="173"/>
      <c r="BV301" s="173"/>
      <c r="BW301" s="173"/>
      <c r="BX301" s="173"/>
      <c r="BY301" s="173"/>
      <c r="BZ301" s="173"/>
      <c r="CA301" s="173"/>
      <c r="CB301" s="173"/>
      <c r="CC301" s="173"/>
      <c r="CD301" s="173"/>
      <c r="CE301" s="173"/>
      <c r="CF301" s="173"/>
      <c r="CG301" s="173"/>
      <c r="CH301" s="173"/>
      <c r="CI301" s="173"/>
      <c r="CJ301" s="173"/>
      <c r="CK301" s="173"/>
      <c r="CL301" s="173"/>
      <c r="CM301" s="173"/>
      <c r="CN301" s="173"/>
      <c r="CO301" s="173"/>
      <c r="CP301" s="173"/>
      <c r="CQ301" s="173"/>
      <c r="CR301" s="173"/>
      <c r="CS301" s="173"/>
      <c r="CT301" s="173"/>
      <c r="CU301" s="173"/>
      <c r="CV301" s="173"/>
      <c r="CW301" s="173"/>
      <c r="CX301" s="173"/>
      <c r="CY301" s="173"/>
      <c r="CZ301" s="173"/>
      <c r="DA301" s="173"/>
    </row>
    <row r="302" spans="1:105" x14ac:dyDescent="0.3">
      <c r="B302" s="565">
        <v>620</v>
      </c>
      <c r="C302" s="173"/>
      <c r="D302" s="173">
        <f>D165</f>
        <v>2</v>
      </c>
      <c r="E302" s="173">
        <f t="shared" ref="E302:AY302" si="25">E165</f>
        <v>2</v>
      </c>
      <c r="F302" s="173">
        <f t="shared" si="25"/>
        <v>2</v>
      </c>
      <c r="G302" s="173">
        <f t="shared" si="25"/>
        <v>2</v>
      </c>
      <c r="H302" s="173">
        <f t="shared" si="25"/>
        <v>2</v>
      </c>
      <c r="I302" s="173">
        <f t="shared" si="25"/>
        <v>2</v>
      </c>
      <c r="J302" s="173">
        <f t="shared" si="25"/>
        <v>2</v>
      </c>
      <c r="K302" s="173">
        <f t="shared" si="25"/>
        <v>2</v>
      </c>
      <c r="L302" s="173">
        <f t="shared" si="25"/>
        <v>0</v>
      </c>
      <c r="M302" s="173">
        <f t="shared" si="25"/>
        <v>2</v>
      </c>
      <c r="N302" s="173">
        <f t="shared" si="25"/>
        <v>2</v>
      </c>
      <c r="O302" s="173">
        <f t="shared" si="25"/>
        <v>2</v>
      </c>
      <c r="P302" s="173">
        <f t="shared" si="25"/>
        <v>2</v>
      </c>
      <c r="Q302" s="173">
        <f t="shared" si="25"/>
        <v>2</v>
      </c>
      <c r="R302" s="173">
        <f t="shared" si="25"/>
        <v>2</v>
      </c>
      <c r="S302" s="173">
        <f t="shared" si="25"/>
        <v>0</v>
      </c>
      <c r="T302" s="173">
        <f t="shared" si="25"/>
        <v>2</v>
      </c>
      <c r="U302" s="173">
        <f t="shared" si="25"/>
        <v>1</v>
      </c>
      <c r="V302" s="173">
        <f t="shared" si="25"/>
        <v>2</v>
      </c>
      <c r="W302" s="173">
        <f t="shared" si="25"/>
        <v>2</v>
      </c>
      <c r="X302" s="173">
        <f t="shared" si="25"/>
        <v>2</v>
      </c>
      <c r="Y302" s="173">
        <f t="shared" si="25"/>
        <v>2</v>
      </c>
      <c r="Z302" s="173">
        <f t="shared" si="25"/>
        <v>2</v>
      </c>
      <c r="AA302" s="173">
        <f t="shared" si="25"/>
        <v>2</v>
      </c>
      <c r="AB302" s="173">
        <f t="shared" si="25"/>
        <v>2</v>
      </c>
      <c r="AC302" s="173">
        <f t="shared" si="25"/>
        <v>2</v>
      </c>
      <c r="AD302" s="173">
        <f t="shared" si="25"/>
        <v>2</v>
      </c>
      <c r="AE302" s="173">
        <f t="shared" si="25"/>
        <v>0</v>
      </c>
      <c r="AF302" s="173">
        <f t="shared" si="25"/>
        <v>1</v>
      </c>
      <c r="AG302" s="173">
        <f t="shared" si="25"/>
        <v>1</v>
      </c>
      <c r="AH302" s="173">
        <f t="shared" si="25"/>
        <v>2</v>
      </c>
      <c r="AI302" s="173">
        <f t="shared" si="25"/>
        <v>2</v>
      </c>
      <c r="AJ302" s="173">
        <f t="shared" si="25"/>
        <v>2</v>
      </c>
      <c r="AK302" s="173">
        <f t="shared" si="25"/>
        <v>2</v>
      </c>
      <c r="AL302" s="173">
        <f t="shared" si="25"/>
        <v>2</v>
      </c>
      <c r="AM302" s="173">
        <f t="shared" si="25"/>
        <v>2</v>
      </c>
      <c r="AN302" s="173">
        <f t="shared" si="25"/>
        <v>2</v>
      </c>
      <c r="AO302" s="173">
        <f t="shared" si="25"/>
        <v>2</v>
      </c>
      <c r="AP302" s="173">
        <f t="shared" si="25"/>
        <v>2</v>
      </c>
      <c r="AQ302" s="173">
        <f t="shared" si="25"/>
        <v>2</v>
      </c>
      <c r="AR302" s="173">
        <f t="shared" si="25"/>
        <v>2</v>
      </c>
      <c r="AS302" s="173">
        <f t="shared" si="25"/>
        <v>0</v>
      </c>
      <c r="AT302" s="173">
        <f t="shared" si="25"/>
        <v>2</v>
      </c>
      <c r="AU302" s="173">
        <f t="shared" si="25"/>
        <v>2</v>
      </c>
      <c r="AV302" s="173">
        <f t="shared" si="25"/>
        <v>0</v>
      </c>
      <c r="AW302" s="173">
        <f t="shared" si="25"/>
        <v>2</v>
      </c>
      <c r="AX302" s="173">
        <f t="shared" si="25"/>
        <v>2</v>
      </c>
      <c r="AY302" s="173">
        <f t="shared" si="25"/>
        <v>1</v>
      </c>
      <c r="BB302" s="173"/>
      <c r="BC302" s="173"/>
      <c r="BD302" s="173"/>
      <c r="BE302" s="173"/>
      <c r="BF302" s="173"/>
      <c r="BG302" s="173"/>
      <c r="BH302" s="173"/>
      <c r="BI302" s="173"/>
      <c r="BJ302" s="173"/>
      <c r="BK302" s="173"/>
      <c r="BL302" s="173"/>
      <c r="BM302" s="173"/>
      <c r="BN302" s="173"/>
      <c r="BO302" s="173"/>
      <c r="BP302" s="173"/>
      <c r="BQ302" s="173"/>
      <c r="BR302" s="173"/>
      <c r="BS302" s="173"/>
      <c r="BT302" s="173"/>
      <c r="BU302" s="173"/>
      <c r="BV302" s="173"/>
      <c r="BW302" s="173"/>
      <c r="BX302" s="173"/>
      <c r="BY302" s="173"/>
      <c r="BZ302" s="173"/>
      <c r="CA302" s="173"/>
      <c r="CB302" s="173"/>
      <c r="CC302" s="173"/>
      <c r="CD302" s="173"/>
      <c r="CE302" s="173"/>
      <c r="CF302" s="173"/>
      <c r="CG302" s="173"/>
      <c r="CH302" s="173"/>
      <c r="CI302" s="173"/>
      <c r="CJ302" s="173"/>
      <c r="CK302" s="173"/>
      <c r="CL302" s="173"/>
      <c r="CM302" s="173"/>
      <c r="CN302" s="173"/>
      <c r="CO302" s="173"/>
      <c r="CP302" s="173"/>
      <c r="CQ302" s="173"/>
      <c r="CR302" s="173"/>
      <c r="CS302" s="173"/>
      <c r="CT302" s="173"/>
      <c r="CU302" s="173"/>
      <c r="CV302" s="173"/>
      <c r="CW302" s="173"/>
      <c r="CX302" s="173"/>
      <c r="CY302" s="173"/>
      <c r="CZ302" s="173"/>
      <c r="DA302" s="173"/>
    </row>
    <row r="303" spans="1:105" x14ac:dyDescent="0.3">
      <c r="B303" s="149">
        <v>545</v>
      </c>
      <c r="C303" s="173"/>
      <c r="D303" s="173">
        <f>D141</f>
        <v>0</v>
      </c>
      <c r="E303" s="173">
        <f t="shared" ref="E303:AY303" si="26">E141</f>
        <v>0</v>
      </c>
      <c r="F303" s="173">
        <f t="shared" si="26"/>
        <v>0</v>
      </c>
      <c r="G303" s="173">
        <f t="shared" si="26"/>
        <v>0</v>
      </c>
      <c r="H303" s="173">
        <f t="shared" si="26"/>
        <v>0</v>
      </c>
      <c r="I303" s="173">
        <f t="shared" si="26"/>
        <v>0</v>
      </c>
      <c r="J303" s="173">
        <f t="shared" si="26"/>
        <v>0</v>
      </c>
      <c r="K303" s="173">
        <f t="shared" si="26"/>
        <v>0</v>
      </c>
      <c r="L303" s="173">
        <f t="shared" si="26"/>
        <v>0</v>
      </c>
      <c r="M303" s="173">
        <f t="shared" si="26"/>
        <v>0</v>
      </c>
      <c r="N303" s="173">
        <f t="shared" si="26"/>
        <v>0</v>
      </c>
      <c r="O303" s="173">
        <f t="shared" si="26"/>
        <v>0</v>
      </c>
      <c r="P303" s="173">
        <f t="shared" si="26"/>
        <v>0</v>
      </c>
      <c r="Q303" s="173">
        <f t="shared" si="26"/>
        <v>0</v>
      </c>
      <c r="R303" s="173">
        <f t="shared" si="26"/>
        <v>0</v>
      </c>
      <c r="S303" s="173">
        <f t="shared" si="26"/>
        <v>0</v>
      </c>
      <c r="T303" s="173">
        <f t="shared" si="26"/>
        <v>0</v>
      </c>
      <c r="U303" s="173">
        <f t="shared" si="26"/>
        <v>0</v>
      </c>
      <c r="V303" s="173">
        <f t="shared" si="26"/>
        <v>0</v>
      </c>
      <c r="W303" s="173">
        <f t="shared" si="26"/>
        <v>0</v>
      </c>
      <c r="X303" s="173">
        <f t="shared" si="26"/>
        <v>0</v>
      </c>
      <c r="Y303" s="173">
        <f t="shared" si="26"/>
        <v>0</v>
      </c>
      <c r="Z303" s="173">
        <f t="shared" si="26"/>
        <v>0</v>
      </c>
      <c r="AA303" s="173">
        <f t="shared" si="26"/>
        <v>0</v>
      </c>
      <c r="AB303" s="173">
        <f t="shared" si="26"/>
        <v>0</v>
      </c>
      <c r="AC303" s="173">
        <f t="shared" si="26"/>
        <v>0</v>
      </c>
      <c r="AD303" s="173">
        <f t="shared" si="26"/>
        <v>0</v>
      </c>
      <c r="AE303" s="173">
        <f t="shared" si="26"/>
        <v>0</v>
      </c>
      <c r="AF303" s="173">
        <f t="shared" si="26"/>
        <v>0</v>
      </c>
      <c r="AG303" s="173">
        <f t="shared" si="26"/>
        <v>0</v>
      </c>
      <c r="AH303" s="173">
        <f t="shared" si="26"/>
        <v>0</v>
      </c>
      <c r="AI303" s="173">
        <f t="shared" si="26"/>
        <v>0</v>
      </c>
      <c r="AJ303" s="173">
        <f t="shared" si="26"/>
        <v>0</v>
      </c>
      <c r="AK303" s="173">
        <f t="shared" si="26"/>
        <v>0</v>
      </c>
      <c r="AL303" s="173">
        <f t="shared" si="26"/>
        <v>0</v>
      </c>
      <c r="AM303" s="173">
        <f t="shared" si="26"/>
        <v>0</v>
      </c>
      <c r="AN303" s="173">
        <f t="shared" si="26"/>
        <v>0</v>
      </c>
      <c r="AO303" s="173">
        <f t="shared" si="26"/>
        <v>0</v>
      </c>
      <c r="AP303" s="173">
        <f t="shared" si="26"/>
        <v>0</v>
      </c>
      <c r="AQ303" s="173">
        <f t="shared" si="26"/>
        <v>0</v>
      </c>
      <c r="AR303" s="173">
        <f t="shared" si="26"/>
        <v>0</v>
      </c>
      <c r="AS303" s="173">
        <f t="shared" si="26"/>
        <v>0</v>
      </c>
      <c r="AT303" s="173">
        <f t="shared" si="26"/>
        <v>0</v>
      </c>
      <c r="AU303" s="173">
        <f t="shared" si="26"/>
        <v>0</v>
      </c>
      <c r="AV303" s="173">
        <f t="shared" si="26"/>
        <v>0</v>
      </c>
      <c r="AW303" s="173">
        <f t="shared" si="26"/>
        <v>0</v>
      </c>
      <c r="AX303" s="173">
        <f t="shared" si="26"/>
        <v>0</v>
      </c>
      <c r="AY303" s="173">
        <f t="shared" si="26"/>
        <v>0</v>
      </c>
      <c r="BB303" s="173"/>
      <c r="BC303" s="173"/>
      <c r="BD303" s="173"/>
      <c r="BE303" s="173"/>
      <c r="BF303" s="173"/>
      <c r="BG303" s="173"/>
      <c r="BH303" s="173"/>
      <c r="BI303" s="173"/>
      <c r="BJ303" s="173"/>
      <c r="BK303" s="173"/>
      <c r="BL303" s="173"/>
      <c r="BM303" s="173"/>
      <c r="BN303" s="173"/>
      <c r="BO303" s="173"/>
      <c r="BP303" s="173"/>
      <c r="BQ303" s="173"/>
      <c r="BR303" s="173"/>
      <c r="BS303" s="173"/>
      <c r="BT303" s="173"/>
      <c r="BU303" s="173"/>
      <c r="BV303" s="173"/>
      <c r="BW303" s="173"/>
      <c r="BX303" s="173"/>
      <c r="BY303" s="173"/>
      <c r="BZ303" s="173"/>
      <c r="CA303" s="173"/>
      <c r="CB303" s="173"/>
      <c r="CC303" s="173"/>
      <c r="CD303" s="173"/>
      <c r="CE303" s="173"/>
      <c r="CF303" s="173"/>
      <c r="CG303" s="173"/>
      <c r="CH303" s="173"/>
      <c r="CI303" s="173"/>
      <c r="CJ303" s="173"/>
      <c r="CK303" s="173"/>
      <c r="CL303" s="173"/>
      <c r="CM303" s="173"/>
      <c r="CN303" s="173"/>
      <c r="CO303" s="173"/>
      <c r="CP303" s="173"/>
      <c r="CQ303" s="173"/>
      <c r="CR303" s="173"/>
      <c r="CS303" s="173"/>
      <c r="CT303" s="173"/>
      <c r="CU303" s="173"/>
      <c r="CV303" s="173"/>
      <c r="CW303" s="173"/>
      <c r="CX303" s="173"/>
      <c r="CY303" s="173"/>
      <c r="CZ303" s="173"/>
      <c r="DA303" s="173"/>
    </row>
    <row r="304" spans="1:105" x14ac:dyDescent="0.3">
      <c r="B304" s="565">
        <v>624</v>
      </c>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c r="AB304" s="173"/>
      <c r="AC304" s="173"/>
      <c r="AD304" s="173"/>
      <c r="AE304" s="173"/>
      <c r="AF304" s="173"/>
      <c r="AG304" s="173"/>
      <c r="AH304" s="173"/>
      <c r="AI304" s="173"/>
      <c r="AJ304" s="173"/>
      <c r="AK304" s="173"/>
      <c r="AL304" s="173"/>
      <c r="AM304" s="173"/>
      <c r="AN304" s="173"/>
      <c r="AO304" s="173"/>
      <c r="AP304" s="173"/>
      <c r="AQ304" s="173"/>
      <c r="AR304" s="173"/>
      <c r="AS304" s="173"/>
      <c r="AT304" s="173"/>
      <c r="AU304" s="173"/>
      <c r="AV304" s="173"/>
      <c r="AW304" s="173"/>
      <c r="AX304" s="173"/>
      <c r="AY304" s="173"/>
      <c r="BB304" s="173"/>
      <c r="BC304" s="173"/>
      <c r="BD304" s="173"/>
      <c r="BE304" s="173"/>
      <c r="BF304" s="173"/>
      <c r="BG304" s="173"/>
      <c r="BH304" s="173"/>
      <c r="BI304" s="173"/>
      <c r="BJ304" s="173"/>
      <c r="BK304" s="173"/>
      <c r="BL304" s="173"/>
      <c r="BM304" s="173"/>
      <c r="BN304" s="173"/>
      <c r="BO304" s="173"/>
      <c r="BP304" s="173"/>
      <c r="BQ304" s="173"/>
      <c r="BR304" s="173"/>
      <c r="BS304" s="173"/>
      <c r="BT304" s="173"/>
      <c r="BU304" s="173"/>
      <c r="BV304" s="173"/>
      <c r="BW304" s="173"/>
      <c r="BX304" s="173"/>
      <c r="BY304" s="173"/>
      <c r="BZ304" s="173"/>
      <c r="CA304" s="173"/>
      <c r="CB304" s="173"/>
      <c r="CC304" s="173"/>
      <c r="CD304" s="173"/>
      <c r="CE304" s="173"/>
      <c r="CF304" s="173"/>
      <c r="CG304" s="173"/>
      <c r="CH304" s="173"/>
      <c r="CI304" s="173"/>
      <c r="CJ304" s="173"/>
      <c r="CK304" s="173"/>
      <c r="CL304" s="173"/>
      <c r="CM304" s="173"/>
      <c r="CN304" s="173"/>
      <c r="CO304" s="173"/>
      <c r="CP304" s="173"/>
      <c r="CQ304" s="173"/>
      <c r="CR304" s="173"/>
      <c r="CS304" s="173"/>
      <c r="CT304" s="173"/>
      <c r="CU304" s="173"/>
      <c r="CV304" s="173"/>
      <c r="CW304" s="173"/>
      <c r="CX304" s="173"/>
      <c r="CY304" s="173"/>
      <c r="CZ304" s="173"/>
      <c r="DA304" s="173"/>
    </row>
    <row r="305" spans="1:105" x14ac:dyDescent="0.3">
      <c r="B305" s="565">
        <v>577</v>
      </c>
      <c r="C305" s="173"/>
      <c r="D305" s="173">
        <f>D149</f>
        <v>2</v>
      </c>
      <c r="E305" s="173">
        <f t="shared" ref="E305:AY305" si="27">E149</f>
        <v>0</v>
      </c>
      <c r="F305" s="173">
        <f t="shared" si="27"/>
        <v>2</v>
      </c>
      <c r="G305" s="173">
        <f t="shared" si="27"/>
        <v>2</v>
      </c>
      <c r="H305" s="173">
        <f t="shared" si="27"/>
        <v>2</v>
      </c>
      <c r="I305" s="173">
        <f t="shared" si="27"/>
        <v>2</v>
      </c>
      <c r="J305" s="173">
        <f t="shared" si="27"/>
        <v>2</v>
      </c>
      <c r="K305" s="173">
        <f t="shared" si="27"/>
        <v>2</v>
      </c>
      <c r="L305" s="173">
        <f t="shared" si="27"/>
        <v>0</v>
      </c>
      <c r="M305" s="173">
        <f t="shared" si="27"/>
        <v>2</v>
      </c>
      <c r="N305" s="173">
        <f t="shared" si="27"/>
        <v>2</v>
      </c>
      <c r="O305" s="173">
        <f t="shared" si="27"/>
        <v>0</v>
      </c>
      <c r="P305" s="173">
        <f t="shared" si="27"/>
        <v>2</v>
      </c>
      <c r="Q305" s="173">
        <f t="shared" si="27"/>
        <v>2</v>
      </c>
      <c r="R305" s="173">
        <f t="shared" si="27"/>
        <v>2</v>
      </c>
      <c r="S305" s="173">
        <f t="shared" si="27"/>
        <v>0</v>
      </c>
      <c r="T305" s="173">
        <f t="shared" si="27"/>
        <v>2</v>
      </c>
      <c r="U305" s="173">
        <f t="shared" si="27"/>
        <v>2</v>
      </c>
      <c r="V305" s="173">
        <f t="shared" si="27"/>
        <v>1</v>
      </c>
      <c r="W305" s="173">
        <f t="shared" si="27"/>
        <v>0</v>
      </c>
      <c r="X305" s="173">
        <f t="shared" si="27"/>
        <v>2</v>
      </c>
      <c r="Y305" s="173">
        <f t="shared" si="27"/>
        <v>0</v>
      </c>
      <c r="Z305" s="173">
        <f t="shared" si="27"/>
        <v>2</v>
      </c>
      <c r="AA305" s="173">
        <f t="shared" si="27"/>
        <v>2</v>
      </c>
      <c r="AB305" s="173">
        <f t="shared" si="27"/>
        <v>2</v>
      </c>
      <c r="AC305" s="173">
        <f t="shared" si="27"/>
        <v>0</v>
      </c>
      <c r="AD305" s="173">
        <f t="shared" si="27"/>
        <v>0</v>
      </c>
      <c r="AE305" s="173">
        <f t="shared" si="27"/>
        <v>0</v>
      </c>
      <c r="AF305" s="173">
        <f t="shared" si="27"/>
        <v>0</v>
      </c>
      <c r="AG305" s="173">
        <f t="shared" si="27"/>
        <v>2</v>
      </c>
      <c r="AH305" s="173">
        <f t="shared" si="27"/>
        <v>2</v>
      </c>
      <c r="AI305" s="173">
        <f t="shared" si="27"/>
        <v>0</v>
      </c>
      <c r="AJ305" s="173">
        <f t="shared" si="27"/>
        <v>0</v>
      </c>
      <c r="AK305" s="173">
        <f t="shared" si="27"/>
        <v>0</v>
      </c>
      <c r="AL305" s="173">
        <f t="shared" si="27"/>
        <v>2</v>
      </c>
      <c r="AM305" s="173">
        <f t="shared" si="27"/>
        <v>0</v>
      </c>
      <c r="AN305" s="173">
        <f t="shared" si="27"/>
        <v>0</v>
      </c>
      <c r="AO305" s="173">
        <f t="shared" si="27"/>
        <v>2</v>
      </c>
      <c r="AP305" s="173">
        <f t="shared" si="27"/>
        <v>0</v>
      </c>
      <c r="AQ305" s="173">
        <f t="shared" si="27"/>
        <v>0</v>
      </c>
      <c r="AR305" s="173">
        <f t="shared" si="27"/>
        <v>2</v>
      </c>
      <c r="AS305" s="173">
        <f t="shared" si="27"/>
        <v>0</v>
      </c>
      <c r="AT305" s="173">
        <f t="shared" si="27"/>
        <v>2</v>
      </c>
      <c r="AU305" s="173">
        <f t="shared" si="27"/>
        <v>2</v>
      </c>
      <c r="AV305" s="173">
        <f t="shared" si="27"/>
        <v>0</v>
      </c>
      <c r="AW305" s="173">
        <f t="shared" si="27"/>
        <v>0</v>
      </c>
      <c r="AX305" s="173">
        <f t="shared" si="27"/>
        <v>2</v>
      </c>
      <c r="AY305" s="173">
        <f t="shared" si="27"/>
        <v>2</v>
      </c>
      <c r="BB305" s="173"/>
      <c r="BC305" s="173"/>
      <c r="BD305" s="173"/>
      <c r="BE305" s="173"/>
      <c r="BF305" s="173"/>
      <c r="BG305" s="173"/>
      <c r="BH305" s="173"/>
      <c r="BI305" s="173"/>
      <c r="BJ305" s="173"/>
      <c r="BK305" s="173"/>
      <c r="BL305" s="173"/>
      <c r="BM305" s="173"/>
      <c r="BN305" s="173"/>
      <c r="BO305" s="173"/>
      <c r="BP305" s="173"/>
      <c r="BQ305" s="173"/>
      <c r="BR305" s="173"/>
      <c r="BS305" s="173"/>
      <c r="BT305" s="173"/>
      <c r="BU305" s="173"/>
      <c r="BV305" s="173"/>
      <c r="BW305" s="173"/>
      <c r="BX305" s="173"/>
      <c r="BY305" s="173"/>
      <c r="BZ305" s="173"/>
      <c r="CA305" s="173"/>
      <c r="CB305" s="173"/>
      <c r="CC305" s="173"/>
      <c r="CD305" s="173"/>
      <c r="CE305" s="173"/>
      <c r="CF305" s="173"/>
      <c r="CG305" s="173"/>
      <c r="CH305" s="173"/>
      <c r="CI305" s="173"/>
      <c r="CJ305" s="173"/>
      <c r="CK305" s="173"/>
      <c r="CL305" s="173"/>
      <c r="CM305" s="173"/>
      <c r="CN305" s="173"/>
      <c r="CO305" s="173"/>
      <c r="CP305" s="173"/>
      <c r="CQ305" s="173"/>
      <c r="CR305" s="173"/>
      <c r="CS305" s="173"/>
      <c r="CT305" s="173"/>
      <c r="CU305" s="173"/>
      <c r="CV305" s="173"/>
      <c r="CW305" s="173"/>
      <c r="CX305" s="173"/>
      <c r="CY305" s="173"/>
      <c r="CZ305" s="173"/>
      <c r="DA305" s="173"/>
    </row>
    <row r="306" spans="1:105" s="173" customFormat="1" x14ac:dyDescent="0.3">
      <c r="A306" s="754"/>
      <c r="B306" s="149">
        <v>1055</v>
      </c>
      <c r="D306" s="173">
        <f>D235</f>
        <v>1</v>
      </c>
      <c r="E306" s="173">
        <f t="shared" ref="E306:AY310" si="28">E235</f>
        <v>2</v>
      </c>
      <c r="F306" s="173">
        <f t="shared" si="28"/>
        <v>2</v>
      </c>
      <c r="G306" s="173">
        <f t="shared" si="28"/>
        <v>2</v>
      </c>
      <c r="H306" s="173">
        <f t="shared" si="28"/>
        <v>2</v>
      </c>
      <c r="I306" s="173">
        <f t="shared" si="28"/>
        <v>2</v>
      </c>
      <c r="J306" s="173">
        <f t="shared" si="28"/>
        <v>2</v>
      </c>
      <c r="K306" s="173">
        <f t="shared" si="28"/>
        <v>2</v>
      </c>
      <c r="L306" s="173">
        <f t="shared" si="28"/>
        <v>0</v>
      </c>
      <c r="M306" s="173">
        <f t="shared" si="28"/>
        <v>2</v>
      </c>
      <c r="N306" s="173">
        <f t="shared" si="28"/>
        <v>2</v>
      </c>
      <c r="O306" s="173">
        <f t="shared" si="28"/>
        <v>1</v>
      </c>
      <c r="P306" s="173">
        <f t="shared" si="28"/>
        <v>2</v>
      </c>
      <c r="Q306" s="173">
        <f t="shared" si="28"/>
        <v>2</v>
      </c>
      <c r="R306" s="173">
        <f t="shared" si="28"/>
        <v>2</v>
      </c>
      <c r="S306" s="173">
        <f t="shared" si="28"/>
        <v>2</v>
      </c>
      <c r="T306" s="173">
        <f t="shared" si="28"/>
        <v>2</v>
      </c>
      <c r="U306" s="173">
        <f t="shared" si="28"/>
        <v>2</v>
      </c>
      <c r="V306" s="173">
        <f t="shared" si="28"/>
        <v>2</v>
      </c>
      <c r="W306" s="173">
        <f t="shared" si="28"/>
        <v>2</v>
      </c>
      <c r="X306" s="173">
        <f t="shared" si="28"/>
        <v>2</v>
      </c>
      <c r="Y306" s="173">
        <f t="shared" si="28"/>
        <v>2</v>
      </c>
      <c r="Z306" s="173">
        <f t="shared" si="28"/>
        <v>2</v>
      </c>
      <c r="AA306" s="173">
        <f t="shared" si="28"/>
        <v>2</v>
      </c>
      <c r="AB306" s="173">
        <f t="shared" si="28"/>
        <v>2</v>
      </c>
      <c r="AC306" s="173">
        <f t="shared" si="28"/>
        <v>2</v>
      </c>
      <c r="AD306" s="173">
        <f t="shared" si="28"/>
        <v>2</v>
      </c>
      <c r="AE306" s="173">
        <f t="shared" si="28"/>
        <v>2</v>
      </c>
      <c r="AF306" s="173">
        <f t="shared" si="28"/>
        <v>2</v>
      </c>
      <c r="AG306" s="173">
        <f t="shared" si="28"/>
        <v>2</v>
      </c>
      <c r="AH306" s="173">
        <f t="shared" si="28"/>
        <v>2</v>
      </c>
      <c r="AI306" s="173">
        <f t="shared" si="28"/>
        <v>2</v>
      </c>
      <c r="AJ306" s="173">
        <f t="shared" si="28"/>
        <v>2</v>
      </c>
      <c r="AK306" s="173">
        <f t="shared" si="28"/>
        <v>2</v>
      </c>
      <c r="AL306" s="173">
        <f t="shared" si="28"/>
        <v>2</v>
      </c>
      <c r="AM306" s="173">
        <f t="shared" si="28"/>
        <v>2</v>
      </c>
      <c r="AN306" s="173">
        <f t="shared" si="28"/>
        <v>2</v>
      </c>
      <c r="AO306" s="173">
        <f t="shared" si="28"/>
        <v>2</v>
      </c>
      <c r="AP306" s="173">
        <f t="shared" si="28"/>
        <v>2</v>
      </c>
      <c r="AQ306" s="173">
        <f t="shared" si="28"/>
        <v>2</v>
      </c>
      <c r="AR306" s="173">
        <f t="shared" si="28"/>
        <v>2</v>
      </c>
      <c r="AS306" s="173">
        <f t="shared" si="28"/>
        <v>0</v>
      </c>
      <c r="AT306" s="173">
        <f t="shared" si="28"/>
        <v>2</v>
      </c>
      <c r="AU306" s="173">
        <f t="shared" si="28"/>
        <v>2</v>
      </c>
      <c r="AV306" s="173">
        <f t="shared" si="28"/>
        <v>0</v>
      </c>
      <c r="AW306" s="173">
        <f t="shared" si="28"/>
        <v>2</v>
      </c>
      <c r="AX306" s="173">
        <f t="shared" si="28"/>
        <v>2</v>
      </c>
      <c r="AY306" s="173">
        <f t="shared" si="28"/>
        <v>2</v>
      </c>
    </row>
    <row r="307" spans="1:105" s="173" customFormat="1" x14ac:dyDescent="0.3">
      <c r="A307" s="754"/>
      <c r="B307" s="149">
        <v>1056</v>
      </c>
      <c r="D307" s="173">
        <f t="shared" ref="D307:S310" si="29">D236</f>
        <v>2</v>
      </c>
      <c r="E307" s="173">
        <f t="shared" si="29"/>
        <v>2</v>
      </c>
      <c r="F307" s="173">
        <f t="shared" si="29"/>
        <v>2</v>
      </c>
      <c r="G307" s="173">
        <f t="shared" si="29"/>
        <v>2</v>
      </c>
      <c r="H307" s="173">
        <f t="shared" si="29"/>
        <v>2</v>
      </c>
      <c r="I307" s="173">
        <f t="shared" si="29"/>
        <v>2</v>
      </c>
      <c r="J307" s="173">
        <f t="shared" si="29"/>
        <v>2</v>
      </c>
      <c r="K307" s="173">
        <f t="shared" si="29"/>
        <v>2</v>
      </c>
      <c r="L307" s="173">
        <f t="shared" si="29"/>
        <v>0</v>
      </c>
      <c r="M307" s="173">
        <f t="shared" si="29"/>
        <v>2</v>
      </c>
      <c r="N307" s="173">
        <f t="shared" si="29"/>
        <v>2</v>
      </c>
      <c r="O307" s="173">
        <f t="shared" si="29"/>
        <v>1</v>
      </c>
      <c r="P307" s="173">
        <f t="shared" si="29"/>
        <v>2</v>
      </c>
      <c r="Q307" s="173">
        <f t="shared" si="29"/>
        <v>2</v>
      </c>
      <c r="R307" s="173">
        <f t="shared" si="29"/>
        <v>2</v>
      </c>
      <c r="S307" s="173">
        <f t="shared" si="29"/>
        <v>2</v>
      </c>
      <c r="T307" s="173">
        <f t="shared" si="28"/>
        <v>2</v>
      </c>
      <c r="U307" s="173">
        <f t="shared" si="28"/>
        <v>2</v>
      </c>
      <c r="V307" s="173">
        <f t="shared" si="28"/>
        <v>2</v>
      </c>
      <c r="W307" s="173">
        <f t="shared" si="28"/>
        <v>2</v>
      </c>
      <c r="X307" s="173">
        <f t="shared" si="28"/>
        <v>2</v>
      </c>
      <c r="Y307" s="173">
        <f t="shared" si="28"/>
        <v>2</v>
      </c>
      <c r="Z307" s="173">
        <f t="shared" si="28"/>
        <v>2</v>
      </c>
      <c r="AA307" s="173">
        <f t="shared" si="28"/>
        <v>2</v>
      </c>
      <c r="AB307" s="173">
        <f t="shared" si="28"/>
        <v>2</v>
      </c>
      <c r="AC307" s="173">
        <f t="shared" si="28"/>
        <v>2</v>
      </c>
      <c r="AD307" s="173">
        <f t="shared" si="28"/>
        <v>2</v>
      </c>
      <c r="AE307" s="173">
        <f t="shared" si="28"/>
        <v>2</v>
      </c>
      <c r="AF307" s="173">
        <f t="shared" si="28"/>
        <v>2</v>
      </c>
      <c r="AG307" s="173">
        <f t="shared" si="28"/>
        <v>2</v>
      </c>
      <c r="AH307" s="173">
        <f t="shared" si="28"/>
        <v>2</v>
      </c>
      <c r="AI307" s="173">
        <f t="shared" si="28"/>
        <v>2</v>
      </c>
      <c r="AJ307" s="173">
        <f t="shared" si="28"/>
        <v>2</v>
      </c>
      <c r="AK307" s="173">
        <f t="shared" si="28"/>
        <v>2</v>
      </c>
      <c r="AL307" s="173">
        <f t="shared" si="28"/>
        <v>2</v>
      </c>
      <c r="AM307" s="173">
        <f t="shared" si="28"/>
        <v>2</v>
      </c>
      <c r="AN307" s="173">
        <f t="shared" si="28"/>
        <v>2</v>
      </c>
      <c r="AO307" s="173">
        <f t="shared" si="28"/>
        <v>2</v>
      </c>
      <c r="AP307" s="173">
        <f t="shared" si="28"/>
        <v>2</v>
      </c>
      <c r="AQ307" s="173">
        <f t="shared" si="28"/>
        <v>2</v>
      </c>
      <c r="AR307" s="173">
        <f t="shared" si="28"/>
        <v>2</v>
      </c>
      <c r="AS307" s="173">
        <f t="shared" si="28"/>
        <v>0</v>
      </c>
      <c r="AT307" s="173">
        <f t="shared" si="28"/>
        <v>2</v>
      </c>
      <c r="AU307" s="173">
        <f t="shared" si="28"/>
        <v>2</v>
      </c>
      <c r="AV307" s="173">
        <f t="shared" si="28"/>
        <v>0</v>
      </c>
      <c r="AW307" s="173">
        <f t="shared" si="28"/>
        <v>2</v>
      </c>
      <c r="AX307" s="173">
        <f t="shared" si="28"/>
        <v>2</v>
      </c>
      <c r="AY307" s="173">
        <f t="shared" si="28"/>
        <v>2</v>
      </c>
    </row>
    <row r="308" spans="1:105" s="173" customFormat="1" x14ac:dyDescent="0.3">
      <c r="A308" s="754"/>
      <c r="B308" s="149">
        <v>1057</v>
      </c>
      <c r="D308" s="173">
        <f t="shared" si="29"/>
        <v>2</v>
      </c>
      <c r="E308" s="173">
        <f t="shared" si="28"/>
        <v>2</v>
      </c>
      <c r="F308" s="173">
        <f t="shared" si="28"/>
        <v>2</v>
      </c>
      <c r="G308" s="173">
        <f t="shared" si="28"/>
        <v>2</v>
      </c>
      <c r="H308" s="173">
        <f t="shared" si="28"/>
        <v>2</v>
      </c>
      <c r="I308" s="173">
        <f t="shared" si="28"/>
        <v>2</v>
      </c>
      <c r="J308" s="173">
        <f t="shared" si="28"/>
        <v>2</v>
      </c>
      <c r="K308" s="173">
        <f t="shared" si="28"/>
        <v>2</v>
      </c>
      <c r="L308" s="173">
        <f t="shared" si="28"/>
        <v>0</v>
      </c>
      <c r="M308" s="173">
        <f t="shared" si="28"/>
        <v>2</v>
      </c>
      <c r="N308" s="173">
        <f t="shared" si="28"/>
        <v>1</v>
      </c>
      <c r="O308" s="173">
        <f t="shared" si="28"/>
        <v>1</v>
      </c>
      <c r="P308" s="173">
        <f t="shared" si="28"/>
        <v>2</v>
      </c>
      <c r="Q308" s="173">
        <f t="shared" si="28"/>
        <v>2</v>
      </c>
      <c r="R308" s="173">
        <f t="shared" si="28"/>
        <v>2</v>
      </c>
      <c r="S308" s="173">
        <f t="shared" si="28"/>
        <v>2</v>
      </c>
      <c r="T308" s="173">
        <f t="shared" si="28"/>
        <v>1</v>
      </c>
      <c r="U308" s="173">
        <f t="shared" si="28"/>
        <v>2</v>
      </c>
      <c r="V308" s="173">
        <f t="shared" si="28"/>
        <v>2</v>
      </c>
      <c r="W308" s="173">
        <f t="shared" si="28"/>
        <v>2</v>
      </c>
      <c r="X308" s="173">
        <f t="shared" si="28"/>
        <v>1</v>
      </c>
      <c r="Y308" s="173">
        <f t="shared" si="28"/>
        <v>2</v>
      </c>
      <c r="Z308" s="173">
        <f t="shared" si="28"/>
        <v>2</v>
      </c>
      <c r="AA308" s="173">
        <f t="shared" si="28"/>
        <v>2</v>
      </c>
      <c r="AB308" s="173">
        <f t="shared" si="28"/>
        <v>2</v>
      </c>
      <c r="AC308" s="173">
        <f t="shared" si="28"/>
        <v>2</v>
      </c>
      <c r="AD308" s="173">
        <f t="shared" si="28"/>
        <v>1</v>
      </c>
      <c r="AE308" s="173">
        <f t="shared" si="28"/>
        <v>2</v>
      </c>
      <c r="AF308" s="173">
        <f t="shared" si="28"/>
        <v>2</v>
      </c>
      <c r="AG308" s="173">
        <f t="shared" si="28"/>
        <v>2</v>
      </c>
      <c r="AH308" s="173">
        <f t="shared" si="28"/>
        <v>2</v>
      </c>
      <c r="AI308" s="173">
        <f t="shared" si="28"/>
        <v>2</v>
      </c>
      <c r="AJ308" s="173">
        <f t="shared" si="28"/>
        <v>2</v>
      </c>
      <c r="AK308" s="173">
        <f t="shared" si="28"/>
        <v>2</v>
      </c>
      <c r="AL308" s="173">
        <f t="shared" si="28"/>
        <v>2</v>
      </c>
      <c r="AM308" s="173">
        <f t="shared" si="28"/>
        <v>2</v>
      </c>
      <c r="AN308" s="173">
        <f t="shared" si="28"/>
        <v>1</v>
      </c>
      <c r="AO308" s="173">
        <f t="shared" si="28"/>
        <v>2</v>
      </c>
      <c r="AP308" s="173">
        <f t="shared" si="28"/>
        <v>2</v>
      </c>
      <c r="AQ308" s="173">
        <f t="shared" si="28"/>
        <v>2</v>
      </c>
      <c r="AR308" s="173">
        <f t="shared" si="28"/>
        <v>2</v>
      </c>
      <c r="AS308" s="173">
        <f t="shared" si="28"/>
        <v>0</v>
      </c>
      <c r="AT308" s="173">
        <f t="shared" si="28"/>
        <v>2</v>
      </c>
      <c r="AU308" s="173">
        <f t="shared" si="28"/>
        <v>2</v>
      </c>
      <c r="AV308" s="173">
        <f t="shared" si="28"/>
        <v>0</v>
      </c>
      <c r="AW308" s="173">
        <f t="shared" si="28"/>
        <v>2</v>
      </c>
      <c r="AX308" s="173">
        <f t="shared" si="28"/>
        <v>2</v>
      </c>
      <c r="AY308" s="173">
        <f t="shared" si="28"/>
        <v>2</v>
      </c>
    </row>
    <row r="309" spans="1:105" s="173" customFormat="1" x14ac:dyDescent="0.3">
      <c r="A309" s="754"/>
      <c r="B309" s="149">
        <v>1058</v>
      </c>
      <c r="D309" s="173">
        <f t="shared" si="29"/>
        <v>2</v>
      </c>
      <c r="E309" s="173">
        <f t="shared" si="28"/>
        <v>2</v>
      </c>
      <c r="F309" s="173">
        <f t="shared" si="28"/>
        <v>2</v>
      </c>
      <c r="G309" s="173">
        <f t="shared" si="28"/>
        <v>2</v>
      </c>
      <c r="H309" s="173">
        <f t="shared" si="28"/>
        <v>2</v>
      </c>
      <c r="I309" s="173">
        <f t="shared" si="28"/>
        <v>2</v>
      </c>
      <c r="J309" s="173">
        <f t="shared" si="28"/>
        <v>2</v>
      </c>
      <c r="K309" s="173">
        <f t="shared" si="28"/>
        <v>2</v>
      </c>
      <c r="L309" s="173">
        <f t="shared" si="28"/>
        <v>0</v>
      </c>
      <c r="M309" s="173">
        <f t="shared" si="28"/>
        <v>2</v>
      </c>
      <c r="N309" s="173">
        <f t="shared" si="28"/>
        <v>2</v>
      </c>
      <c r="O309" s="173">
        <f t="shared" si="28"/>
        <v>1</v>
      </c>
      <c r="P309" s="173">
        <f t="shared" si="28"/>
        <v>2</v>
      </c>
      <c r="Q309" s="173">
        <f t="shared" si="28"/>
        <v>2</v>
      </c>
      <c r="R309" s="173">
        <f t="shared" si="28"/>
        <v>2</v>
      </c>
      <c r="S309" s="173">
        <f t="shared" si="28"/>
        <v>2</v>
      </c>
      <c r="T309" s="173">
        <f t="shared" si="28"/>
        <v>2</v>
      </c>
      <c r="U309" s="173">
        <f t="shared" si="28"/>
        <v>2</v>
      </c>
      <c r="V309" s="173">
        <f t="shared" si="28"/>
        <v>2</v>
      </c>
      <c r="W309" s="173">
        <f t="shared" si="28"/>
        <v>2</v>
      </c>
      <c r="X309" s="173">
        <f t="shared" si="28"/>
        <v>2</v>
      </c>
      <c r="Y309" s="173">
        <f t="shared" si="28"/>
        <v>2</v>
      </c>
      <c r="Z309" s="173">
        <f t="shared" si="28"/>
        <v>2</v>
      </c>
      <c r="AA309" s="173">
        <f t="shared" si="28"/>
        <v>2</v>
      </c>
      <c r="AB309" s="173">
        <f t="shared" si="28"/>
        <v>2</v>
      </c>
      <c r="AC309" s="173">
        <f t="shared" si="28"/>
        <v>2</v>
      </c>
      <c r="AD309" s="173">
        <f t="shared" si="28"/>
        <v>2</v>
      </c>
      <c r="AE309" s="173">
        <f t="shared" si="28"/>
        <v>2</v>
      </c>
      <c r="AF309" s="173">
        <f t="shared" si="28"/>
        <v>2</v>
      </c>
      <c r="AG309" s="173">
        <f t="shared" si="28"/>
        <v>2</v>
      </c>
      <c r="AH309" s="173">
        <f t="shared" si="28"/>
        <v>2</v>
      </c>
      <c r="AI309" s="173">
        <f t="shared" si="28"/>
        <v>2</v>
      </c>
      <c r="AJ309" s="173">
        <f t="shared" si="28"/>
        <v>2</v>
      </c>
      <c r="AK309" s="173">
        <f t="shared" si="28"/>
        <v>2</v>
      </c>
      <c r="AL309" s="173">
        <f t="shared" si="28"/>
        <v>2</v>
      </c>
      <c r="AM309" s="173">
        <f t="shared" si="28"/>
        <v>1</v>
      </c>
      <c r="AN309" s="173">
        <f t="shared" si="28"/>
        <v>2</v>
      </c>
      <c r="AO309" s="173">
        <f t="shared" si="28"/>
        <v>2</v>
      </c>
      <c r="AP309" s="173">
        <f t="shared" si="28"/>
        <v>2</v>
      </c>
      <c r="AQ309" s="173">
        <f t="shared" si="28"/>
        <v>2</v>
      </c>
      <c r="AR309" s="173">
        <f t="shared" si="28"/>
        <v>2</v>
      </c>
      <c r="AS309" s="173">
        <f t="shared" si="28"/>
        <v>0</v>
      </c>
      <c r="AT309" s="173">
        <f t="shared" si="28"/>
        <v>2</v>
      </c>
      <c r="AU309" s="173">
        <f t="shared" si="28"/>
        <v>2</v>
      </c>
      <c r="AV309" s="173">
        <f t="shared" si="28"/>
        <v>0</v>
      </c>
      <c r="AW309" s="173">
        <f t="shared" si="28"/>
        <v>2</v>
      </c>
      <c r="AX309" s="173">
        <f t="shared" si="28"/>
        <v>2</v>
      </c>
      <c r="AY309" s="173">
        <f t="shared" si="28"/>
        <v>2</v>
      </c>
    </row>
    <row r="310" spans="1:105" s="173" customFormat="1" x14ac:dyDescent="0.3">
      <c r="A310" s="754"/>
      <c r="B310" s="149">
        <v>1059</v>
      </c>
      <c r="D310" s="173">
        <f t="shared" si="29"/>
        <v>1</v>
      </c>
      <c r="E310" s="173">
        <f t="shared" si="28"/>
        <v>1</v>
      </c>
      <c r="F310" s="173">
        <f t="shared" si="28"/>
        <v>1</v>
      </c>
      <c r="G310" s="173">
        <f t="shared" si="28"/>
        <v>1</v>
      </c>
      <c r="H310" s="173">
        <f t="shared" si="28"/>
        <v>1</v>
      </c>
      <c r="I310" s="173">
        <f t="shared" si="28"/>
        <v>1</v>
      </c>
      <c r="J310" s="173">
        <f t="shared" si="28"/>
        <v>1</v>
      </c>
      <c r="K310" s="173">
        <f t="shared" si="28"/>
        <v>1</v>
      </c>
      <c r="L310" s="173">
        <f t="shared" si="28"/>
        <v>0</v>
      </c>
      <c r="M310" s="173">
        <f t="shared" si="28"/>
        <v>1</v>
      </c>
      <c r="N310" s="173">
        <f t="shared" si="28"/>
        <v>1</v>
      </c>
      <c r="O310" s="173">
        <f t="shared" si="28"/>
        <v>1</v>
      </c>
      <c r="P310" s="173">
        <f t="shared" si="28"/>
        <v>1</v>
      </c>
      <c r="Q310" s="173">
        <f t="shared" si="28"/>
        <v>1</v>
      </c>
      <c r="R310" s="173">
        <f t="shared" si="28"/>
        <v>2</v>
      </c>
      <c r="S310" s="173">
        <f t="shared" si="28"/>
        <v>1</v>
      </c>
      <c r="T310" s="173">
        <f t="shared" si="28"/>
        <v>1</v>
      </c>
      <c r="U310" s="173">
        <f t="shared" si="28"/>
        <v>1</v>
      </c>
      <c r="V310" s="173">
        <f t="shared" si="28"/>
        <v>1</v>
      </c>
      <c r="W310" s="173">
        <f t="shared" si="28"/>
        <v>1</v>
      </c>
      <c r="X310" s="173">
        <f t="shared" si="28"/>
        <v>1</v>
      </c>
      <c r="Y310" s="173">
        <f t="shared" si="28"/>
        <v>1</v>
      </c>
      <c r="Z310" s="173">
        <f t="shared" si="28"/>
        <v>1</v>
      </c>
      <c r="AA310" s="173">
        <f t="shared" si="28"/>
        <v>1</v>
      </c>
      <c r="AB310" s="173">
        <f t="shared" si="28"/>
        <v>1</v>
      </c>
      <c r="AC310" s="173">
        <f t="shared" si="28"/>
        <v>1</v>
      </c>
      <c r="AD310" s="173">
        <f t="shared" si="28"/>
        <v>1</v>
      </c>
      <c r="AE310" s="173">
        <f t="shared" si="28"/>
        <v>1</v>
      </c>
      <c r="AF310" s="173">
        <f t="shared" si="28"/>
        <v>1</v>
      </c>
      <c r="AG310" s="173">
        <f t="shared" si="28"/>
        <v>1</v>
      </c>
      <c r="AH310" s="173">
        <f t="shared" si="28"/>
        <v>1</v>
      </c>
      <c r="AI310" s="173">
        <f t="shared" si="28"/>
        <v>1</v>
      </c>
      <c r="AJ310" s="173">
        <f t="shared" si="28"/>
        <v>1</v>
      </c>
      <c r="AK310" s="173">
        <f t="shared" si="28"/>
        <v>2</v>
      </c>
      <c r="AL310" s="173">
        <f t="shared" si="28"/>
        <v>1</v>
      </c>
      <c r="AM310" s="173">
        <f t="shared" si="28"/>
        <v>1</v>
      </c>
      <c r="AN310" s="173">
        <f t="shared" si="28"/>
        <v>1</v>
      </c>
      <c r="AO310" s="173">
        <f t="shared" si="28"/>
        <v>1</v>
      </c>
      <c r="AP310" s="173">
        <f t="shared" si="28"/>
        <v>1</v>
      </c>
      <c r="AQ310" s="173">
        <f t="shared" si="28"/>
        <v>1</v>
      </c>
      <c r="AR310" s="173">
        <f t="shared" si="28"/>
        <v>1</v>
      </c>
      <c r="AS310" s="173">
        <f t="shared" si="28"/>
        <v>0</v>
      </c>
      <c r="AT310" s="173">
        <f t="shared" si="28"/>
        <v>1</v>
      </c>
      <c r="AU310" s="173">
        <f t="shared" si="28"/>
        <v>1</v>
      </c>
      <c r="AV310" s="173">
        <f t="shared" si="28"/>
        <v>0</v>
      </c>
      <c r="AW310" s="173">
        <f t="shared" si="28"/>
        <v>1</v>
      </c>
      <c r="AX310" s="173">
        <f t="shared" si="28"/>
        <v>1</v>
      </c>
      <c r="AY310" s="173">
        <f t="shared" si="28"/>
        <v>1</v>
      </c>
    </row>
    <row r="311" spans="1:105" x14ac:dyDescent="0.3">
      <c r="C311" s="560"/>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c r="AB311" s="173"/>
      <c r="AC311" s="173"/>
      <c r="AD311" s="173"/>
      <c r="AE311" s="173"/>
      <c r="AF311" s="173"/>
      <c r="AG311" s="173"/>
      <c r="AH311" s="173"/>
      <c r="AI311" s="173"/>
      <c r="AJ311" s="173"/>
      <c r="AK311" s="173"/>
      <c r="AL311" s="173"/>
      <c r="AM311" s="173"/>
      <c r="AN311" s="173"/>
      <c r="AO311" s="173"/>
      <c r="AP311" s="173"/>
      <c r="AQ311" s="173"/>
      <c r="AR311" s="173"/>
      <c r="AS311" s="173"/>
      <c r="AT311" s="173"/>
      <c r="AU311" s="173"/>
      <c r="AV311" s="173"/>
      <c r="AW311" s="173"/>
      <c r="AX311" s="173"/>
      <c r="AY311" s="173"/>
      <c r="BB311" s="173"/>
      <c r="BC311" s="173"/>
      <c r="BD311" s="173"/>
      <c r="BE311" s="173"/>
      <c r="BF311" s="173"/>
      <c r="BG311" s="173"/>
      <c r="BH311" s="173"/>
      <c r="BI311" s="173"/>
      <c r="BJ311" s="173"/>
      <c r="BK311" s="173"/>
      <c r="BL311" s="173"/>
      <c r="BM311" s="173"/>
      <c r="BN311" s="173"/>
      <c r="BO311" s="173"/>
      <c r="BP311" s="173"/>
      <c r="BQ311" s="173"/>
      <c r="BR311" s="173"/>
      <c r="BS311" s="173"/>
      <c r="BT311" s="173"/>
      <c r="BU311" s="173"/>
      <c r="BV311" s="173"/>
      <c r="BW311" s="173"/>
      <c r="BX311" s="173"/>
      <c r="BY311" s="173"/>
      <c r="BZ311" s="173"/>
      <c r="CA311" s="173"/>
      <c r="CB311" s="173"/>
      <c r="CC311" s="173"/>
      <c r="CD311" s="173"/>
      <c r="CE311" s="173"/>
      <c r="CF311" s="173"/>
      <c r="CG311" s="173"/>
      <c r="CH311" s="173"/>
      <c r="CI311" s="173"/>
      <c r="CJ311" s="173"/>
      <c r="CK311" s="173"/>
      <c r="CL311" s="173"/>
      <c r="CM311" s="173"/>
      <c r="CN311" s="173"/>
      <c r="CO311" s="173"/>
      <c r="CP311" s="173"/>
      <c r="CQ311" s="173"/>
      <c r="CR311" s="173"/>
      <c r="CS311" s="173"/>
      <c r="CT311" s="173"/>
      <c r="CU311" s="173"/>
      <c r="CV311" s="173"/>
      <c r="CW311" s="173"/>
      <c r="CX311" s="173"/>
      <c r="CY311" s="173"/>
      <c r="CZ311" s="173"/>
      <c r="DA311" s="173"/>
    </row>
    <row r="312" spans="1:105" x14ac:dyDescent="0.3">
      <c r="B312" s="559" t="s">
        <v>964</v>
      </c>
      <c r="C312" s="560"/>
      <c r="D312" s="774">
        <f t="shared" ref="D312:AY312" si="30">SUM(D268:D311)</f>
        <v>2787976.01</v>
      </c>
      <c r="E312" s="173">
        <f t="shared" si="30"/>
        <v>9145258.0099999998</v>
      </c>
      <c r="F312" s="173">
        <f t="shared" si="30"/>
        <v>12869118.01</v>
      </c>
      <c r="G312" s="173">
        <f t="shared" si="30"/>
        <v>59680764.009999998</v>
      </c>
      <c r="H312" s="173">
        <f t="shared" si="30"/>
        <v>90127314.010000005</v>
      </c>
      <c r="I312" s="173">
        <f t="shared" si="30"/>
        <v>52546073.009999998</v>
      </c>
      <c r="J312" s="173">
        <f t="shared" si="30"/>
        <v>101332429.01000001</v>
      </c>
      <c r="K312" s="173">
        <f t="shared" si="30"/>
        <v>29946918.009999998</v>
      </c>
      <c r="L312" s="173">
        <f t="shared" si="30"/>
        <v>591663.01</v>
      </c>
      <c r="M312" s="173">
        <f t="shared" si="30"/>
        <v>14058407.01</v>
      </c>
      <c r="N312" s="173">
        <f t="shared" si="30"/>
        <v>8908441.0099999998</v>
      </c>
      <c r="O312" s="173">
        <f t="shared" si="30"/>
        <v>704442.01</v>
      </c>
      <c r="P312" s="173">
        <f t="shared" si="30"/>
        <v>245128618.09999999</v>
      </c>
      <c r="Q312" s="173">
        <f t="shared" si="30"/>
        <v>2477051.0099999998</v>
      </c>
      <c r="R312" s="173">
        <f t="shared" si="30"/>
        <v>2272369.0099999998</v>
      </c>
      <c r="S312" s="173">
        <f t="shared" si="30"/>
        <v>8876373.0099999998</v>
      </c>
      <c r="T312" s="173">
        <f t="shared" si="30"/>
        <v>1553380.01</v>
      </c>
      <c r="U312" s="173">
        <f t="shared" si="30"/>
        <v>125400220.08</v>
      </c>
      <c r="V312" s="173">
        <f t="shared" si="30"/>
        <v>5737090.0099999998</v>
      </c>
      <c r="W312" s="173">
        <f t="shared" si="30"/>
        <v>1403444.01</v>
      </c>
      <c r="X312" s="173">
        <f t="shared" si="30"/>
        <v>5483337.0099999998</v>
      </c>
      <c r="Y312" s="173">
        <f t="shared" si="30"/>
        <v>6308383.0099999998</v>
      </c>
      <c r="Z312" s="173">
        <f t="shared" si="30"/>
        <v>2751695.01</v>
      </c>
      <c r="AA312" s="173">
        <f t="shared" si="30"/>
        <v>2360545.0099999998</v>
      </c>
      <c r="AB312" s="173">
        <f t="shared" si="30"/>
        <v>1915733.01</v>
      </c>
      <c r="AC312" s="173">
        <f t="shared" si="30"/>
        <v>11435604.01</v>
      </c>
      <c r="AD312" s="173">
        <f t="shared" si="30"/>
        <v>4513968.01</v>
      </c>
      <c r="AE312" s="173">
        <f t="shared" si="30"/>
        <v>1543507.01</v>
      </c>
      <c r="AF312" s="173">
        <f t="shared" si="30"/>
        <v>62208859.009999998</v>
      </c>
      <c r="AG312" s="173">
        <f t="shared" si="30"/>
        <v>42473401.010000005</v>
      </c>
      <c r="AH312" s="173">
        <f t="shared" si="30"/>
        <v>18811894.009999998</v>
      </c>
      <c r="AI312" s="173">
        <f t="shared" si="30"/>
        <v>16808041.009999998</v>
      </c>
      <c r="AJ312" s="173">
        <f t="shared" si="30"/>
        <v>1179256.01</v>
      </c>
      <c r="AK312" s="173">
        <f t="shared" si="30"/>
        <v>3809337.01</v>
      </c>
      <c r="AL312" s="173">
        <f t="shared" si="30"/>
        <v>32500231.010000002</v>
      </c>
      <c r="AM312" s="173">
        <f t="shared" si="30"/>
        <v>4237690.01</v>
      </c>
      <c r="AN312" s="173">
        <f t="shared" si="30"/>
        <v>10663863.01</v>
      </c>
      <c r="AO312" s="173">
        <f t="shared" si="30"/>
        <v>3385667.01</v>
      </c>
      <c r="AP312" s="173">
        <f t="shared" si="30"/>
        <v>3354223.01</v>
      </c>
      <c r="AQ312" s="173">
        <f t="shared" si="30"/>
        <v>2083336.01</v>
      </c>
      <c r="AR312" s="173">
        <f t="shared" si="30"/>
        <v>992808.01</v>
      </c>
      <c r="AS312" s="173">
        <f t="shared" si="30"/>
        <v>591692.01</v>
      </c>
      <c r="AT312" s="173">
        <f t="shared" si="30"/>
        <v>18052421.010000002</v>
      </c>
      <c r="AU312" s="173">
        <f t="shared" si="30"/>
        <v>591720.01</v>
      </c>
      <c r="AV312" s="173">
        <f t="shared" si="30"/>
        <v>591686.01</v>
      </c>
      <c r="AW312" s="173">
        <f t="shared" si="30"/>
        <v>638521.01</v>
      </c>
      <c r="AX312" s="173">
        <f t="shared" si="30"/>
        <v>4610116.01</v>
      </c>
      <c r="AY312" s="173">
        <f t="shared" si="30"/>
        <v>8454849.0099999998</v>
      </c>
      <c r="BB312" s="173"/>
      <c r="BC312" s="173"/>
      <c r="BD312" s="173"/>
      <c r="BE312" s="173"/>
      <c r="BF312" s="173"/>
      <c r="BG312" s="173"/>
      <c r="BH312" s="173"/>
      <c r="BI312" s="173"/>
      <c r="BJ312" s="173"/>
      <c r="BK312" s="173"/>
      <c r="BL312" s="173"/>
      <c r="BM312" s="173"/>
      <c r="BN312" s="173"/>
      <c r="BO312" s="173"/>
      <c r="BP312" s="173"/>
      <c r="BQ312" s="173"/>
      <c r="BR312" s="173"/>
      <c r="BS312" s="173"/>
      <c r="BT312" s="173"/>
      <c r="BU312" s="173"/>
      <c r="BV312" s="173"/>
      <c r="BW312" s="173"/>
      <c r="BX312" s="173"/>
      <c r="BY312" s="173"/>
      <c r="BZ312" s="173"/>
      <c r="CA312" s="173"/>
      <c r="CB312" s="173"/>
      <c r="CC312" s="173"/>
      <c r="CD312" s="173"/>
      <c r="CE312" s="173"/>
      <c r="CF312" s="173"/>
      <c r="CG312" s="173"/>
      <c r="CH312" s="173"/>
      <c r="CI312" s="173"/>
      <c r="CJ312" s="173"/>
      <c r="CK312" s="173"/>
      <c r="CL312" s="173"/>
      <c r="CM312" s="173"/>
      <c r="CN312" s="173"/>
      <c r="CO312" s="173"/>
      <c r="CP312" s="173"/>
      <c r="CQ312" s="173"/>
      <c r="CR312" s="173"/>
      <c r="CS312" s="173"/>
      <c r="CT312" s="173"/>
      <c r="CU312" s="173"/>
      <c r="CV312" s="173"/>
      <c r="CW312" s="173"/>
      <c r="CX312" s="173"/>
      <c r="CY312" s="173"/>
      <c r="CZ312" s="173"/>
      <c r="DA312" s="173"/>
    </row>
    <row r="313" spans="1:105" s="173" customFormat="1" x14ac:dyDescent="0.3">
      <c r="A313" s="754"/>
      <c r="B313" s="559"/>
      <c r="C313" s="560"/>
      <c r="AZ313"/>
      <c r="BA313"/>
    </row>
    <row r="314" spans="1:105" x14ac:dyDescent="0.3">
      <c r="B314" s="559" t="s">
        <v>965</v>
      </c>
      <c r="C314" s="560"/>
      <c r="D314" s="774">
        <f t="shared" ref="D314:AY314" si="31">D264-D312</f>
        <v>93297443</v>
      </c>
      <c r="E314" s="173">
        <f t="shared" si="31"/>
        <v>154491954</v>
      </c>
      <c r="F314" s="173">
        <f t="shared" si="31"/>
        <v>262399492</v>
      </c>
      <c r="G314" s="173">
        <f t="shared" si="31"/>
        <v>921078906</v>
      </c>
      <c r="H314" s="173">
        <f t="shared" si="31"/>
        <v>2908287631</v>
      </c>
      <c r="I314" s="173">
        <f t="shared" si="31"/>
        <v>1407721348</v>
      </c>
      <c r="J314" s="173">
        <f t="shared" si="31"/>
        <v>4567278844</v>
      </c>
      <c r="K314" s="173">
        <f t="shared" si="31"/>
        <v>358740826.46000004</v>
      </c>
      <c r="L314" s="173">
        <f t="shared" si="31"/>
        <v>0</v>
      </c>
      <c r="M314" s="173">
        <f t="shared" si="31"/>
        <v>184255635</v>
      </c>
      <c r="N314" s="173">
        <f t="shared" si="31"/>
        <v>186495081</v>
      </c>
      <c r="O314" s="173">
        <f t="shared" si="31"/>
        <v>16055240</v>
      </c>
      <c r="P314" s="173">
        <f t="shared" si="31"/>
        <v>10123840950</v>
      </c>
      <c r="Q314" s="173">
        <f t="shared" si="31"/>
        <v>35018305</v>
      </c>
      <c r="R314" s="173">
        <f t="shared" si="31"/>
        <v>26500876</v>
      </c>
      <c r="S314" s="173">
        <f t="shared" si="31"/>
        <v>144646796</v>
      </c>
      <c r="T314" s="173">
        <f t="shared" si="31"/>
        <v>22014312</v>
      </c>
      <c r="U314" s="173">
        <f t="shared" si="31"/>
        <v>4461449824.3999996</v>
      </c>
      <c r="V314" s="173">
        <f t="shared" si="31"/>
        <v>131347809.99999999</v>
      </c>
      <c r="W314" s="173">
        <f t="shared" si="31"/>
        <v>16613810.000000002</v>
      </c>
      <c r="X314" s="173">
        <f t="shared" si="31"/>
        <v>119238325.33</v>
      </c>
      <c r="Y314" s="173">
        <f t="shared" si="31"/>
        <v>266622050</v>
      </c>
      <c r="Z314" s="173">
        <f t="shared" si="31"/>
        <v>57250878</v>
      </c>
      <c r="AA314" s="173">
        <f t="shared" si="31"/>
        <v>115590709</v>
      </c>
      <c r="AB314" s="173">
        <f t="shared" si="31"/>
        <v>19421014</v>
      </c>
      <c r="AC314" s="173">
        <f t="shared" si="31"/>
        <v>603770001</v>
      </c>
      <c r="AD314" s="173">
        <f t="shared" si="31"/>
        <v>77434568</v>
      </c>
      <c r="AE314" s="173">
        <f t="shared" si="31"/>
        <v>37753262</v>
      </c>
      <c r="AF314" s="173">
        <f t="shared" si="31"/>
        <v>1337393713</v>
      </c>
      <c r="AG314" s="173">
        <f t="shared" si="31"/>
        <v>2052591686</v>
      </c>
      <c r="AH314" s="173">
        <f t="shared" si="31"/>
        <v>576298951</v>
      </c>
      <c r="AI314" s="173">
        <f t="shared" si="31"/>
        <v>348172350</v>
      </c>
      <c r="AJ314" s="173">
        <f t="shared" si="31"/>
        <v>31540709</v>
      </c>
      <c r="AK314" s="173">
        <f t="shared" si="31"/>
        <v>15501732.187000001</v>
      </c>
      <c r="AL314" s="173">
        <f t="shared" si="31"/>
        <v>519140176</v>
      </c>
      <c r="AM314" s="173">
        <f t="shared" si="31"/>
        <v>91709661</v>
      </c>
      <c r="AN314" s="173">
        <f t="shared" si="31"/>
        <v>183753984</v>
      </c>
      <c r="AO314" s="173">
        <f t="shared" si="31"/>
        <v>43940432</v>
      </c>
      <c r="AP314" s="173">
        <f t="shared" si="31"/>
        <v>41094802</v>
      </c>
      <c r="AQ314" s="173">
        <f t="shared" si="31"/>
        <v>57861861</v>
      </c>
      <c r="AR314" s="173">
        <f t="shared" si="31"/>
        <v>7748998</v>
      </c>
      <c r="AS314" s="173">
        <f t="shared" si="31"/>
        <v>0</v>
      </c>
      <c r="AT314" s="173">
        <f t="shared" si="31"/>
        <v>301042416</v>
      </c>
      <c r="AU314" s="173">
        <f t="shared" si="31"/>
        <v>34616993</v>
      </c>
      <c r="AV314" s="173">
        <f t="shared" si="31"/>
        <v>0</v>
      </c>
      <c r="AW314" s="173">
        <f t="shared" si="31"/>
        <v>1246715</v>
      </c>
      <c r="AX314" s="173">
        <f t="shared" si="31"/>
        <v>67523001</v>
      </c>
      <c r="AY314" s="173">
        <f t="shared" si="31"/>
        <v>160161095</v>
      </c>
      <c r="BB314" s="173"/>
      <c r="BC314" s="173"/>
      <c r="BD314" s="173"/>
      <c r="BE314" s="173"/>
      <c r="BF314" s="173"/>
      <c r="BG314" s="173"/>
      <c r="BH314" s="173"/>
      <c r="BI314" s="173"/>
      <c r="BJ314" s="173"/>
      <c r="BK314" s="173"/>
      <c r="BL314" s="173"/>
      <c r="BM314" s="173"/>
      <c r="BN314" s="173"/>
      <c r="BO314" s="173"/>
      <c r="BP314" s="173"/>
      <c r="BQ314" s="173"/>
      <c r="BR314" s="173"/>
      <c r="BS314" s="173"/>
      <c r="BT314" s="173"/>
      <c r="BU314" s="173"/>
      <c r="BV314" s="173"/>
      <c r="BW314" s="173"/>
      <c r="BX314" s="173"/>
      <c r="BY314" s="173"/>
      <c r="BZ314" s="173"/>
      <c r="CA314" s="173"/>
      <c r="CB314" s="173"/>
      <c r="CC314" s="173"/>
      <c r="CD314" s="173"/>
      <c r="CE314" s="173"/>
      <c r="CF314" s="173"/>
      <c r="CG314" s="173"/>
      <c r="CH314" s="173"/>
      <c r="CI314" s="173"/>
      <c r="CJ314" s="173"/>
      <c r="CK314" s="173"/>
      <c r="CL314" s="173"/>
      <c r="CM314" s="173"/>
      <c r="CN314" s="173"/>
      <c r="CO314" s="173"/>
      <c r="CP314" s="173"/>
      <c r="CQ314" s="173"/>
      <c r="CR314" s="173"/>
      <c r="CS314" s="173"/>
      <c r="CT314" s="173"/>
      <c r="CU314" s="173"/>
      <c r="CV314" s="173"/>
      <c r="CW314" s="173"/>
      <c r="CX314" s="173"/>
      <c r="CY314" s="173"/>
      <c r="CZ314" s="173"/>
      <c r="DA314" s="173"/>
    </row>
    <row r="315" spans="1:105" s="560" customFormat="1" x14ac:dyDescent="0.3">
      <c r="A315" s="770"/>
      <c r="B315" s="559"/>
      <c r="AZ315"/>
      <c r="BA315"/>
    </row>
    <row r="316" spans="1:105" s="560" customFormat="1" x14ac:dyDescent="0.3">
      <c r="A316" s="770"/>
      <c r="B316" s="559">
        <v>1</v>
      </c>
      <c r="D316" s="560">
        <f t="shared" ref="D316:AY316" si="32">D243</f>
        <v>0</v>
      </c>
      <c r="E316" s="560">
        <f t="shared" si="32"/>
        <v>0</v>
      </c>
      <c r="F316" s="560">
        <f t="shared" si="32"/>
        <v>0</v>
      </c>
      <c r="G316" s="560">
        <f t="shared" si="32"/>
        <v>0</v>
      </c>
      <c r="H316" s="560">
        <f t="shared" si="32"/>
        <v>0</v>
      </c>
      <c r="I316" s="560">
        <f t="shared" si="32"/>
        <v>0</v>
      </c>
      <c r="J316" s="560">
        <f t="shared" si="32"/>
        <v>0</v>
      </c>
      <c r="K316" s="560">
        <f t="shared" si="32"/>
        <v>0</v>
      </c>
      <c r="L316" s="560">
        <f t="shared" si="32"/>
        <v>0</v>
      </c>
      <c r="M316" s="560">
        <f t="shared" si="32"/>
        <v>0</v>
      </c>
      <c r="N316" s="560">
        <f t="shared" si="32"/>
        <v>0</v>
      </c>
      <c r="O316" s="560">
        <f t="shared" si="32"/>
        <v>0</v>
      </c>
      <c r="P316" s="560">
        <f t="shared" si="32"/>
        <v>0</v>
      </c>
      <c r="Q316" s="560">
        <f t="shared" si="32"/>
        <v>0</v>
      </c>
      <c r="R316" s="560">
        <f t="shared" si="32"/>
        <v>0</v>
      </c>
      <c r="S316" s="560">
        <f t="shared" si="32"/>
        <v>0</v>
      </c>
      <c r="T316" s="560">
        <f t="shared" si="32"/>
        <v>0</v>
      </c>
      <c r="U316" s="560">
        <f t="shared" si="32"/>
        <v>0</v>
      </c>
      <c r="V316" s="560">
        <f t="shared" si="32"/>
        <v>0</v>
      </c>
      <c r="W316" s="560">
        <f t="shared" si="32"/>
        <v>0</v>
      </c>
      <c r="X316" s="560">
        <f t="shared" si="32"/>
        <v>0</v>
      </c>
      <c r="Y316" s="560">
        <f t="shared" si="32"/>
        <v>0</v>
      </c>
      <c r="Z316" s="560">
        <f t="shared" si="32"/>
        <v>0</v>
      </c>
      <c r="AA316" s="560">
        <f t="shared" si="32"/>
        <v>0</v>
      </c>
      <c r="AB316" s="560">
        <f t="shared" si="32"/>
        <v>0</v>
      </c>
      <c r="AC316" s="560">
        <f t="shared" si="32"/>
        <v>0</v>
      </c>
      <c r="AD316" s="560">
        <f t="shared" si="32"/>
        <v>0</v>
      </c>
      <c r="AE316" s="560">
        <f t="shared" si="32"/>
        <v>0</v>
      </c>
      <c r="AF316" s="560">
        <f t="shared" si="32"/>
        <v>0</v>
      </c>
      <c r="AG316" s="560">
        <f t="shared" si="32"/>
        <v>0</v>
      </c>
      <c r="AH316" s="560">
        <f t="shared" si="32"/>
        <v>0</v>
      </c>
      <c r="AI316" s="560">
        <f t="shared" si="32"/>
        <v>0</v>
      </c>
      <c r="AJ316" s="560">
        <f t="shared" si="32"/>
        <v>0</v>
      </c>
      <c r="AK316" s="560">
        <f t="shared" si="32"/>
        <v>1897590</v>
      </c>
      <c r="AL316" s="560">
        <f t="shared" si="32"/>
        <v>0</v>
      </c>
      <c r="AM316" s="560">
        <f t="shared" si="32"/>
        <v>0</v>
      </c>
      <c r="AN316" s="560">
        <f t="shared" si="32"/>
        <v>0</v>
      </c>
      <c r="AO316" s="560">
        <f t="shared" si="32"/>
        <v>0</v>
      </c>
      <c r="AP316" s="560">
        <f t="shared" si="32"/>
        <v>0</v>
      </c>
      <c r="AQ316" s="560">
        <f t="shared" si="32"/>
        <v>0</v>
      </c>
      <c r="AR316" s="560">
        <f t="shared" si="32"/>
        <v>0</v>
      </c>
      <c r="AS316" s="560">
        <f t="shared" si="32"/>
        <v>0</v>
      </c>
      <c r="AT316" s="560">
        <f t="shared" si="32"/>
        <v>0</v>
      </c>
      <c r="AU316" s="560">
        <f t="shared" si="32"/>
        <v>0</v>
      </c>
      <c r="AV316" s="560">
        <f t="shared" si="32"/>
        <v>0</v>
      </c>
      <c r="AW316" s="560">
        <f t="shared" si="32"/>
        <v>0</v>
      </c>
      <c r="AX316" s="560">
        <f t="shared" si="32"/>
        <v>0</v>
      </c>
      <c r="AY316" s="560">
        <f t="shared" si="32"/>
        <v>0</v>
      </c>
      <c r="AZ316"/>
      <c r="BA316"/>
    </row>
    <row r="317" spans="1:105" s="560" customFormat="1" x14ac:dyDescent="0.3">
      <c r="A317" s="770"/>
      <c r="B317" s="559">
        <v>2</v>
      </c>
      <c r="D317" s="560">
        <f t="shared" ref="D317:S318" si="33">D244</f>
        <v>0</v>
      </c>
      <c r="E317" s="560">
        <f t="shared" si="33"/>
        <v>0</v>
      </c>
      <c r="F317" s="560">
        <f t="shared" si="33"/>
        <v>0</v>
      </c>
      <c r="G317" s="560">
        <f t="shared" si="33"/>
        <v>0</v>
      </c>
      <c r="H317" s="560">
        <f t="shared" si="33"/>
        <v>0</v>
      </c>
      <c r="I317" s="560">
        <f t="shared" si="33"/>
        <v>0</v>
      </c>
      <c r="J317" s="560">
        <f t="shared" si="33"/>
        <v>0</v>
      </c>
      <c r="K317" s="560">
        <f t="shared" si="33"/>
        <v>0</v>
      </c>
      <c r="L317" s="560">
        <f t="shared" si="33"/>
        <v>0</v>
      </c>
      <c r="M317" s="560">
        <f t="shared" si="33"/>
        <v>0</v>
      </c>
      <c r="N317" s="560">
        <f t="shared" si="33"/>
        <v>0</v>
      </c>
      <c r="O317" s="560">
        <f t="shared" si="33"/>
        <v>0</v>
      </c>
      <c r="P317" s="560">
        <f t="shared" si="33"/>
        <v>0</v>
      </c>
      <c r="Q317" s="560">
        <f t="shared" si="33"/>
        <v>0</v>
      </c>
      <c r="R317" s="560">
        <f t="shared" si="33"/>
        <v>0</v>
      </c>
      <c r="S317" s="560">
        <f t="shared" si="33"/>
        <v>0</v>
      </c>
      <c r="T317" s="560">
        <f t="shared" ref="T317:AY317" si="34">T244</f>
        <v>0</v>
      </c>
      <c r="U317" s="560">
        <f t="shared" si="34"/>
        <v>0</v>
      </c>
      <c r="V317" s="560">
        <f t="shared" si="34"/>
        <v>0</v>
      </c>
      <c r="W317" s="560">
        <f t="shared" si="34"/>
        <v>0</v>
      </c>
      <c r="X317" s="560">
        <f t="shared" si="34"/>
        <v>0</v>
      </c>
      <c r="Y317" s="560">
        <f t="shared" si="34"/>
        <v>0</v>
      </c>
      <c r="Z317" s="560">
        <f t="shared" si="34"/>
        <v>0</v>
      </c>
      <c r="AA317" s="560">
        <f t="shared" si="34"/>
        <v>0</v>
      </c>
      <c r="AB317" s="560">
        <f t="shared" si="34"/>
        <v>0</v>
      </c>
      <c r="AC317" s="560">
        <f t="shared" si="34"/>
        <v>0</v>
      </c>
      <c r="AD317" s="560">
        <f t="shared" si="34"/>
        <v>0</v>
      </c>
      <c r="AE317" s="560">
        <f t="shared" si="34"/>
        <v>0</v>
      </c>
      <c r="AF317" s="560">
        <f t="shared" si="34"/>
        <v>0</v>
      </c>
      <c r="AG317" s="560">
        <f t="shared" si="34"/>
        <v>0</v>
      </c>
      <c r="AH317" s="560">
        <f t="shared" si="34"/>
        <v>0</v>
      </c>
      <c r="AI317" s="560">
        <f t="shared" si="34"/>
        <v>0</v>
      </c>
      <c r="AJ317" s="560">
        <f t="shared" si="34"/>
        <v>0</v>
      </c>
      <c r="AK317" s="560">
        <f t="shared" si="34"/>
        <v>27170</v>
      </c>
      <c r="AL317" s="560">
        <f t="shared" si="34"/>
        <v>0</v>
      </c>
      <c r="AM317" s="560">
        <f t="shared" si="34"/>
        <v>0</v>
      </c>
      <c r="AN317" s="560">
        <f t="shared" si="34"/>
        <v>0</v>
      </c>
      <c r="AO317" s="560">
        <f t="shared" si="34"/>
        <v>0</v>
      </c>
      <c r="AP317" s="560">
        <f t="shared" si="34"/>
        <v>0</v>
      </c>
      <c r="AQ317" s="560">
        <f t="shared" si="34"/>
        <v>0</v>
      </c>
      <c r="AR317" s="560">
        <f t="shared" si="34"/>
        <v>0</v>
      </c>
      <c r="AS317" s="560">
        <f t="shared" si="34"/>
        <v>0</v>
      </c>
      <c r="AT317" s="560">
        <f t="shared" si="34"/>
        <v>0</v>
      </c>
      <c r="AU317" s="560">
        <f t="shared" si="34"/>
        <v>0</v>
      </c>
      <c r="AV317" s="560">
        <f t="shared" si="34"/>
        <v>0</v>
      </c>
      <c r="AW317" s="560">
        <f t="shared" si="34"/>
        <v>0</v>
      </c>
      <c r="AX317" s="560">
        <f t="shared" si="34"/>
        <v>0</v>
      </c>
      <c r="AY317" s="560">
        <f t="shared" si="34"/>
        <v>0</v>
      </c>
      <c r="AZ317"/>
      <c r="BA317"/>
    </row>
    <row r="318" spans="1:105" s="560" customFormat="1" x14ac:dyDescent="0.3">
      <c r="A318" s="770"/>
      <c r="B318" s="559">
        <v>3</v>
      </c>
      <c r="D318" s="560">
        <f t="shared" si="33"/>
        <v>0</v>
      </c>
      <c r="E318" s="560">
        <f t="shared" ref="E318:S318" si="35">E245</f>
        <v>0</v>
      </c>
      <c r="F318" s="560">
        <f t="shared" si="35"/>
        <v>0</v>
      </c>
      <c r="G318" s="560">
        <f t="shared" si="35"/>
        <v>0</v>
      </c>
      <c r="H318" s="560">
        <f t="shared" si="35"/>
        <v>0</v>
      </c>
      <c r="I318" s="560">
        <f t="shared" si="35"/>
        <v>0</v>
      </c>
      <c r="J318" s="560">
        <f t="shared" si="35"/>
        <v>0</v>
      </c>
      <c r="K318" s="560">
        <f t="shared" si="35"/>
        <v>0</v>
      </c>
      <c r="L318" s="560">
        <f t="shared" si="35"/>
        <v>0</v>
      </c>
      <c r="M318" s="560">
        <f t="shared" si="35"/>
        <v>0</v>
      </c>
      <c r="N318" s="560">
        <f t="shared" si="35"/>
        <v>0</v>
      </c>
      <c r="O318" s="560">
        <f t="shared" si="35"/>
        <v>0</v>
      </c>
      <c r="P318" s="560">
        <f t="shared" si="35"/>
        <v>0</v>
      </c>
      <c r="Q318" s="560">
        <f t="shared" si="35"/>
        <v>0</v>
      </c>
      <c r="R318" s="560">
        <f t="shared" si="35"/>
        <v>0</v>
      </c>
      <c r="S318" s="560">
        <f t="shared" si="35"/>
        <v>0</v>
      </c>
      <c r="T318" s="560">
        <f t="shared" ref="T318:AY318" si="36">T245</f>
        <v>0</v>
      </c>
      <c r="U318" s="560">
        <f t="shared" si="36"/>
        <v>0</v>
      </c>
      <c r="V318" s="560">
        <f t="shared" si="36"/>
        <v>0</v>
      </c>
      <c r="W318" s="560">
        <f t="shared" si="36"/>
        <v>0</v>
      </c>
      <c r="X318" s="560">
        <f t="shared" si="36"/>
        <v>0</v>
      </c>
      <c r="Y318" s="560">
        <f t="shared" si="36"/>
        <v>0</v>
      </c>
      <c r="Z318" s="560">
        <f t="shared" si="36"/>
        <v>0</v>
      </c>
      <c r="AA318" s="560">
        <f t="shared" si="36"/>
        <v>0</v>
      </c>
      <c r="AB318" s="560">
        <f t="shared" si="36"/>
        <v>0</v>
      </c>
      <c r="AC318" s="560">
        <f t="shared" si="36"/>
        <v>0</v>
      </c>
      <c r="AD318" s="560">
        <f t="shared" si="36"/>
        <v>0</v>
      </c>
      <c r="AE318" s="560">
        <f t="shared" si="36"/>
        <v>0</v>
      </c>
      <c r="AF318" s="560">
        <f t="shared" si="36"/>
        <v>0</v>
      </c>
      <c r="AG318" s="560">
        <f t="shared" si="36"/>
        <v>0</v>
      </c>
      <c r="AH318" s="560">
        <f t="shared" si="36"/>
        <v>0</v>
      </c>
      <c r="AI318" s="560">
        <f t="shared" si="36"/>
        <v>0</v>
      </c>
      <c r="AJ318" s="560">
        <f t="shared" si="36"/>
        <v>0</v>
      </c>
      <c r="AK318" s="560">
        <f t="shared" si="36"/>
        <v>28140</v>
      </c>
      <c r="AL318" s="560">
        <f t="shared" si="36"/>
        <v>0</v>
      </c>
      <c r="AM318" s="560">
        <f t="shared" si="36"/>
        <v>0</v>
      </c>
      <c r="AN318" s="560">
        <f t="shared" si="36"/>
        <v>0</v>
      </c>
      <c r="AO318" s="560">
        <f t="shared" si="36"/>
        <v>0</v>
      </c>
      <c r="AP318" s="560">
        <f t="shared" si="36"/>
        <v>0</v>
      </c>
      <c r="AQ318" s="560">
        <f t="shared" si="36"/>
        <v>0</v>
      </c>
      <c r="AR318" s="560">
        <f t="shared" si="36"/>
        <v>0</v>
      </c>
      <c r="AS318" s="560">
        <f t="shared" si="36"/>
        <v>0</v>
      </c>
      <c r="AT318" s="560">
        <f t="shared" si="36"/>
        <v>0</v>
      </c>
      <c r="AU318" s="560">
        <f t="shared" si="36"/>
        <v>0</v>
      </c>
      <c r="AV318" s="560">
        <f t="shared" si="36"/>
        <v>0</v>
      </c>
      <c r="AW318" s="560">
        <f t="shared" si="36"/>
        <v>0</v>
      </c>
      <c r="AX318" s="560">
        <f t="shared" si="36"/>
        <v>0</v>
      </c>
      <c r="AY318" s="560">
        <f t="shared" si="36"/>
        <v>0</v>
      </c>
      <c r="AZ318"/>
      <c r="BA318"/>
    </row>
    <row r="319" spans="1:105" s="560" customFormat="1" x14ac:dyDescent="0.3">
      <c r="A319" s="770"/>
      <c r="B319" s="559"/>
      <c r="AZ319"/>
      <c r="BA319"/>
    </row>
    <row r="320" spans="1:105" s="560" customFormat="1" x14ac:dyDescent="0.3">
      <c r="A320" s="770"/>
      <c r="B320" s="559"/>
      <c r="D320" s="245">
        <f>D314+D316+D317+D318</f>
        <v>93297443</v>
      </c>
      <c r="E320" s="560">
        <f t="shared" ref="E320:AY320" si="37">E314+E316+E317+E318</f>
        <v>154491954</v>
      </c>
      <c r="F320" s="560">
        <f t="shared" si="37"/>
        <v>262399492</v>
      </c>
      <c r="G320" s="560">
        <f t="shared" si="37"/>
        <v>921078906</v>
      </c>
      <c r="H320" s="560">
        <f t="shared" si="37"/>
        <v>2908287631</v>
      </c>
      <c r="I320" s="560">
        <f t="shared" si="37"/>
        <v>1407721348</v>
      </c>
      <c r="J320" s="560">
        <f t="shared" si="37"/>
        <v>4567278844</v>
      </c>
      <c r="K320" s="560">
        <f t="shared" si="37"/>
        <v>358740826.46000004</v>
      </c>
      <c r="L320" s="560">
        <f t="shared" si="37"/>
        <v>0</v>
      </c>
      <c r="M320" s="560">
        <f t="shared" si="37"/>
        <v>184255635</v>
      </c>
      <c r="N320" s="560">
        <f t="shared" si="37"/>
        <v>186495081</v>
      </c>
      <c r="O320" s="560">
        <f t="shared" si="37"/>
        <v>16055240</v>
      </c>
      <c r="P320" s="560">
        <f t="shared" si="37"/>
        <v>10123840950</v>
      </c>
      <c r="Q320" s="560">
        <f t="shared" si="37"/>
        <v>35018305</v>
      </c>
      <c r="R320" s="560">
        <f t="shared" si="37"/>
        <v>26500876</v>
      </c>
      <c r="S320" s="560">
        <f t="shared" si="37"/>
        <v>144646796</v>
      </c>
      <c r="T320" s="560">
        <f t="shared" si="37"/>
        <v>22014312</v>
      </c>
      <c r="U320" s="560">
        <f t="shared" si="37"/>
        <v>4461449824.3999996</v>
      </c>
      <c r="V320" s="560">
        <f t="shared" si="37"/>
        <v>131347809.99999999</v>
      </c>
      <c r="W320" s="560">
        <f t="shared" si="37"/>
        <v>16613810.000000002</v>
      </c>
      <c r="X320" s="560">
        <f t="shared" si="37"/>
        <v>119238325.33</v>
      </c>
      <c r="Y320" s="560">
        <f t="shared" si="37"/>
        <v>266622050</v>
      </c>
      <c r="Z320" s="560">
        <f t="shared" si="37"/>
        <v>57250878</v>
      </c>
      <c r="AA320" s="560">
        <f t="shared" si="37"/>
        <v>115590709</v>
      </c>
      <c r="AB320" s="560">
        <f t="shared" si="37"/>
        <v>19421014</v>
      </c>
      <c r="AC320" s="560">
        <f t="shared" si="37"/>
        <v>603770001</v>
      </c>
      <c r="AD320" s="560">
        <f t="shared" si="37"/>
        <v>77434568</v>
      </c>
      <c r="AE320" s="560">
        <f t="shared" si="37"/>
        <v>37753262</v>
      </c>
      <c r="AF320" s="560">
        <f t="shared" si="37"/>
        <v>1337393713</v>
      </c>
      <c r="AG320" s="560">
        <f t="shared" si="37"/>
        <v>2052591686</v>
      </c>
      <c r="AH320" s="560">
        <f t="shared" si="37"/>
        <v>576298951</v>
      </c>
      <c r="AI320" s="560">
        <f t="shared" si="37"/>
        <v>348172350</v>
      </c>
      <c r="AJ320" s="560">
        <f t="shared" si="37"/>
        <v>31540709</v>
      </c>
      <c r="AK320" s="560">
        <f t="shared" si="37"/>
        <v>17454632.186999999</v>
      </c>
      <c r="AL320" s="560">
        <f t="shared" si="37"/>
        <v>519140176</v>
      </c>
      <c r="AM320" s="560">
        <f t="shared" si="37"/>
        <v>91709661</v>
      </c>
      <c r="AN320" s="560">
        <f t="shared" si="37"/>
        <v>183753984</v>
      </c>
      <c r="AO320" s="560">
        <f t="shared" si="37"/>
        <v>43940432</v>
      </c>
      <c r="AP320" s="560">
        <f t="shared" si="37"/>
        <v>41094802</v>
      </c>
      <c r="AQ320" s="560">
        <f t="shared" si="37"/>
        <v>57861861</v>
      </c>
      <c r="AR320" s="560">
        <f t="shared" si="37"/>
        <v>7748998</v>
      </c>
      <c r="AS320" s="560">
        <f t="shared" si="37"/>
        <v>0</v>
      </c>
      <c r="AT320" s="560">
        <f t="shared" si="37"/>
        <v>301042416</v>
      </c>
      <c r="AU320" s="560">
        <f t="shared" si="37"/>
        <v>34616993</v>
      </c>
      <c r="AV320" s="560">
        <f t="shared" si="37"/>
        <v>0</v>
      </c>
      <c r="AW320" s="560">
        <f t="shared" si="37"/>
        <v>1246715</v>
      </c>
      <c r="AX320" s="560">
        <f t="shared" si="37"/>
        <v>67523001</v>
      </c>
      <c r="AY320" s="560">
        <f t="shared" si="37"/>
        <v>160161095</v>
      </c>
      <c r="AZ320"/>
      <c r="BA320"/>
    </row>
    <row r="321" spans="1:105" s="560" customFormat="1" x14ac:dyDescent="0.3">
      <c r="A321" s="770"/>
      <c r="B321" s="559"/>
      <c r="AZ321"/>
      <c r="BA321"/>
    </row>
    <row r="322" spans="1:105" s="560" customFormat="1" x14ac:dyDescent="0.3">
      <c r="A322" s="770"/>
      <c r="B322" s="559"/>
      <c r="D322" s="775" t="e">
        <f>'Unit Data from Audit Worksheet'!$E$288</f>
        <v>#N/A</v>
      </c>
      <c r="E322" s="775" t="e">
        <f>'Unit Data from Audit Worksheet'!$E$288</f>
        <v>#N/A</v>
      </c>
      <c r="F322" s="775" t="e">
        <f>'Unit Data from Audit Worksheet'!$E$288</f>
        <v>#N/A</v>
      </c>
      <c r="G322" s="775" t="e">
        <f>'Unit Data from Audit Worksheet'!$E$288</f>
        <v>#N/A</v>
      </c>
      <c r="H322" s="775" t="e">
        <f>'Unit Data from Audit Worksheet'!$E$288</f>
        <v>#N/A</v>
      </c>
      <c r="I322" s="775" t="e">
        <f>'Unit Data from Audit Worksheet'!$E$288</f>
        <v>#N/A</v>
      </c>
      <c r="J322" s="775" t="e">
        <f>'Unit Data from Audit Worksheet'!$E$288</f>
        <v>#N/A</v>
      </c>
      <c r="K322" s="775" t="e">
        <f>'Unit Data from Audit Worksheet'!$E$288</f>
        <v>#N/A</v>
      </c>
      <c r="L322" s="775" t="e">
        <f>'Unit Data from Audit Worksheet'!$E$288</f>
        <v>#N/A</v>
      </c>
      <c r="M322" s="775" t="e">
        <f>'Unit Data from Audit Worksheet'!$E$288</f>
        <v>#N/A</v>
      </c>
      <c r="N322" s="775" t="e">
        <f>'Unit Data from Audit Worksheet'!$E$288</f>
        <v>#N/A</v>
      </c>
      <c r="O322" s="775" t="e">
        <f>'Unit Data from Audit Worksheet'!$E$288</f>
        <v>#N/A</v>
      </c>
      <c r="P322" s="775" t="e">
        <f>'Unit Data from Audit Worksheet'!$E$288</f>
        <v>#N/A</v>
      </c>
      <c r="Q322" s="775" t="e">
        <f>'Unit Data from Audit Worksheet'!$E$288</f>
        <v>#N/A</v>
      </c>
      <c r="R322" s="775" t="e">
        <f>'Unit Data from Audit Worksheet'!$E$288</f>
        <v>#N/A</v>
      </c>
      <c r="S322" s="775" t="e">
        <f>'Unit Data from Audit Worksheet'!$E$288</f>
        <v>#N/A</v>
      </c>
      <c r="T322" s="775" t="e">
        <f>'Unit Data from Audit Worksheet'!$E$288</f>
        <v>#N/A</v>
      </c>
      <c r="U322" s="775" t="e">
        <f>'Unit Data from Audit Worksheet'!$E$288</f>
        <v>#N/A</v>
      </c>
      <c r="V322" s="775" t="e">
        <f>'Unit Data from Audit Worksheet'!$E$288</f>
        <v>#N/A</v>
      </c>
      <c r="W322" s="775" t="e">
        <f>'Unit Data from Audit Worksheet'!$E$288</f>
        <v>#N/A</v>
      </c>
      <c r="X322" s="775" t="e">
        <f>'Unit Data from Audit Worksheet'!$E$288</f>
        <v>#N/A</v>
      </c>
      <c r="Y322" s="775" t="e">
        <f>'Unit Data from Audit Worksheet'!$E$288</f>
        <v>#N/A</v>
      </c>
      <c r="Z322" s="775" t="e">
        <f>'Unit Data from Audit Worksheet'!$E$288</f>
        <v>#N/A</v>
      </c>
      <c r="AA322" s="775" t="e">
        <f>'Unit Data from Audit Worksheet'!$E$288</f>
        <v>#N/A</v>
      </c>
      <c r="AB322" s="775" t="e">
        <f>'Unit Data from Audit Worksheet'!$E$288</f>
        <v>#N/A</v>
      </c>
      <c r="AC322" s="775" t="e">
        <f>'Unit Data from Audit Worksheet'!$E$288</f>
        <v>#N/A</v>
      </c>
      <c r="AD322" s="775" t="e">
        <f>'Unit Data from Audit Worksheet'!$E$288</f>
        <v>#N/A</v>
      </c>
      <c r="AE322" s="775" t="e">
        <f>'Unit Data from Audit Worksheet'!$E$288</f>
        <v>#N/A</v>
      </c>
      <c r="AF322" s="775" t="e">
        <f>'Unit Data from Audit Worksheet'!$E$288</f>
        <v>#N/A</v>
      </c>
      <c r="AG322" s="775" t="e">
        <f>'Unit Data from Audit Worksheet'!$E$288</f>
        <v>#N/A</v>
      </c>
      <c r="AH322" s="775" t="e">
        <f>'Unit Data from Audit Worksheet'!$E$288</f>
        <v>#N/A</v>
      </c>
      <c r="AI322" s="775" t="e">
        <f>'Unit Data from Audit Worksheet'!$E$288</f>
        <v>#N/A</v>
      </c>
      <c r="AJ322" s="775" t="e">
        <f>'Unit Data from Audit Worksheet'!$E$288</f>
        <v>#N/A</v>
      </c>
      <c r="AK322" s="775" t="e">
        <f>'Unit Data from Audit Worksheet'!$E$288</f>
        <v>#N/A</v>
      </c>
      <c r="AL322" s="775" t="e">
        <f>'Unit Data from Audit Worksheet'!$E$288</f>
        <v>#N/A</v>
      </c>
      <c r="AM322" s="775" t="e">
        <f>'Unit Data from Audit Worksheet'!$E$288</f>
        <v>#N/A</v>
      </c>
      <c r="AN322" s="775" t="e">
        <f>'Unit Data from Audit Worksheet'!$E$288</f>
        <v>#N/A</v>
      </c>
      <c r="AO322" s="775" t="e">
        <f>'Unit Data from Audit Worksheet'!$E$288</f>
        <v>#N/A</v>
      </c>
      <c r="AP322" s="775" t="e">
        <f>'Unit Data from Audit Worksheet'!$E$288</f>
        <v>#N/A</v>
      </c>
      <c r="AQ322" s="775" t="e">
        <f>'Unit Data from Audit Worksheet'!$E$288</f>
        <v>#N/A</v>
      </c>
      <c r="AR322" s="775" t="e">
        <f>'Unit Data from Audit Worksheet'!$E$288</f>
        <v>#N/A</v>
      </c>
      <c r="AS322" s="775" t="e">
        <f>'Unit Data from Audit Worksheet'!$E$288</f>
        <v>#N/A</v>
      </c>
      <c r="AT322" s="775" t="e">
        <f>'Unit Data from Audit Worksheet'!$E$288</f>
        <v>#N/A</v>
      </c>
      <c r="AU322" s="775" t="e">
        <f>'Unit Data from Audit Worksheet'!$E$288</f>
        <v>#N/A</v>
      </c>
      <c r="AV322" s="775" t="e">
        <f>'Unit Data from Audit Worksheet'!$E$288</f>
        <v>#N/A</v>
      </c>
      <c r="AW322" s="775" t="e">
        <f>'Unit Data from Audit Worksheet'!$E$288</f>
        <v>#N/A</v>
      </c>
      <c r="AX322" s="775" t="e">
        <f>'Unit Data from Audit Worksheet'!$E$288</f>
        <v>#N/A</v>
      </c>
      <c r="AY322" s="775" t="e">
        <f>'Unit Data from Audit Worksheet'!$E$288</f>
        <v>#N/A</v>
      </c>
      <c r="AZ322"/>
      <c r="BA322"/>
    </row>
    <row r="323" spans="1:105" s="560" customFormat="1" x14ac:dyDescent="0.3">
      <c r="A323" s="770"/>
      <c r="B323" s="559"/>
      <c r="AZ323"/>
      <c r="BA323"/>
    </row>
    <row r="324" spans="1:105" s="560" customFormat="1" x14ac:dyDescent="0.3">
      <c r="A324" s="770"/>
      <c r="B324" s="559"/>
      <c r="D324" s="776" t="e">
        <f>D320-D322</f>
        <v>#N/A</v>
      </c>
      <c r="E324" s="776" t="e">
        <f t="shared" ref="E324:AY324" si="38">E320-E322</f>
        <v>#N/A</v>
      </c>
      <c r="F324" s="776" t="e">
        <f t="shared" si="38"/>
        <v>#N/A</v>
      </c>
      <c r="G324" s="776" t="e">
        <f t="shared" si="38"/>
        <v>#N/A</v>
      </c>
      <c r="H324" s="776" t="e">
        <f t="shared" si="38"/>
        <v>#N/A</v>
      </c>
      <c r="I324" s="776" t="e">
        <f t="shared" si="38"/>
        <v>#N/A</v>
      </c>
      <c r="J324" s="776" t="e">
        <f t="shared" si="38"/>
        <v>#N/A</v>
      </c>
      <c r="K324" s="776" t="e">
        <f t="shared" si="38"/>
        <v>#N/A</v>
      </c>
      <c r="L324" s="776" t="e">
        <f t="shared" si="38"/>
        <v>#N/A</v>
      </c>
      <c r="M324" s="776" t="e">
        <f t="shared" si="38"/>
        <v>#N/A</v>
      </c>
      <c r="N324" s="776" t="e">
        <f t="shared" si="38"/>
        <v>#N/A</v>
      </c>
      <c r="O324" s="776" t="e">
        <f t="shared" si="38"/>
        <v>#N/A</v>
      </c>
      <c r="P324" s="776" t="e">
        <f t="shared" si="38"/>
        <v>#N/A</v>
      </c>
      <c r="Q324" s="776" t="e">
        <f t="shared" si="38"/>
        <v>#N/A</v>
      </c>
      <c r="R324" s="776" t="e">
        <f t="shared" si="38"/>
        <v>#N/A</v>
      </c>
      <c r="S324" s="776" t="e">
        <f t="shared" si="38"/>
        <v>#N/A</v>
      </c>
      <c r="T324" s="776" t="e">
        <f t="shared" si="38"/>
        <v>#N/A</v>
      </c>
      <c r="U324" s="776" t="e">
        <f t="shared" si="38"/>
        <v>#N/A</v>
      </c>
      <c r="V324" s="776" t="e">
        <f t="shared" si="38"/>
        <v>#N/A</v>
      </c>
      <c r="W324" s="776" t="e">
        <f t="shared" si="38"/>
        <v>#N/A</v>
      </c>
      <c r="X324" s="776" t="e">
        <f t="shared" si="38"/>
        <v>#N/A</v>
      </c>
      <c r="Y324" s="776" t="e">
        <f t="shared" si="38"/>
        <v>#N/A</v>
      </c>
      <c r="Z324" s="776" t="e">
        <f t="shared" si="38"/>
        <v>#N/A</v>
      </c>
      <c r="AA324" s="776" t="e">
        <f t="shared" si="38"/>
        <v>#N/A</v>
      </c>
      <c r="AB324" s="776" t="e">
        <f t="shared" si="38"/>
        <v>#N/A</v>
      </c>
      <c r="AC324" s="776" t="e">
        <f t="shared" si="38"/>
        <v>#N/A</v>
      </c>
      <c r="AD324" s="776" t="e">
        <f t="shared" si="38"/>
        <v>#N/A</v>
      </c>
      <c r="AE324" s="776" t="e">
        <f t="shared" si="38"/>
        <v>#N/A</v>
      </c>
      <c r="AF324" s="776" t="e">
        <f t="shared" si="38"/>
        <v>#N/A</v>
      </c>
      <c r="AG324" s="776" t="e">
        <f t="shared" si="38"/>
        <v>#N/A</v>
      </c>
      <c r="AH324" s="776" t="e">
        <f t="shared" si="38"/>
        <v>#N/A</v>
      </c>
      <c r="AI324" s="776" t="e">
        <f t="shared" si="38"/>
        <v>#N/A</v>
      </c>
      <c r="AJ324" s="776" t="e">
        <f t="shared" si="38"/>
        <v>#N/A</v>
      </c>
      <c r="AK324" s="776" t="e">
        <f t="shared" si="38"/>
        <v>#N/A</v>
      </c>
      <c r="AL324" s="776" t="e">
        <f t="shared" si="38"/>
        <v>#N/A</v>
      </c>
      <c r="AM324" s="776" t="e">
        <f t="shared" si="38"/>
        <v>#N/A</v>
      </c>
      <c r="AN324" s="776" t="e">
        <f t="shared" si="38"/>
        <v>#N/A</v>
      </c>
      <c r="AO324" s="776" t="e">
        <f t="shared" si="38"/>
        <v>#N/A</v>
      </c>
      <c r="AP324" s="776" t="e">
        <f t="shared" si="38"/>
        <v>#N/A</v>
      </c>
      <c r="AQ324" s="776" t="e">
        <f t="shared" si="38"/>
        <v>#N/A</v>
      </c>
      <c r="AR324" s="776" t="e">
        <f t="shared" si="38"/>
        <v>#N/A</v>
      </c>
      <c r="AS324" s="776" t="e">
        <f t="shared" si="38"/>
        <v>#N/A</v>
      </c>
      <c r="AT324" s="776" t="e">
        <f t="shared" si="38"/>
        <v>#N/A</v>
      </c>
      <c r="AU324" s="776" t="e">
        <f t="shared" si="38"/>
        <v>#N/A</v>
      </c>
      <c r="AV324" s="776" t="e">
        <f t="shared" si="38"/>
        <v>#N/A</v>
      </c>
      <c r="AW324" s="776" t="e">
        <f t="shared" si="38"/>
        <v>#N/A</v>
      </c>
      <c r="AX324" s="776" t="e">
        <f t="shared" si="38"/>
        <v>#N/A</v>
      </c>
      <c r="AY324" s="776" t="e">
        <f t="shared" si="38"/>
        <v>#N/A</v>
      </c>
      <c r="AZ324"/>
      <c r="BA324"/>
    </row>
    <row r="325" spans="1:105" s="560" customFormat="1" x14ac:dyDescent="0.3">
      <c r="A325" s="770"/>
      <c r="B325" s="768"/>
      <c r="C325" s="628"/>
      <c r="D325" s="775"/>
      <c r="E325" s="775"/>
      <c r="F325" s="775"/>
      <c r="G325" s="775"/>
      <c r="H325" s="775"/>
      <c r="I325" s="775"/>
      <c r="J325" s="775"/>
      <c r="K325" s="775"/>
      <c r="L325" s="775"/>
      <c r="M325" s="775"/>
      <c r="N325" s="775"/>
      <c r="O325" s="775"/>
      <c r="P325" s="775"/>
      <c r="Q325" s="775"/>
      <c r="R325" s="775"/>
      <c r="S325" s="775"/>
      <c r="T325" s="775"/>
      <c r="U325" s="775"/>
      <c r="V325" s="775"/>
      <c r="W325" s="775"/>
      <c r="X325" s="775"/>
      <c r="Y325" s="775"/>
      <c r="Z325" s="775"/>
      <c r="AA325" s="775"/>
      <c r="AB325" s="775"/>
      <c r="AC325" s="775"/>
      <c r="AD325" s="775"/>
      <c r="AE325" s="775"/>
      <c r="AF325" s="775"/>
      <c r="AG325" s="775"/>
      <c r="AH325" s="775"/>
      <c r="AI325" s="775"/>
      <c r="AJ325" s="775"/>
      <c r="AK325" s="775"/>
      <c r="AL325" s="775"/>
      <c r="AM325" s="775"/>
      <c r="AN325" s="775"/>
      <c r="AO325" s="775"/>
      <c r="AP325" s="775"/>
      <c r="AQ325" s="775"/>
      <c r="AR325" s="775"/>
      <c r="AS325" s="775"/>
      <c r="AT325" s="775"/>
      <c r="AU325" s="775"/>
      <c r="AV325" s="775"/>
      <c r="AW325" s="775"/>
      <c r="AX325" s="775"/>
      <c r="AY325" s="775"/>
      <c r="AZ325"/>
      <c r="BA325"/>
    </row>
    <row r="326" spans="1:105" s="560" customFormat="1" x14ac:dyDescent="0.3">
      <c r="A326" s="770"/>
      <c r="B326" s="559"/>
      <c r="AZ326"/>
      <c r="BA326"/>
    </row>
    <row r="327" spans="1:105" s="560" customFormat="1" x14ac:dyDescent="0.3">
      <c r="A327" s="770"/>
      <c r="B327" s="559"/>
      <c r="D327" s="801">
        <v>96085419.010000005</v>
      </c>
      <c r="E327" s="801">
        <v>163637212.00999999</v>
      </c>
      <c r="F327" s="801">
        <v>275268610.00999999</v>
      </c>
      <c r="G327" s="801">
        <v>980759670.00999999</v>
      </c>
      <c r="H327" s="801">
        <v>2998414945.0100002</v>
      </c>
      <c r="I327" s="801">
        <v>1460267421.01</v>
      </c>
      <c r="J327" s="801">
        <v>4668611273.0100002</v>
      </c>
      <c r="K327" s="801">
        <v>388687744.47000003</v>
      </c>
      <c r="L327" s="560" t="s">
        <v>1681</v>
      </c>
      <c r="M327" s="801">
        <v>198314042.00999999</v>
      </c>
      <c r="N327" s="801">
        <v>195403522.00999999</v>
      </c>
      <c r="O327" s="801">
        <v>16759682.01</v>
      </c>
      <c r="P327" s="801">
        <v>10368969568.1</v>
      </c>
      <c r="Q327" s="801">
        <v>37495356.009999998</v>
      </c>
      <c r="R327" s="801">
        <v>28773245.010000002</v>
      </c>
      <c r="S327" s="801">
        <v>153523169.00999999</v>
      </c>
      <c r="T327" s="801">
        <v>23567692.010000002</v>
      </c>
      <c r="U327" s="801">
        <v>4586850044.4799995</v>
      </c>
      <c r="V327" s="801">
        <v>137084900.00999999</v>
      </c>
      <c r="W327" s="801">
        <v>18017254.010000002</v>
      </c>
      <c r="X327" s="801">
        <v>124721662.34</v>
      </c>
      <c r="Y327" s="801">
        <v>272930433.00999999</v>
      </c>
      <c r="Z327" s="801">
        <v>60002573.009999998</v>
      </c>
      <c r="AA327" s="801">
        <v>117951254.01000001</v>
      </c>
      <c r="AB327" s="801">
        <v>21336747.010000002</v>
      </c>
      <c r="AC327" s="801">
        <v>615205605.00999999</v>
      </c>
      <c r="AD327" s="801">
        <v>81948536.010000005</v>
      </c>
      <c r="AE327" s="801">
        <v>39296769.009999998</v>
      </c>
      <c r="AF327" s="801">
        <v>1399602572.01</v>
      </c>
      <c r="AG327" s="801">
        <v>2095065087.01</v>
      </c>
      <c r="AH327" s="801">
        <v>595110845.00999999</v>
      </c>
      <c r="AI327" s="801">
        <v>364980391.00999999</v>
      </c>
      <c r="AJ327" s="801">
        <v>32719965.010000002</v>
      </c>
      <c r="AK327" s="801">
        <v>19311069.199999999</v>
      </c>
      <c r="AL327" s="801">
        <v>551640407.00999999</v>
      </c>
      <c r="AM327" s="801">
        <v>95947351.010000005</v>
      </c>
      <c r="AN327" s="801">
        <v>194417847.00999999</v>
      </c>
      <c r="AO327" s="801">
        <v>47326099.009999998</v>
      </c>
      <c r="AP327" s="801">
        <v>44449025.009999998</v>
      </c>
      <c r="AQ327" s="801">
        <v>59945197.009999998</v>
      </c>
      <c r="AR327" s="801">
        <v>8741806.0099999998</v>
      </c>
      <c r="AS327" s="560" t="s">
        <v>1682</v>
      </c>
      <c r="AT327" s="801">
        <v>319094837.00999999</v>
      </c>
      <c r="AU327" s="801">
        <v>35208713.009999998</v>
      </c>
      <c r="AV327" s="560" t="s">
        <v>1683</v>
      </c>
      <c r="AW327" s="801">
        <v>1885236.01</v>
      </c>
      <c r="AX327" s="801">
        <v>72133117.010000005</v>
      </c>
      <c r="AY327" s="801">
        <v>168615944.00999999</v>
      </c>
      <c r="AZ327"/>
      <c r="BA327"/>
    </row>
    <row r="328" spans="1:105" s="560" customFormat="1" x14ac:dyDescent="0.3">
      <c r="A328" s="770"/>
      <c r="B328" s="559"/>
      <c r="D328" s="801">
        <f>D264-D327</f>
        <v>0</v>
      </c>
      <c r="E328" s="801">
        <f t="shared" ref="E328:AY328" si="39">E264-E327</f>
        <v>0</v>
      </c>
      <c r="F328" s="801">
        <f t="shared" si="39"/>
        <v>0</v>
      </c>
      <c r="G328" s="801">
        <f t="shared" si="39"/>
        <v>0</v>
      </c>
      <c r="H328" s="801">
        <f t="shared" si="39"/>
        <v>0</v>
      </c>
      <c r="I328" s="801">
        <f t="shared" si="39"/>
        <v>0</v>
      </c>
      <c r="J328" s="801">
        <f t="shared" si="39"/>
        <v>0</v>
      </c>
      <c r="K328" s="801">
        <f t="shared" si="39"/>
        <v>0</v>
      </c>
      <c r="M328" s="801">
        <f t="shared" si="39"/>
        <v>0</v>
      </c>
      <c r="N328" s="801">
        <f t="shared" si="39"/>
        <v>0</v>
      </c>
      <c r="O328" s="801">
        <f t="shared" si="39"/>
        <v>0</v>
      </c>
      <c r="P328" s="801">
        <f t="shared" si="39"/>
        <v>0</v>
      </c>
      <c r="Q328" s="801">
        <f t="shared" si="39"/>
        <v>0</v>
      </c>
      <c r="R328" s="801">
        <f t="shared" si="39"/>
        <v>0</v>
      </c>
      <c r="S328" s="801">
        <f t="shared" si="39"/>
        <v>0</v>
      </c>
      <c r="T328" s="801">
        <f t="shared" si="39"/>
        <v>0</v>
      </c>
      <c r="U328" s="801">
        <f t="shared" si="39"/>
        <v>0</v>
      </c>
      <c r="V328" s="801">
        <f t="shared" si="39"/>
        <v>0</v>
      </c>
      <c r="W328" s="801">
        <f t="shared" si="39"/>
        <v>0</v>
      </c>
      <c r="X328" s="801">
        <f t="shared" si="39"/>
        <v>0</v>
      </c>
      <c r="Y328" s="801">
        <f t="shared" si="39"/>
        <v>0</v>
      </c>
      <c r="Z328" s="801">
        <f t="shared" si="39"/>
        <v>0</v>
      </c>
      <c r="AA328" s="801">
        <f t="shared" si="39"/>
        <v>0</v>
      </c>
      <c r="AB328" s="801">
        <f t="shared" si="39"/>
        <v>0</v>
      </c>
      <c r="AC328" s="801">
        <f t="shared" si="39"/>
        <v>0</v>
      </c>
      <c r="AD328" s="801">
        <f t="shared" si="39"/>
        <v>0</v>
      </c>
      <c r="AE328" s="801">
        <f t="shared" si="39"/>
        <v>0</v>
      </c>
      <c r="AF328" s="801">
        <f t="shared" si="39"/>
        <v>0</v>
      </c>
      <c r="AG328" s="801">
        <f t="shared" si="39"/>
        <v>0</v>
      </c>
      <c r="AH328" s="801">
        <f t="shared" si="39"/>
        <v>0</v>
      </c>
      <c r="AI328" s="801">
        <f t="shared" si="39"/>
        <v>0</v>
      </c>
      <c r="AJ328" s="801">
        <f t="shared" si="39"/>
        <v>0</v>
      </c>
      <c r="AK328" s="801">
        <f t="shared" si="39"/>
        <v>-2.9999986290931702E-3</v>
      </c>
      <c r="AL328" s="801">
        <f t="shared" si="39"/>
        <v>0</v>
      </c>
      <c r="AM328" s="801">
        <f t="shared" si="39"/>
        <v>0</v>
      </c>
      <c r="AN328" s="801">
        <f t="shared" si="39"/>
        <v>0</v>
      </c>
      <c r="AO328" s="801">
        <f t="shared" si="39"/>
        <v>0</v>
      </c>
      <c r="AP328" s="801">
        <f t="shared" si="39"/>
        <v>0</v>
      </c>
      <c r="AQ328" s="801">
        <f t="shared" si="39"/>
        <v>0</v>
      </c>
      <c r="AR328" s="801">
        <f t="shared" si="39"/>
        <v>0</v>
      </c>
      <c r="AT328" s="801">
        <f t="shared" si="39"/>
        <v>0</v>
      </c>
      <c r="AU328" s="801">
        <f t="shared" si="39"/>
        <v>0</v>
      </c>
      <c r="AW328" s="801">
        <f t="shared" si="39"/>
        <v>0</v>
      </c>
      <c r="AX328" s="801">
        <f t="shared" si="39"/>
        <v>0</v>
      </c>
      <c r="AY328" s="801">
        <f t="shared" si="39"/>
        <v>0</v>
      </c>
      <c r="AZ328"/>
      <c r="BA328"/>
    </row>
    <row r="329" spans="1:105" s="560" customFormat="1" x14ac:dyDescent="0.3">
      <c r="A329" s="770"/>
      <c r="B329" s="559"/>
      <c r="L329" s="801" t="e">
        <f>L264-L327</f>
        <v>#VALUE!</v>
      </c>
      <c r="AS329" s="801" t="e">
        <f>AS264-AS327</f>
        <v>#VALUE!</v>
      </c>
      <c r="AV329" s="801" t="e">
        <f>AV264-AV327</f>
        <v>#VALUE!</v>
      </c>
      <c r="AZ329"/>
      <c r="BA329"/>
      <c r="BB329" s="639"/>
      <c r="BC329" s="639"/>
      <c r="BD329" s="639"/>
      <c r="BE329" s="639"/>
      <c r="BF329" s="639"/>
      <c r="BG329" s="639"/>
      <c r="BH329" s="639"/>
      <c r="BI329" s="639"/>
      <c r="BJ329" s="639"/>
      <c r="BK329" s="639"/>
      <c r="BL329" s="639"/>
      <c r="BM329" s="639"/>
      <c r="BN329" s="639"/>
      <c r="BO329" s="639"/>
      <c r="BP329" s="639"/>
      <c r="BQ329" s="639"/>
      <c r="BR329" s="639"/>
      <c r="BS329" s="639"/>
      <c r="BT329" s="639"/>
      <c r="BU329" s="639"/>
      <c r="BV329" s="639"/>
      <c r="BW329" s="639"/>
      <c r="BX329" s="639"/>
      <c r="BY329" s="639"/>
      <c r="BZ329" s="639"/>
      <c r="CA329" s="639"/>
      <c r="CB329" s="639"/>
      <c r="CC329" s="639"/>
      <c r="CD329" s="639"/>
      <c r="CE329" s="639"/>
      <c r="CF329" s="639"/>
      <c r="CG329" s="639"/>
      <c r="CH329" s="639"/>
      <c r="CI329" s="639"/>
      <c r="CJ329" s="639"/>
      <c r="CK329" s="639"/>
      <c r="CL329" s="639"/>
      <c r="CM329" s="639"/>
      <c r="CN329" s="639"/>
      <c r="CO329" s="639"/>
      <c r="CP329" s="639"/>
      <c r="CQ329" s="639"/>
      <c r="CR329" s="639"/>
      <c r="CS329" s="639"/>
      <c r="CT329" s="639"/>
      <c r="CU329" s="639"/>
      <c r="CV329" s="639"/>
      <c r="CW329" s="639"/>
      <c r="CX329" s="639"/>
      <c r="CY329" s="639"/>
      <c r="CZ329" s="639"/>
      <c r="DA329" s="639"/>
    </row>
    <row r="330" spans="1:105" s="560" customFormat="1" x14ac:dyDescent="0.3">
      <c r="A330" s="770"/>
      <c r="B330" s="559"/>
      <c r="AZ330"/>
      <c r="BA330"/>
    </row>
    <row r="331" spans="1:105" s="560" customFormat="1" x14ac:dyDescent="0.3">
      <c r="A331" s="770"/>
      <c r="B331" s="559"/>
      <c r="AZ331"/>
      <c r="BA331"/>
    </row>
    <row r="332" spans="1:105" s="560" customFormat="1" x14ac:dyDescent="0.3">
      <c r="A332" s="770"/>
      <c r="B332" s="559"/>
      <c r="AZ332"/>
      <c r="BA332"/>
    </row>
    <row r="333" spans="1:105" s="560" customFormat="1" x14ac:dyDescent="0.3">
      <c r="A333" s="770"/>
      <c r="B333" s="559"/>
      <c r="AZ333"/>
      <c r="BA333"/>
    </row>
    <row r="334" spans="1:105" s="560" customFormat="1" x14ac:dyDescent="0.3">
      <c r="A334" s="770"/>
      <c r="B334" s="559"/>
      <c r="AZ334"/>
      <c r="BA334"/>
    </row>
    <row r="335" spans="1:105" s="560" customFormat="1" x14ac:dyDescent="0.3">
      <c r="A335" s="770"/>
      <c r="B335" s="559"/>
      <c r="AZ335"/>
      <c r="BA335"/>
    </row>
    <row r="336" spans="1:105" s="560" customFormat="1" x14ac:dyDescent="0.3">
      <c r="A336" s="770"/>
      <c r="B336" s="559"/>
      <c r="AZ336"/>
      <c r="BA336"/>
    </row>
    <row r="337" spans="1:105" s="560" customFormat="1" x14ac:dyDescent="0.3">
      <c r="A337" s="770"/>
      <c r="B337" s="559"/>
      <c r="AZ337"/>
      <c r="BA337"/>
    </row>
    <row r="338" spans="1:105" s="560" customFormat="1" x14ac:dyDescent="0.3">
      <c r="A338" s="770"/>
      <c r="B338" s="559"/>
      <c r="AZ338"/>
      <c r="BA338"/>
    </row>
    <row r="339" spans="1:105" s="560" customFormat="1" x14ac:dyDescent="0.3">
      <c r="A339" s="770"/>
      <c r="B339" s="559"/>
      <c r="AZ339"/>
      <c r="BA339"/>
    </row>
    <row r="340" spans="1:105" s="560" customFormat="1" x14ac:dyDescent="0.3">
      <c r="A340" s="770"/>
      <c r="B340" s="559"/>
      <c r="AZ340"/>
      <c r="BA340"/>
    </row>
    <row r="341" spans="1:105" x14ac:dyDescent="0.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c r="AB341" s="173"/>
      <c r="AC341" s="173"/>
      <c r="AD341" s="173"/>
      <c r="AE341" s="173"/>
      <c r="AF341" s="173"/>
      <c r="AG341" s="173"/>
      <c r="AH341" s="173"/>
      <c r="AI341" s="173"/>
      <c r="AJ341" s="173"/>
      <c r="AK341" s="173"/>
      <c r="AL341" s="173"/>
      <c r="AM341" s="173"/>
      <c r="AN341" s="173"/>
      <c r="AO341" s="173"/>
      <c r="AP341" s="173"/>
      <c r="AQ341" s="173"/>
      <c r="AR341" s="173"/>
      <c r="AS341" s="173"/>
      <c r="AT341" s="173"/>
      <c r="AU341" s="173"/>
      <c r="AV341" s="173"/>
      <c r="AW341" s="173"/>
      <c r="AX341" s="173"/>
      <c r="AY341" s="173"/>
      <c r="BB341" s="173"/>
      <c r="BC341" s="173"/>
      <c r="BD341" s="173"/>
      <c r="BE341" s="173"/>
      <c r="BF341" s="173"/>
      <c r="BG341" s="173"/>
      <c r="BH341" s="173"/>
      <c r="BI341" s="173"/>
      <c r="BJ341" s="173"/>
      <c r="BK341" s="173"/>
      <c r="BL341" s="173"/>
      <c r="BM341" s="173"/>
      <c r="BN341" s="173"/>
      <c r="BO341" s="173"/>
      <c r="BP341" s="173"/>
      <c r="BQ341" s="173"/>
      <c r="BR341" s="173"/>
      <c r="BS341" s="173"/>
      <c r="BT341" s="173"/>
      <c r="BU341" s="173"/>
      <c r="BV341" s="173"/>
      <c r="BW341" s="173"/>
      <c r="BX341" s="173"/>
      <c r="BY341" s="173"/>
      <c r="BZ341" s="173"/>
      <c r="CA341" s="173"/>
      <c r="CB341" s="173"/>
      <c r="CC341" s="173"/>
      <c r="CD341" s="173"/>
      <c r="CE341" s="173"/>
      <c r="CF341" s="173"/>
      <c r="CG341" s="173"/>
      <c r="CH341" s="173"/>
      <c r="CI341" s="173"/>
      <c r="CJ341" s="173"/>
      <c r="CK341" s="173"/>
      <c r="CL341" s="173"/>
      <c r="CM341" s="173"/>
      <c r="CN341" s="173"/>
      <c r="CO341" s="173"/>
      <c r="CP341" s="173"/>
      <c r="CQ341" s="173"/>
      <c r="CR341" s="173"/>
      <c r="CS341" s="173"/>
      <c r="CT341" s="173"/>
      <c r="CU341" s="173"/>
      <c r="CV341" s="173"/>
      <c r="CW341" s="173"/>
      <c r="CX341" s="173"/>
      <c r="CY341" s="173"/>
      <c r="CZ341" s="173"/>
      <c r="DA341" s="173"/>
    </row>
  </sheetData>
  <sheetProtection algorithmName="SHA-512" hashValue="ex+dCdxWQevY4iPhaA1Ghrd+VJ8Dx8nWHBLuR3sXKuAdh4hKdGUYStrXE2jlsZJ/NRdDW0qQ4QMDq1a3AsDKhg==" saltValue="5dHgCfiei0UKSW5QBPtNfw=="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BJ313"/>
  <sheetViews>
    <sheetView workbookViewId="0">
      <pane xSplit="2" ySplit="2" topLeftCell="R3" activePane="bottomRight" state="frozen"/>
      <selection pane="topRight" activeCell="C1" sqref="C1"/>
      <selection pane="bottomLeft" activeCell="A3" sqref="A3"/>
      <selection pane="bottomRight" activeCell="B1" sqref="B1"/>
    </sheetView>
  </sheetViews>
  <sheetFormatPr defaultRowHeight="14.4" x14ac:dyDescent="0.3"/>
  <cols>
    <col min="1" max="1" width="19.77734375" style="754" customWidth="1"/>
    <col min="2" max="2" width="48.88671875" customWidth="1"/>
    <col min="3" max="3" width="50.5546875" customWidth="1"/>
    <col min="4" max="97" width="20.6640625" customWidth="1"/>
  </cols>
  <sheetData>
    <row r="1" spans="1:51" x14ac:dyDescent="0.3">
      <c r="A1" s="754" t="s">
        <v>327</v>
      </c>
      <c r="B1" t="s">
        <v>327</v>
      </c>
      <c r="C1" t="s">
        <v>327</v>
      </c>
      <c r="D1" t="s">
        <v>1051</v>
      </c>
      <c r="E1" t="s">
        <v>1052</v>
      </c>
      <c r="F1" t="s">
        <v>1053</v>
      </c>
      <c r="G1" t="s">
        <v>1054</v>
      </c>
      <c r="H1" t="s">
        <v>1055</v>
      </c>
      <c r="I1" t="s">
        <v>1056</v>
      </c>
      <c r="J1" t="s">
        <v>1057</v>
      </c>
      <c r="K1" t="s">
        <v>1058</v>
      </c>
      <c r="L1" t="s">
        <v>460</v>
      </c>
      <c r="M1" t="s">
        <v>1059</v>
      </c>
      <c r="N1" t="s">
        <v>1060</v>
      </c>
      <c r="O1" t="s">
        <v>472</v>
      </c>
      <c r="P1" t="s">
        <v>1061</v>
      </c>
      <c r="Q1" t="s">
        <v>1062</v>
      </c>
      <c r="R1" t="s">
        <v>1063</v>
      </c>
      <c r="S1" t="s">
        <v>477</v>
      </c>
      <c r="T1" t="s">
        <v>1064</v>
      </c>
      <c r="U1" t="s">
        <v>1065</v>
      </c>
      <c r="V1" t="s">
        <v>1066</v>
      </c>
      <c r="W1" t="s">
        <v>1067</v>
      </c>
      <c r="X1" t="s">
        <v>1068</v>
      </c>
      <c r="Y1" t="s">
        <v>1069</v>
      </c>
      <c r="Z1" t="s">
        <v>793</v>
      </c>
      <c r="AA1" t="s">
        <v>1070</v>
      </c>
      <c r="AB1" t="s">
        <v>1071</v>
      </c>
      <c r="AC1" t="s">
        <v>1072</v>
      </c>
      <c r="AD1" t="s">
        <v>1073</v>
      </c>
      <c r="AE1" t="s">
        <v>794</v>
      </c>
      <c r="AF1" t="s">
        <v>1074</v>
      </c>
      <c r="AG1" t="s">
        <v>1075</v>
      </c>
      <c r="AH1" t="s">
        <v>1076</v>
      </c>
      <c r="AI1" t="s">
        <v>1077</v>
      </c>
      <c r="AJ1" t="s">
        <v>1078</v>
      </c>
      <c r="AK1" t="s">
        <v>1079</v>
      </c>
      <c r="AL1" t="s">
        <v>1080</v>
      </c>
      <c r="AM1" t="s">
        <v>1081</v>
      </c>
      <c r="AN1" t="s">
        <v>1082</v>
      </c>
      <c r="AO1" t="s">
        <v>1083</v>
      </c>
      <c r="AP1" t="s">
        <v>1084</v>
      </c>
      <c r="AQ1" t="s">
        <v>1085</v>
      </c>
      <c r="AR1" t="s">
        <v>1086</v>
      </c>
      <c r="AS1" t="s">
        <v>795</v>
      </c>
      <c r="AT1" t="s">
        <v>1087</v>
      </c>
      <c r="AU1" t="s">
        <v>1088</v>
      </c>
      <c r="AV1" t="s">
        <v>1089</v>
      </c>
      <c r="AW1" t="s">
        <v>1090</v>
      </c>
      <c r="AX1" t="s">
        <v>1091</v>
      </c>
      <c r="AY1" t="s">
        <v>1092</v>
      </c>
    </row>
    <row r="2" spans="1:51" x14ac:dyDescent="0.3">
      <c r="A2" s="754" t="s">
        <v>821</v>
      </c>
      <c r="B2" t="s">
        <v>41</v>
      </c>
      <c r="C2" t="s">
        <v>13</v>
      </c>
      <c r="D2" s="788">
        <v>591706</v>
      </c>
      <c r="E2" s="788">
        <v>591600</v>
      </c>
      <c r="F2" s="788">
        <v>592152</v>
      </c>
      <c r="G2" s="788">
        <v>591612</v>
      </c>
      <c r="H2" s="788">
        <v>591752</v>
      </c>
      <c r="I2" s="788">
        <v>591715</v>
      </c>
      <c r="J2" s="788">
        <v>592388</v>
      </c>
      <c r="K2" s="788">
        <v>591603</v>
      </c>
      <c r="L2" s="788">
        <v>591604</v>
      </c>
      <c r="M2" s="788">
        <v>591721</v>
      </c>
      <c r="N2" s="788">
        <v>591605</v>
      </c>
      <c r="O2" s="788">
        <v>591632</v>
      </c>
      <c r="P2" s="788">
        <v>594150</v>
      </c>
      <c r="Q2" s="788">
        <v>591606</v>
      </c>
      <c r="R2" s="788">
        <v>592181</v>
      </c>
      <c r="S2" s="788">
        <v>591607</v>
      </c>
      <c r="T2" s="788">
        <v>591608</v>
      </c>
      <c r="U2" s="788">
        <v>591737</v>
      </c>
      <c r="V2" s="788">
        <v>591609</v>
      </c>
      <c r="W2" s="788">
        <v>591610</v>
      </c>
      <c r="X2" s="788">
        <v>591611</v>
      </c>
      <c r="Y2" s="788">
        <v>591749</v>
      </c>
      <c r="Z2" s="788">
        <v>591613</v>
      </c>
      <c r="AA2" s="788">
        <v>592396</v>
      </c>
      <c r="AB2" s="788">
        <v>591614</v>
      </c>
      <c r="AC2" s="788">
        <v>592180</v>
      </c>
      <c r="AD2" s="788">
        <v>591615</v>
      </c>
      <c r="AE2" s="788">
        <v>591616</v>
      </c>
      <c r="AF2" s="788">
        <v>592158</v>
      </c>
      <c r="AG2" s="788">
        <v>591759</v>
      </c>
      <c r="AH2" s="788">
        <v>591762</v>
      </c>
      <c r="AI2" s="788">
        <v>591619</v>
      </c>
      <c r="AJ2" s="788">
        <v>591770</v>
      </c>
      <c r="AK2" s="788">
        <v>591620</v>
      </c>
      <c r="AL2" s="788">
        <v>592357</v>
      </c>
      <c r="AM2" s="788">
        <v>59713</v>
      </c>
      <c r="AN2" s="788">
        <v>591622</v>
      </c>
      <c r="AO2" s="788">
        <v>591623</v>
      </c>
      <c r="AP2" s="788">
        <v>591624</v>
      </c>
      <c r="AQ2" s="788">
        <v>592368</v>
      </c>
      <c r="AR2" s="788">
        <v>592155</v>
      </c>
      <c r="AS2" s="788">
        <v>591633</v>
      </c>
      <c r="AT2" s="788">
        <v>591768</v>
      </c>
      <c r="AU2" s="788">
        <v>591634</v>
      </c>
      <c r="AV2" s="788">
        <v>591627</v>
      </c>
      <c r="AW2" s="788">
        <v>591628</v>
      </c>
      <c r="AX2" s="788">
        <v>591629</v>
      </c>
      <c r="AY2" s="788">
        <v>591636</v>
      </c>
    </row>
    <row r="3" spans="1:51" x14ac:dyDescent="0.3">
      <c r="A3" s="754">
        <v>4</v>
      </c>
      <c r="B3" t="s">
        <v>89</v>
      </c>
      <c r="D3">
        <v>0</v>
      </c>
      <c r="E3">
        <v>0</v>
      </c>
      <c r="F3">
        <v>0</v>
      </c>
      <c r="G3">
        <v>0</v>
      </c>
      <c r="H3">
        <v>0</v>
      </c>
      <c r="I3">
        <v>0</v>
      </c>
      <c r="J3">
        <v>0</v>
      </c>
      <c r="K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T3">
        <v>0</v>
      </c>
      <c r="AU3">
        <v>0</v>
      </c>
      <c r="AW3">
        <v>0</v>
      </c>
      <c r="AX3">
        <v>0</v>
      </c>
      <c r="AY3">
        <v>0</v>
      </c>
    </row>
    <row r="4" spans="1:51" x14ac:dyDescent="0.3">
      <c r="A4" s="754">
        <v>5</v>
      </c>
      <c r="B4" t="s">
        <v>90</v>
      </c>
      <c r="D4">
        <v>0</v>
      </c>
      <c r="E4">
        <v>0</v>
      </c>
      <c r="F4">
        <v>0</v>
      </c>
      <c r="G4">
        <v>0</v>
      </c>
      <c r="H4">
        <v>0</v>
      </c>
      <c r="I4">
        <v>0</v>
      </c>
      <c r="J4">
        <v>0</v>
      </c>
      <c r="K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T4">
        <v>0</v>
      </c>
      <c r="AU4">
        <v>0</v>
      </c>
      <c r="AW4">
        <v>0</v>
      </c>
      <c r="AX4">
        <v>0</v>
      </c>
      <c r="AY4">
        <v>0</v>
      </c>
    </row>
    <row r="5" spans="1:51" x14ac:dyDescent="0.3">
      <c r="A5" s="754">
        <v>6</v>
      </c>
      <c r="B5" t="s">
        <v>227</v>
      </c>
      <c r="D5">
        <v>0</v>
      </c>
      <c r="E5">
        <v>0</v>
      </c>
      <c r="F5">
        <v>0</v>
      </c>
      <c r="G5">
        <v>0</v>
      </c>
      <c r="H5">
        <v>0</v>
      </c>
      <c r="I5">
        <v>0</v>
      </c>
      <c r="J5">
        <v>0</v>
      </c>
      <c r="K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T5">
        <v>0</v>
      </c>
      <c r="AU5">
        <v>0</v>
      </c>
      <c r="AW5">
        <v>0</v>
      </c>
      <c r="AX5">
        <v>0</v>
      </c>
      <c r="AY5">
        <v>0</v>
      </c>
    </row>
    <row r="6" spans="1:51" x14ac:dyDescent="0.3">
      <c r="A6" s="754">
        <v>7</v>
      </c>
      <c r="B6" t="s">
        <v>169</v>
      </c>
      <c r="D6">
        <v>0</v>
      </c>
      <c r="E6">
        <v>0</v>
      </c>
      <c r="F6">
        <v>0</v>
      </c>
      <c r="G6">
        <v>0</v>
      </c>
      <c r="H6">
        <v>0</v>
      </c>
      <c r="I6">
        <v>0</v>
      </c>
      <c r="J6">
        <v>0</v>
      </c>
      <c r="K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T6">
        <v>0</v>
      </c>
      <c r="AU6">
        <v>0</v>
      </c>
      <c r="AW6">
        <v>0</v>
      </c>
      <c r="AX6">
        <v>0</v>
      </c>
      <c r="AY6">
        <v>0</v>
      </c>
    </row>
    <row r="7" spans="1:51" x14ac:dyDescent="0.3">
      <c r="A7" s="754">
        <v>9</v>
      </c>
      <c r="B7" t="s">
        <v>171</v>
      </c>
      <c r="D7">
        <v>0</v>
      </c>
      <c r="E7">
        <v>0</v>
      </c>
      <c r="F7">
        <v>0</v>
      </c>
      <c r="G7">
        <v>0</v>
      </c>
      <c r="H7">
        <v>0</v>
      </c>
      <c r="I7">
        <v>0</v>
      </c>
      <c r="J7">
        <v>0</v>
      </c>
      <c r="K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T7">
        <v>0</v>
      </c>
      <c r="AU7">
        <v>0</v>
      </c>
      <c r="AW7">
        <v>0</v>
      </c>
      <c r="AX7">
        <v>0</v>
      </c>
      <c r="AY7">
        <v>0</v>
      </c>
    </row>
    <row r="8" spans="1:51" x14ac:dyDescent="0.3">
      <c r="A8" s="754">
        <v>11</v>
      </c>
      <c r="B8" t="s">
        <v>170</v>
      </c>
      <c r="D8">
        <v>0</v>
      </c>
      <c r="E8">
        <v>0</v>
      </c>
      <c r="F8">
        <v>0</v>
      </c>
      <c r="G8">
        <v>0</v>
      </c>
      <c r="H8">
        <v>0</v>
      </c>
      <c r="I8">
        <v>0</v>
      </c>
      <c r="J8">
        <v>0</v>
      </c>
      <c r="K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T8">
        <v>0</v>
      </c>
      <c r="AU8">
        <v>0</v>
      </c>
      <c r="AW8">
        <v>0</v>
      </c>
      <c r="AX8">
        <v>0</v>
      </c>
      <c r="AY8">
        <v>0</v>
      </c>
    </row>
    <row r="9" spans="1:51" x14ac:dyDescent="0.3">
      <c r="A9" s="754">
        <v>13</v>
      </c>
      <c r="B9" t="s">
        <v>822</v>
      </c>
      <c r="D9">
        <v>0</v>
      </c>
      <c r="E9">
        <v>0</v>
      </c>
      <c r="F9">
        <v>0</v>
      </c>
      <c r="G9">
        <v>0</v>
      </c>
      <c r="H9">
        <v>0</v>
      </c>
      <c r="I9">
        <v>0</v>
      </c>
      <c r="J9">
        <v>0</v>
      </c>
      <c r="K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T9">
        <v>0</v>
      </c>
      <c r="AU9">
        <v>0</v>
      </c>
      <c r="AW9">
        <v>0</v>
      </c>
      <c r="AX9">
        <v>0</v>
      </c>
      <c r="AY9">
        <v>0</v>
      </c>
    </row>
    <row r="10" spans="1:51" x14ac:dyDescent="0.3">
      <c r="A10" s="754">
        <v>14</v>
      </c>
      <c r="B10" t="s">
        <v>823</v>
      </c>
      <c r="D10">
        <v>0</v>
      </c>
      <c r="E10">
        <v>0</v>
      </c>
      <c r="F10">
        <v>0</v>
      </c>
      <c r="G10">
        <v>0</v>
      </c>
      <c r="H10">
        <v>0</v>
      </c>
      <c r="I10">
        <v>0</v>
      </c>
      <c r="J10">
        <v>0</v>
      </c>
      <c r="K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T10">
        <v>0</v>
      </c>
      <c r="AU10">
        <v>0</v>
      </c>
      <c r="AW10">
        <v>0</v>
      </c>
      <c r="AX10">
        <v>0</v>
      </c>
      <c r="AY10">
        <v>0</v>
      </c>
    </row>
    <row r="11" spans="1:51" x14ac:dyDescent="0.3">
      <c r="A11" s="754">
        <v>16</v>
      </c>
      <c r="B11" t="s">
        <v>173</v>
      </c>
      <c r="D11">
        <v>0</v>
      </c>
      <c r="E11">
        <v>0</v>
      </c>
      <c r="F11">
        <v>0</v>
      </c>
      <c r="G11">
        <v>0</v>
      </c>
      <c r="H11">
        <v>0</v>
      </c>
      <c r="I11">
        <v>0</v>
      </c>
      <c r="J11">
        <v>0</v>
      </c>
      <c r="K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T11">
        <v>0</v>
      </c>
      <c r="AU11">
        <v>0</v>
      </c>
      <c r="AW11">
        <v>0</v>
      </c>
      <c r="AX11">
        <v>0</v>
      </c>
      <c r="AY11">
        <v>0</v>
      </c>
    </row>
    <row r="12" spans="1:51" x14ac:dyDescent="0.3">
      <c r="A12" s="754">
        <v>17</v>
      </c>
      <c r="B12" t="s">
        <v>176</v>
      </c>
      <c r="D12">
        <v>0</v>
      </c>
      <c r="E12">
        <v>0</v>
      </c>
      <c r="F12">
        <v>0</v>
      </c>
      <c r="G12">
        <v>0</v>
      </c>
      <c r="H12">
        <v>0</v>
      </c>
      <c r="I12">
        <v>0</v>
      </c>
      <c r="J12">
        <v>0</v>
      </c>
      <c r="K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T12">
        <v>0</v>
      </c>
      <c r="AU12">
        <v>0</v>
      </c>
      <c r="AW12">
        <v>0</v>
      </c>
      <c r="AX12">
        <v>0</v>
      </c>
      <c r="AY12">
        <v>0</v>
      </c>
    </row>
    <row r="13" spans="1:51" x14ac:dyDescent="0.3">
      <c r="A13" s="754">
        <v>20</v>
      </c>
      <c r="B13" t="s">
        <v>177</v>
      </c>
      <c r="D13">
        <v>0</v>
      </c>
      <c r="E13">
        <v>0</v>
      </c>
      <c r="F13">
        <v>0</v>
      </c>
      <c r="G13">
        <v>0</v>
      </c>
      <c r="H13">
        <v>0</v>
      </c>
      <c r="I13">
        <v>0</v>
      </c>
      <c r="J13">
        <v>0</v>
      </c>
      <c r="K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T13">
        <v>0</v>
      </c>
      <c r="AU13">
        <v>0</v>
      </c>
      <c r="AW13">
        <v>0</v>
      </c>
      <c r="AX13">
        <v>0</v>
      </c>
      <c r="AY13">
        <v>0</v>
      </c>
    </row>
    <row r="14" spans="1:51" x14ac:dyDescent="0.3">
      <c r="A14" s="754">
        <v>22</v>
      </c>
      <c r="B14" t="s">
        <v>179</v>
      </c>
      <c r="D14">
        <v>0</v>
      </c>
      <c r="E14">
        <v>0</v>
      </c>
      <c r="F14">
        <v>0</v>
      </c>
      <c r="G14">
        <v>0</v>
      </c>
      <c r="H14">
        <v>0</v>
      </c>
      <c r="I14">
        <v>0</v>
      </c>
      <c r="J14">
        <v>0</v>
      </c>
      <c r="K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T14">
        <v>0</v>
      </c>
      <c r="AU14">
        <v>0</v>
      </c>
      <c r="AW14">
        <v>0</v>
      </c>
      <c r="AX14">
        <v>0</v>
      </c>
      <c r="AY14">
        <v>0</v>
      </c>
    </row>
    <row r="15" spans="1:51" x14ac:dyDescent="0.3">
      <c r="A15" s="754">
        <v>23</v>
      </c>
      <c r="B15" t="s">
        <v>182</v>
      </c>
      <c r="D15">
        <v>0</v>
      </c>
      <c r="E15">
        <v>0</v>
      </c>
      <c r="F15">
        <v>0</v>
      </c>
      <c r="G15">
        <v>0</v>
      </c>
      <c r="H15">
        <v>0</v>
      </c>
      <c r="I15">
        <v>0</v>
      </c>
      <c r="J15">
        <v>0</v>
      </c>
      <c r="K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T15">
        <v>0</v>
      </c>
      <c r="AU15">
        <v>0</v>
      </c>
      <c r="AW15">
        <v>0</v>
      </c>
      <c r="AX15">
        <v>0</v>
      </c>
      <c r="AY15">
        <v>0</v>
      </c>
    </row>
    <row r="16" spans="1:51" x14ac:dyDescent="0.3">
      <c r="A16" s="754">
        <v>31</v>
      </c>
      <c r="B16" t="s">
        <v>824</v>
      </c>
      <c r="D16">
        <v>0</v>
      </c>
      <c r="E16">
        <v>0</v>
      </c>
      <c r="F16">
        <v>0</v>
      </c>
      <c r="G16">
        <v>0</v>
      </c>
      <c r="H16">
        <v>0</v>
      </c>
      <c r="I16">
        <v>0</v>
      </c>
      <c r="J16">
        <v>0</v>
      </c>
      <c r="K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T16">
        <v>0</v>
      </c>
      <c r="AU16">
        <v>0</v>
      </c>
      <c r="AW16">
        <v>0</v>
      </c>
      <c r="AX16">
        <v>0</v>
      </c>
      <c r="AY16">
        <v>0</v>
      </c>
    </row>
    <row r="17" spans="1:51" x14ac:dyDescent="0.3">
      <c r="A17" s="754">
        <v>32</v>
      </c>
      <c r="B17" t="s">
        <v>825</v>
      </c>
      <c r="D17">
        <v>0</v>
      </c>
      <c r="E17">
        <v>0</v>
      </c>
      <c r="F17">
        <v>0</v>
      </c>
      <c r="G17">
        <v>0</v>
      </c>
      <c r="H17">
        <v>0</v>
      </c>
      <c r="I17">
        <v>0</v>
      </c>
      <c r="J17">
        <v>0</v>
      </c>
      <c r="K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T17">
        <v>0</v>
      </c>
      <c r="AU17">
        <v>0</v>
      </c>
      <c r="AW17">
        <v>0</v>
      </c>
      <c r="AX17">
        <v>0</v>
      </c>
      <c r="AY17">
        <v>0</v>
      </c>
    </row>
    <row r="18" spans="1:51" x14ac:dyDescent="0.3">
      <c r="A18" s="754">
        <v>33</v>
      </c>
      <c r="B18" t="s">
        <v>258</v>
      </c>
      <c r="D18">
        <v>0</v>
      </c>
      <c r="E18">
        <v>0</v>
      </c>
      <c r="F18">
        <v>0</v>
      </c>
      <c r="G18">
        <v>0</v>
      </c>
      <c r="H18">
        <v>0</v>
      </c>
      <c r="I18">
        <v>0</v>
      </c>
      <c r="J18">
        <v>0</v>
      </c>
      <c r="K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T18">
        <v>0</v>
      </c>
      <c r="AU18">
        <v>0</v>
      </c>
      <c r="AW18">
        <v>0</v>
      </c>
      <c r="AX18">
        <v>0</v>
      </c>
      <c r="AY18">
        <v>0</v>
      </c>
    </row>
    <row r="19" spans="1:51" x14ac:dyDescent="0.3">
      <c r="A19" s="754">
        <v>34</v>
      </c>
      <c r="B19" t="s">
        <v>826</v>
      </c>
      <c r="D19">
        <v>0</v>
      </c>
      <c r="E19">
        <v>0</v>
      </c>
      <c r="F19">
        <v>0</v>
      </c>
      <c r="G19">
        <v>0</v>
      </c>
      <c r="H19">
        <v>0</v>
      </c>
      <c r="I19">
        <v>0</v>
      </c>
      <c r="J19">
        <v>0</v>
      </c>
      <c r="K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T19">
        <v>0</v>
      </c>
      <c r="AU19">
        <v>0</v>
      </c>
      <c r="AW19">
        <v>0</v>
      </c>
      <c r="AX19">
        <v>0</v>
      </c>
      <c r="AY19">
        <v>0</v>
      </c>
    </row>
    <row r="20" spans="1:51" x14ac:dyDescent="0.3">
      <c r="A20" s="754">
        <v>35</v>
      </c>
      <c r="B20" t="s">
        <v>827</v>
      </c>
      <c r="D20">
        <v>0</v>
      </c>
      <c r="E20">
        <v>0</v>
      </c>
      <c r="F20">
        <v>0</v>
      </c>
      <c r="G20">
        <v>0</v>
      </c>
      <c r="H20">
        <v>0</v>
      </c>
      <c r="I20">
        <v>0</v>
      </c>
      <c r="J20">
        <v>0</v>
      </c>
      <c r="K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T20">
        <v>0</v>
      </c>
      <c r="AU20">
        <v>0</v>
      </c>
      <c r="AW20">
        <v>0</v>
      </c>
      <c r="AX20">
        <v>0</v>
      </c>
      <c r="AY20">
        <v>0</v>
      </c>
    </row>
    <row r="21" spans="1:51" x14ac:dyDescent="0.3">
      <c r="A21" s="754">
        <v>36</v>
      </c>
      <c r="B21" t="s">
        <v>828</v>
      </c>
      <c r="D21">
        <v>0</v>
      </c>
      <c r="E21">
        <v>0</v>
      </c>
      <c r="F21">
        <v>0</v>
      </c>
      <c r="G21">
        <v>0</v>
      </c>
      <c r="H21">
        <v>0</v>
      </c>
      <c r="I21">
        <v>0</v>
      </c>
      <c r="J21">
        <v>0</v>
      </c>
      <c r="K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T21">
        <v>0</v>
      </c>
      <c r="AU21">
        <v>0</v>
      </c>
      <c r="AW21">
        <v>0</v>
      </c>
      <c r="AX21">
        <v>0</v>
      </c>
      <c r="AY21">
        <v>0</v>
      </c>
    </row>
    <row r="22" spans="1:51" x14ac:dyDescent="0.3">
      <c r="A22" s="754">
        <v>37</v>
      </c>
      <c r="B22" t="s">
        <v>829</v>
      </c>
      <c r="D22">
        <v>0</v>
      </c>
      <c r="E22">
        <v>0</v>
      </c>
      <c r="F22">
        <v>0</v>
      </c>
      <c r="G22">
        <v>0</v>
      </c>
      <c r="H22">
        <v>0</v>
      </c>
      <c r="I22">
        <v>0</v>
      </c>
      <c r="J22">
        <v>0</v>
      </c>
      <c r="K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T22">
        <v>0</v>
      </c>
      <c r="AU22">
        <v>0</v>
      </c>
      <c r="AW22">
        <v>0</v>
      </c>
      <c r="AX22">
        <v>0</v>
      </c>
      <c r="AY22">
        <v>0</v>
      </c>
    </row>
    <row r="23" spans="1:51" x14ac:dyDescent="0.3">
      <c r="A23" s="754">
        <v>38</v>
      </c>
      <c r="B23" t="s">
        <v>830</v>
      </c>
      <c r="D23">
        <v>0</v>
      </c>
      <c r="E23">
        <v>0</v>
      </c>
      <c r="F23">
        <v>0</v>
      </c>
      <c r="G23">
        <v>0</v>
      </c>
      <c r="H23">
        <v>0</v>
      </c>
      <c r="I23">
        <v>0</v>
      </c>
      <c r="J23">
        <v>0</v>
      </c>
      <c r="K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T23">
        <v>0</v>
      </c>
      <c r="AU23">
        <v>0</v>
      </c>
      <c r="AW23">
        <v>0</v>
      </c>
      <c r="AX23">
        <v>0</v>
      </c>
      <c r="AY23">
        <v>0</v>
      </c>
    </row>
    <row r="24" spans="1:51" x14ac:dyDescent="0.3">
      <c r="A24" s="754">
        <v>39</v>
      </c>
      <c r="B24" t="s">
        <v>831</v>
      </c>
      <c r="D24">
        <v>0</v>
      </c>
      <c r="E24">
        <v>0</v>
      </c>
      <c r="F24">
        <v>0</v>
      </c>
      <c r="G24">
        <v>0</v>
      </c>
      <c r="H24">
        <v>0</v>
      </c>
      <c r="I24">
        <v>0</v>
      </c>
      <c r="J24">
        <v>0</v>
      </c>
      <c r="K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T24">
        <v>0</v>
      </c>
      <c r="AU24">
        <v>0</v>
      </c>
      <c r="AW24">
        <v>0</v>
      </c>
      <c r="AX24">
        <v>0</v>
      </c>
      <c r="AY24">
        <v>0</v>
      </c>
    </row>
    <row r="25" spans="1:51" x14ac:dyDescent="0.3">
      <c r="A25" s="754">
        <v>40</v>
      </c>
      <c r="B25" t="s">
        <v>832</v>
      </c>
      <c r="D25">
        <v>0</v>
      </c>
      <c r="E25">
        <v>0</v>
      </c>
      <c r="F25">
        <v>0</v>
      </c>
      <c r="G25">
        <v>0</v>
      </c>
      <c r="H25">
        <v>0</v>
      </c>
      <c r="I25">
        <v>0</v>
      </c>
      <c r="J25">
        <v>0</v>
      </c>
      <c r="K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T25">
        <v>0</v>
      </c>
      <c r="AU25">
        <v>0</v>
      </c>
      <c r="AW25">
        <v>0</v>
      </c>
      <c r="AX25">
        <v>0</v>
      </c>
      <c r="AY25">
        <v>0</v>
      </c>
    </row>
    <row r="26" spans="1:51" x14ac:dyDescent="0.3">
      <c r="A26" s="754">
        <v>41</v>
      </c>
      <c r="B26" t="s">
        <v>833</v>
      </c>
      <c r="D26">
        <v>0</v>
      </c>
      <c r="E26">
        <v>0</v>
      </c>
      <c r="F26">
        <v>0</v>
      </c>
      <c r="G26">
        <v>0</v>
      </c>
      <c r="H26">
        <v>0</v>
      </c>
      <c r="I26">
        <v>0</v>
      </c>
      <c r="J26">
        <v>0</v>
      </c>
      <c r="K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T26">
        <v>0</v>
      </c>
      <c r="AU26">
        <v>0</v>
      </c>
      <c r="AW26">
        <v>0</v>
      </c>
      <c r="AX26">
        <v>0</v>
      </c>
      <c r="AY26">
        <v>0</v>
      </c>
    </row>
    <row r="27" spans="1:51" x14ac:dyDescent="0.3">
      <c r="A27" s="754">
        <v>44</v>
      </c>
      <c r="B27" t="s">
        <v>834</v>
      </c>
      <c r="D27">
        <v>1958888</v>
      </c>
      <c r="E27">
        <v>7607923</v>
      </c>
      <c r="F27">
        <v>9119902</v>
      </c>
      <c r="G27">
        <v>61214445</v>
      </c>
      <c r="H27">
        <v>76867777</v>
      </c>
      <c r="I27">
        <v>37111672</v>
      </c>
      <c r="J27">
        <v>88057067</v>
      </c>
      <c r="K27">
        <v>10588814</v>
      </c>
      <c r="M27">
        <v>3350738</v>
      </c>
      <c r="N27">
        <v>7134595</v>
      </c>
      <c r="O27">
        <v>61133</v>
      </c>
      <c r="P27">
        <v>54571491</v>
      </c>
      <c r="Q27">
        <v>1776811</v>
      </c>
      <c r="R27">
        <v>721689</v>
      </c>
      <c r="S27">
        <v>7229047</v>
      </c>
      <c r="T27">
        <v>950920</v>
      </c>
      <c r="U27">
        <v>30462949</v>
      </c>
      <c r="V27">
        <v>4063093</v>
      </c>
      <c r="W27">
        <v>676639</v>
      </c>
      <c r="X27">
        <v>4140024</v>
      </c>
      <c r="Y27">
        <v>3279953</v>
      </c>
      <c r="Z27">
        <v>1456510</v>
      </c>
      <c r="AA27">
        <v>1429239</v>
      </c>
      <c r="AB27">
        <v>1200747</v>
      </c>
      <c r="AC27">
        <v>7857036</v>
      </c>
      <c r="AD27">
        <v>3551095</v>
      </c>
      <c r="AE27">
        <v>619179</v>
      </c>
      <c r="AF27">
        <v>49448210</v>
      </c>
      <c r="AG27">
        <v>13928039</v>
      </c>
      <c r="AH27">
        <v>19161138</v>
      </c>
      <c r="AI27">
        <v>14218129</v>
      </c>
      <c r="AJ27">
        <v>666061</v>
      </c>
      <c r="AK27">
        <v>1178483</v>
      </c>
      <c r="AL27">
        <v>31028491</v>
      </c>
      <c r="AM27">
        <v>3867188</v>
      </c>
      <c r="AN27">
        <v>8750123</v>
      </c>
      <c r="AO27">
        <v>2410818</v>
      </c>
      <c r="AP27">
        <v>2377598</v>
      </c>
      <c r="AQ27">
        <v>1353508</v>
      </c>
      <c r="AR27">
        <v>334222</v>
      </c>
      <c r="AT27">
        <v>15180310</v>
      </c>
      <c r="AU27">
        <v>0</v>
      </c>
      <c r="AW27">
        <v>39915</v>
      </c>
      <c r="AX27">
        <v>3790110</v>
      </c>
      <c r="AY27">
        <v>2971286</v>
      </c>
    </row>
    <row r="28" spans="1:51" x14ac:dyDescent="0.3">
      <c r="A28" s="754">
        <v>45</v>
      </c>
      <c r="B28" t="s">
        <v>835</v>
      </c>
      <c r="D28">
        <v>400250</v>
      </c>
      <c r="E28">
        <v>384620</v>
      </c>
      <c r="F28">
        <v>2650670</v>
      </c>
      <c r="G28">
        <v>5575666</v>
      </c>
      <c r="H28">
        <v>3963853</v>
      </c>
      <c r="I28">
        <v>3795386</v>
      </c>
      <c r="J28">
        <v>36492219</v>
      </c>
      <c r="K28">
        <v>1324896</v>
      </c>
      <c r="M28">
        <v>1017240</v>
      </c>
      <c r="N28">
        <v>753665</v>
      </c>
      <c r="O28">
        <v>36085</v>
      </c>
      <c r="P28">
        <v>30532918</v>
      </c>
      <c r="Q28">
        <v>329759</v>
      </c>
      <c r="R28">
        <v>712357</v>
      </c>
      <c r="S28">
        <v>585215</v>
      </c>
      <c r="T28">
        <v>91722</v>
      </c>
      <c r="U28">
        <v>8506661</v>
      </c>
      <c r="V28">
        <v>1028009</v>
      </c>
      <c r="W28">
        <v>24545</v>
      </c>
      <c r="X28">
        <v>1870136</v>
      </c>
      <c r="Y28">
        <v>2003316</v>
      </c>
      <c r="Z28">
        <v>283744</v>
      </c>
      <c r="AA28">
        <v>322139</v>
      </c>
      <c r="AB28">
        <v>20342</v>
      </c>
      <c r="AC28">
        <v>3255565</v>
      </c>
      <c r="AD28">
        <v>267367</v>
      </c>
      <c r="AE28">
        <v>177587</v>
      </c>
      <c r="AF28">
        <v>10279767</v>
      </c>
      <c r="AG28">
        <v>8142873</v>
      </c>
      <c r="AH28">
        <v>2327008</v>
      </c>
      <c r="AI28">
        <v>942329</v>
      </c>
      <c r="AJ28">
        <v>87621</v>
      </c>
      <c r="AK28">
        <v>47935</v>
      </c>
      <c r="AL28">
        <v>4694192</v>
      </c>
      <c r="AM28">
        <v>193946</v>
      </c>
      <c r="AN28">
        <v>509954</v>
      </c>
      <c r="AO28">
        <v>50762</v>
      </c>
      <c r="AP28">
        <v>135185</v>
      </c>
      <c r="AQ28">
        <v>179409</v>
      </c>
      <c r="AR28">
        <v>5646</v>
      </c>
      <c r="AT28">
        <v>367033</v>
      </c>
      <c r="AU28">
        <v>0</v>
      </c>
      <c r="AW28">
        <v>1217</v>
      </c>
      <c r="AX28">
        <v>235188</v>
      </c>
      <c r="AY28">
        <v>1044035</v>
      </c>
    </row>
    <row r="29" spans="1:51" x14ac:dyDescent="0.3">
      <c r="A29" s="754">
        <v>47</v>
      </c>
      <c r="B29" t="s">
        <v>836</v>
      </c>
      <c r="D29">
        <v>0</v>
      </c>
      <c r="E29">
        <v>0</v>
      </c>
      <c r="F29">
        <v>0</v>
      </c>
      <c r="G29">
        <v>0</v>
      </c>
      <c r="H29">
        <v>0</v>
      </c>
      <c r="I29">
        <v>0</v>
      </c>
      <c r="J29">
        <v>0</v>
      </c>
      <c r="K29">
        <v>0</v>
      </c>
      <c r="M29">
        <v>0</v>
      </c>
      <c r="N29">
        <v>0</v>
      </c>
      <c r="O29">
        <v>0</v>
      </c>
      <c r="P29">
        <v>165138985</v>
      </c>
      <c r="Q29">
        <v>0</v>
      </c>
      <c r="R29">
        <v>0</v>
      </c>
      <c r="S29">
        <v>0</v>
      </c>
      <c r="T29">
        <v>0</v>
      </c>
      <c r="U29">
        <v>77194139</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T29">
        <v>0</v>
      </c>
      <c r="AU29">
        <v>0</v>
      </c>
      <c r="AW29">
        <v>0</v>
      </c>
      <c r="AX29">
        <v>0</v>
      </c>
      <c r="AY29">
        <v>0</v>
      </c>
    </row>
    <row r="30" spans="1:51" x14ac:dyDescent="0.3">
      <c r="A30" s="754">
        <v>48</v>
      </c>
      <c r="B30" t="s">
        <v>93</v>
      </c>
      <c r="D30">
        <v>0</v>
      </c>
      <c r="E30">
        <v>0</v>
      </c>
      <c r="F30">
        <v>0</v>
      </c>
      <c r="G30">
        <v>0</v>
      </c>
      <c r="H30">
        <v>0</v>
      </c>
      <c r="I30">
        <v>0</v>
      </c>
      <c r="J30">
        <v>0</v>
      </c>
      <c r="K30">
        <v>0</v>
      </c>
      <c r="M30">
        <v>0</v>
      </c>
      <c r="N30">
        <v>0</v>
      </c>
      <c r="O30">
        <v>0</v>
      </c>
      <c r="P30">
        <v>68564758</v>
      </c>
      <c r="Q30">
        <v>0</v>
      </c>
      <c r="R30">
        <v>0</v>
      </c>
      <c r="S30">
        <v>0</v>
      </c>
      <c r="T30">
        <v>0</v>
      </c>
      <c r="U30">
        <v>17915719</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T30">
        <v>0</v>
      </c>
      <c r="AU30">
        <v>0</v>
      </c>
      <c r="AW30">
        <v>0</v>
      </c>
      <c r="AX30">
        <v>0</v>
      </c>
      <c r="AY30">
        <v>0</v>
      </c>
    </row>
    <row r="31" spans="1:51" x14ac:dyDescent="0.3">
      <c r="A31" s="754">
        <v>49</v>
      </c>
      <c r="B31" t="s">
        <v>195</v>
      </c>
      <c r="D31">
        <v>609280</v>
      </c>
      <c r="E31">
        <v>689930</v>
      </c>
      <c r="F31">
        <v>1953157</v>
      </c>
      <c r="G31">
        <v>2509398</v>
      </c>
      <c r="H31">
        <v>12394875</v>
      </c>
      <c r="I31">
        <v>7399818</v>
      </c>
      <c r="J31">
        <v>24711921</v>
      </c>
      <c r="K31">
        <v>1516923</v>
      </c>
      <c r="M31">
        <v>867359</v>
      </c>
      <c r="N31">
        <v>991403</v>
      </c>
      <c r="O31">
        <v>103431</v>
      </c>
      <c r="P31">
        <v>28406660</v>
      </c>
      <c r="Q31">
        <v>214631</v>
      </c>
      <c r="R31">
        <v>164316</v>
      </c>
      <c r="S31">
        <v>805770</v>
      </c>
      <c r="T31">
        <v>135050</v>
      </c>
      <c r="U31">
        <v>11486167</v>
      </c>
      <c r="V31">
        <v>641561</v>
      </c>
      <c r="W31">
        <v>110114</v>
      </c>
      <c r="X31">
        <v>355476</v>
      </c>
      <c r="Y31">
        <v>1658635</v>
      </c>
      <c r="Z31">
        <v>364686</v>
      </c>
      <c r="AA31">
        <v>1072048</v>
      </c>
      <c r="AB31">
        <v>88623</v>
      </c>
      <c r="AC31">
        <v>3446651</v>
      </c>
      <c r="AD31">
        <v>367582</v>
      </c>
      <c r="AE31">
        <v>243049</v>
      </c>
      <c r="AF31">
        <v>6174082</v>
      </c>
      <c r="AG31">
        <v>10476244</v>
      </c>
      <c r="AH31">
        <v>3323080</v>
      </c>
      <c r="AI31">
        <v>2232480</v>
      </c>
      <c r="AJ31">
        <v>152107</v>
      </c>
      <c r="AK31">
        <v>51753</v>
      </c>
      <c r="AL31">
        <v>2029622</v>
      </c>
      <c r="AM31">
        <v>506545</v>
      </c>
      <c r="AN31">
        <v>870960</v>
      </c>
      <c r="AO31">
        <v>202544</v>
      </c>
      <c r="AP31">
        <v>224857</v>
      </c>
      <c r="AQ31">
        <v>321208</v>
      </c>
      <c r="AR31">
        <v>31601</v>
      </c>
      <c r="AT31">
        <v>1608616</v>
      </c>
      <c r="AU31">
        <v>55622</v>
      </c>
      <c r="AW31">
        <v>5385</v>
      </c>
      <c r="AX31">
        <v>295115</v>
      </c>
      <c r="AY31">
        <v>859529</v>
      </c>
    </row>
    <row r="32" spans="1:51" x14ac:dyDescent="0.3">
      <c r="A32" s="754">
        <v>50</v>
      </c>
      <c r="B32" t="s">
        <v>71</v>
      </c>
      <c r="D32">
        <v>-424672</v>
      </c>
      <c r="E32">
        <v>699082</v>
      </c>
      <c r="F32">
        <v>2153876</v>
      </c>
      <c r="G32">
        <v>21108043</v>
      </c>
      <c r="H32">
        <v>41267622</v>
      </c>
      <c r="I32">
        <v>5967870</v>
      </c>
      <c r="J32">
        <v>25390601</v>
      </c>
      <c r="K32">
        <v>948997</v>
      </c>
      <c r="M32">
        <v>-95000</v>
      </c>
      <c r="N32">
        <v>435004</v>
      </c>
      <c r="O32">
        <v>-73348</v>
      </c>
      <c r="P32">
        <v>32477036</v>
      </c>
      <c r="Q32">
        <v>190881</v>
      </c>
      <c r="R32">
        <v>-129573</v>
      </c>
      <c r="S32">
        <v>1038568</v>
      </c>
      <c r="T32">
        <v>372870</v>
      </c>
      <c r="U32">
        <v>1579835</v>
      </c>
      <c r="V32">
        <v>771198</v>
      </c>
      <c r="W32">
        <v>169776</v>
      </c>
      <c r="X32">
        <v>265052</v>
      </c>
      <c r="Y32">
        <v>669358</v>
      </c>
      <c r="Z32">
        <v>1360312</v>
      </c>
      <c r="AA32">
        <v>-702571</v>
      </c>
      <c r="AB32">
        <v>2230</v>
      </c>
      <c r="AC32">
        <v>748751</v>
      </c>
      <c r="AD32">
        <v>334050</v>
      </c>
      <c r="AE32">
        <v>-212899</v>
      </c>
      <c r="AF32">
        <v>9669245</v>
      </c>
      <c r="AG32">
        <v>3350345</v>
      </c>
      <c r="AH32">
        <v>914695</v>
      </c>
      <c r="AI32">
        <v>956913</v>
      </c>
      <c r="AJ32">
        <v>-92259</v>
      </c>
      <c r="AK32">
        <v>-88605</v>
      </c>
      <c r="AL32">
        <v>3227418</v>
      </c>
      <c r="AM32">
        <v>181637</v>
      </c>
      <c r="AN32">
        <v>813409</v>
      </c>
      <c r="AO32">
        <v>474329</v>
      </c>
      <c r="AP32">
        <v>254161</v>
      </c>
      <c r="AQ32">
        <v>1227875</v>
      </c>
      <c r="AR32">
        <v>27265</v>
      </c>
      <c r="AT32">
        <v>-132014</v>
      </c>
      <c r="AU32">
        <v>-55622</v>
      </c>
      <c r="AW32">
        <v>3366</v>
      </c>
      <c r="AX32">
        <v>387757</v>
      </c>
      <c r="AY32">
        <v>2659824</v>
      </c>
    </row>
    <row r="33" spans="1:51" x14ac:dyDescent="0.3">
      <c r="A33" s="754">
        <v>51</v>
      </c>
      <c r="B33" t="s">
        <v>213</v>
      </c>
      <c r="D33">
        <v>581580</v>
      </c>
      <c r="E33">
        <v>1150672</v>
      </c>
      <c r="F33">
        <v>4290228</v>
      </c>
      <c r="G33">
        <v>10723532</v>
      </c>
      <c r="H33">
        <v>29575986</v>
      </c>
      <c r="I33">
        <v>5008443</v>
      </c>
      <c r="J33">
        <v>41107800</v>
      </c>
      <c r="K33">
        <v>1997589</v>
      </c>
      <c r="M33">
        <v>457752</v>
      </c>
      <c r="N33">
        <v>1751859</v>
      </c>
      <c r="O33">
        <v>5340</v>
      </c>
      <c r="P33">
        <v>48971581</v>
      </c>
      <c r="Q33">
        <v>437416</v>
      </c>
      <c r="R33">
        <v>122352</v>
      </c>
      <c r="S33">
        <v>0</v>
      </c>
      <c r="T33">
        <v>477521</v>
      </c>
      <c r="U33">
        <v>15935984</v>
      </c>
      <c r="V33">
        <v>1419620</v>
      </c>
      <c r="W33">
        <v>281957</v>
      </c>
      <c r="X33">
        <v>356240</v>
      </c>
      <c r="Y33">
        <v>1384373</v>
      </c>
      <c r="Z33">
        <v>421433</v>
      </c>
      <c r="AA33">
        <v>728079</v>
      </c>
      <c r="AB33">
        <v>91331</v>
      </c>
      <c r="AC33">
        <v>7304770</v>
      </c>
      <c r="AD33">
        <v>682753</v>
      </c>
      <c r="AE33">
        <v>55411</v>
      </c>
      <c r="AF33">
        <v>7594814</v>
      </c>
      <c r="AG33">
        <v>10356039</v>
      </c>
      <c r="AH33">
        <v>4872595</v>
      </c>
      <c r="AI33">
        <v>3190447</v>
      </c>
      <c r="AJ33">
        <v>138730</v>
      </c>
      <c r="AK33">
        <v>-161164</v>
      </c>
      <c r="AL33">
        <v>7433476</v>
      </c>
      <c r="AM33">
        <v>932929</v>
      </c>
      <c r="AN33">
        <v>1549263</v>
      </c>
      <c r="AO33">
        <v>513496</v>
      </c>
      <c r="AP33">
        <v>468365</v>
      </c>
      <c r="AQ33">
        <v>559614</v>
      </c>
      <c r="AR33">
        <v>59973</v>
      </c>
      <c r="AT33">
        <v>1839883</v>
      </c>
      <c r="AU33">
        <v>0</v>
      </c>
      <c r="AW33">
        <v>10743</v>
      </c>
      <c r="AX33">
        <v>412863</v>
      </c>
      <c r="AY33">
        <v>1140983</v>
      </c>
    </row>
    <row r="34" spans="1:51" x14ac:dyDescent="0.3">
      <c r="A34" s="754">
        <v>52</v>
      </c>
      <c r="B34" t="s">
        <v>206</v>
      </c>
      <c r="D34">
        <v>0</v>
      </c>
      <c r="E34">
        <v>0</v>
      </c>
      <c r="F34">
        <v>0</v>
      </c>
      <c r="G34">
        <v>0</v>
      </c>
      <c r="H34">
        <v>0</v>
      </c>
      <c r="I34">
        <v>0</v>
      </c>
      <c r="J34">
        <v>0</v>
      </c>
      <c r="K34">
        <v>0</v>
      </c>
      <c r="M34">
        <v>0</v>
      </c>
      <c r="N34">
        <v>0</v>
      </c>
      <c r="O34">
        <v>0</v>
      </c>
      <c r="P34">
        <v>18375081</v>
      </c>
      <c r="Q34">
        <v>0</v>
      </c>
      <c r="R34">
        <v>0</v>
      </c>
      <c r="S34">
        <v>0</v>
      </c>
      <c r="T34">
        <v>0</v>
      </c>
      <c r="U34">
        <v>11998783</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T34">
        <v>0</v>
      </c>
      <c r="AU34">
        <v>0</v>
      </c>
      <c r="AW34">
        <v>0</v>
      </c>
      <c r="AX34">
        <v>0</v>
      </c>
      <c r="AY34">
        <v>0</v>
      </c>
    </row>
    <row r="35" spans="1:51" x14ac:dyDescent="0.3">
      <c r="A35" s="754">
        <v>53</v>
      </c>
      <c r="B35" t="s">
        <v>72</v>
      </c>
      <c r="D35">
        <v>0</v>
      </c>
      <c r="E35">
        <v>0</v>
      </c>
      <c r="F35">
        <v>0</v>
      </c>
      <c r="G35">
        <v>0</v>
      </c>
      <c r="H35">
        <v>0</v>
      </c>
      <c r="I35">
        <v>0</v>
      </c>
      <c r="J35">
        <v>0</v>
      </c>
      <c r="K35">
        <v>0</v>
      </c>
      <c r="M35">
        <v>0</v>
      </c>
      <c r="N35">
        <v>0</v>
      </c>
      <c r="O35">
        <v>0</v>
      </c>
      <c r="P35">
        <v>22554505</v>
      </c>
      <c r="Q35">
        <v>0</v>
      </c>
      <c r="R35">
        <v>0</v>
      </c>
      <c r="S35">
        <v>0</v>
      </c>
      <c r="T35">
        <v>0</v>
      </c>
      <c r="U35">
        <v>4474453</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T35">
        <v>0</v>
      </c>
      <c r="AU35">
        <v>0</v>
      </c>
      <c r="AW35">
        <v>0</v>
      </c>
      <c r="AX35">
        <v>0</v>
      </c>
      <c r="AY35">
        <v>0</v>
      </c>
    </row>
    <row r="36" spans="1:51" x14ac:dyDescent="0.3">
      <c r="A36" s="754">
        <v>55</v>
      </c>
      <c r="B36" t="s">
        <v>216</v>
      </c>
      <c r="D36">
        <v>0</v>
      </c>
      <c r="E36">
        <v>0</v>
      </c>
      <c r="F36">
        <v>0</v>
      </c>
      <c r="G36">
        <v>0</v>
      </c>
      <c r="H36">
        <v>0</v>
      </c>
      <c r="I36">
        <v>0</v>
      </c>
      <c r="J36">
        <v>0</v>
      </c>
      <c r="K36">
        <v>0</v>
      </c>
      <c r="M36">
        <v>0</v>
      </c>
      <c r="N36">
        <v>0</v>
      </c>
      <c r="O36">
        <v>0</v>
      </c>
      <c r="P36">
        <v>43613848</v>
      </c>
      <c r="Q36">
        <v>0</v>
      </c>
      <c r="R36">
        <v>0</v>
      </c>
      <c r="S36">
        <v>0</v>
      </c>
      <c r="T36">
        <v>0</v>
      </c>
      <c r="U36">
        <v>23909881</v>
      </c>
      <c r="V36">
        <v>0</v>
      </c>
      <c r="W36">
        <v>0</v>
      </c>
      <c r="X36">
        <v>0</v>
      </c>
      <c r="Y36">
        <v>0</v>
      </c>
      <c r="Z36">
        <v>0</v>
      </c>
      <c r="AA36">
        <v>0</v>
      </c>
      <c r="AB36">
        <v>0</v>
      </c>
      <c r="AC36">
        <v>0</v>
      </c>
      <c r="AD36">
        <v>0</v>
      </c>
      <c r="AE36">
        <v>0</v>
      </c>
      <c r="AF36">
        <v>0</v>
      </c>
      <c r="AG36">
        <v>0</v>
      </c>
      <c r="AH36">
        <v>0</v>
      </c>
      <c r="AI36">
        <v>0</v>
      </c>
      <c r="AJ36">
        <v>0</v>
      </c>
      <c r="AK36">
        <v>-161164</v>
      </c>
      <c r="AL36">
        <v>0</v>
      </c>
      <c r="AM36">
        <v>0</v>
      </c>
      <c r="AN36">
        <v>0</v>
      </c>
      <c r="AO36">
        <v>0</v>
      </c>
      <c r="AP36">
        <v>0</v>
      </c>
      <c r="AQ36">
        <v>0</v>
      </c>
      <c r="AR36">
        <v>0</v>
      </c>
      <c r="AT36">
        <v>0</v>
      </c>
      <c r="AU36">
        <v>0</v>
      </c>
      <c r="AW36">
        <v>0</v>
      </c>
      <c r="AX36">
        <v>0</v>
      </c>
      <c r="AY36">
        <v>0</v>
      </c>
    </row>
    <row r="37" spans="1:51" x14ac:dyDescent="0.3">
      <c r="A37" s="754">
        <v>61</v>
      </c>
      <c r="B37" t="s">
        <v>230</v>
      </c>
      <c r="D37">
        <v>0</v>
      </c>
      <c r="E37">
        <v>0</v>
      </c>
      <c r="F37">
        <v>0</v>
      </c>
      <c r="G37">
        <v>0</v>
      </c>
      <c r="H37">
        <v>0</v>
      </c>
      <c r="I37">
        <v>0</v>
      </c>
      <c r="J37">
        <v>0</v>
      </c>
      <c r="K37">
        <v>98.37</v>
      </c>
      <c r="M37">
        <v>0</v>
      </c>
      <c r="N37">
        <v>0</v>
      </c>
      <c r="O37">
        <v>0</v>
      </c>
      <c r="P37">
        <v>0</v>
      </c>
      <c r="Q37">
        <v>0</v>
      </c>
      <c r="R37">
        <v>0</v>
      </c>
      <c r="S37">
        <v>0</v>
      </c>
      <c r="T37">
        <v>0</v>
      </c>
      <c r="U37">
        <v>0</v>
      </c>
      <c r="V37">
        <v>0</v>
      </c>
      <c r="W37">
        <v>0</v>
      </c>
      <c r="X37">
        <v>98.79</v>
      </c>
      <c r="Y37">
        <v>0</v>
      </c>
      <c r="Z37">
        <v>0</v>
      </c>
      <c r="AA37">
        <v>0</v>
      </c>
      <c r="AB37">
        <v>0</v>
      </c>
      <c r="AC37">
        <v>0</v>
      </c>
      <c r="AD37">
        <v>0</v>
      </c>
      <c r="AE37">
        <v>0</v>
      </c>
      <c r="AF37">
        <v>0</v>
      </c>
      <c r="AG37">
        <v>0</v>
      </c>
      <c r="AH37">
        <v>0</v>
      </c>
      <c r="AI37">
        <v>0</v>
      </c>
      <c r="AJ37">
        <v>0</v>
      </c>
      <c r="AK37">
        <v>99.75</v>
      </c>
      <c r="AL37">
        <v>0</v>
      </c>
      <c r="AM37">
        <v>0</v>
      </c>
      <c r="AN37">
        <v>0</v>
      </c>
      <c r="AO37">
        <v>0</v>
      </c>
      <c r="AP37">
        <v>0</v>
      </c>
      <c r="AQ37">
        <v>0</v>
      </c>
      <c r="AR37">
        <v>0</v>
      </c>
      <c r="AT37">
        <v>0</v>
      </c>
      <c r="AU37">
        <v>0</v>
      </c>
      <c r="AW37">
        <v>0</v>
      </c>
      <c r="AX37">
        <v>0</v>
      </c>
      <c r="AY37">
        <v>0</v>
      </c>
    </row>
    <row r="38" spans="1:51" x14ac:dyDescent="0.3">
      <c r="A38" s="754">
        <v>80</v>
      </c>
      <c r="B38" t="s">
        <v>185</v>
      </c>
      <c r="D38">
        <v>1814420</v>
      </c>
      <c r="E38">
        <v>6798177</v>
      </c>
      <c r="F38">
        <v>8000571</v>
      </c>
      <c r="G38">
        <v>57195118</v>
      </c>
      <c r="H38">
        <v>69031855</v>
      </c>
      <c r="I38">
        <v>25584320</v>
      </c>
      <c r="J38">
        <v>61227683</v>
      </c>
      <c r="K38">
        <v>8341777</v>
      </c>
      <c r="M38">
        <v>2588197</v>
      </c>
      <c r="N38">
        <v>6332703</v>
      </c>
      <c r="O38">
        <v>43853</v>
      </c>
      <c r="P38">
        <v>30129663</v>
      </c>
      <c r="Q38">
        <v>1549976</v>
      </c>
      <c r="R38">
        <v>676438</v>
      </c>
      <c r="S38">
        <v>6765791</v>
      </c>
      <c r="T38">
        <v>526963</v>
      </c>
      <c r="U38">
        <v>23485751</v>
      </c>
      <c r="V38">
        <v>3513748</v>
      </c>
      <c r="W38">
        <v>625421</v>
      </c>
      <c r="X38">
        <v>3603935</v>
      </c>
      <c r="Y38">
        <v>2867786</v>
      </c>
      <c r="Z38">
        <v>1122686</v>
      </c>
      <c r="AA38">
        <v>1329956</v>
      </c>
      <c r="AB38">
        <v>1147754</v>
      </c>
      <c r="AC38">
        <v>11648484</v>
      </c>
      <c r="AD38">
        <v>3243640</v>
      </c>
      <c r="AE38">
        <v>462555</v>
      </c>
      <c r="AF38">
        <v>43714192</v>
      </c>
      <c r="AG38">
        <v>7176478</v>
      </c>
      <c r="AH38">
        <v>18494291</v>
      </c>
      <c r="AI38">
        <v>13394286</v>
      </c>
      <c r="AJ38">
        <v>597424</v>
      </c>
      <c r="AK38">
        <v>1163475</v>
      </c>
      <c r="AL38">
        <v>28374787</v>
      </c>
      <c r="AM38">
        <v>3685577</v>
      </c>
      <c r="AN38">
        <v>7968480</v>
      </c>
      <c r="AO38">
        <v>2197697</v>
      </c>
      <c r="AP38">
        <v>2243985</v>
      </c>
      <c r="AQ38">
        <v>1273810</v>
      </c>
      <c r="AR38">
        <v>332512</v>
      </c>
      <c r="AT38">
        <v>14372154</v>
      </c>
      <c r="AU38">
        <v>0</v>
      </c>
      <c r="AW38">
        <v>38493</v>
      </c>
      <c r="AX38">
        <v>3275984</v>
      </c>
      <c r="AY38">
        <v>1882631</v>
      </c>
    </row>
    <row r="39" spans="1:51" x14ac:dyDescent="0.3">
      <c r="A39" s="754">
        <v>81</v>
      </c>
      <c r="B39" t="s">
        <v>186</v>
      </c>
      <c r="D39">
        <v>456948</v>
      </c>
      <c r="E39">
        <v>312305</v>
      </c>
      <c r="F39">
        <v>947233</v>
      </c>
      <c r="G39">
        <v>3101233</v>
      </c>
      <c r="H39">
        <v>6835102</v>
      </c>
      <c r="I39">
        <v>1471594</v>
      </c>
      <c r="J39">
        <v>24808293</v>
      </c>
      <c r="K39">
        <v>1085896</v>
      </c>
      <c r="M39">
        <v>608078</v>
      </c>
      <c r="N39">
        <v>487992</v>
      </c>
      <c r="O39">
        <v>17280</v>
      </c>
      <c r="P39">
        <v>20533096</v>
      </c>
      <c r="Q39">
        <v>115003</v>
      </c>
      <c r="R39">
        <v>32965</v>
      </c>
      <c r="S39">
        <v>410382</v>
      </c>
      <c r="T39">
        <v>152529</v>
      </c>
      <c r="U39">
        <v>4916399</v>
      </c>
      <c r="V39">
        <v>515616</v>
      </c>
      <c r="W39">
        <v>40339</v>
      </c>
      <c r="X39">
        <v>417364</v>
      </c>
      <c r="Y39">
        <v>356334</v>
      </c>
      <c r="Z39">
        <v>206614</v>
      </c>
      <c r="AA39">
        <v>99283</v>
      </c>
      <c r="AB39">
        <v>47518</v>
      </c>
      <c r="AC39">
        <v>41252</v>
      </c>
      <c r="AD39">
        <v>215599</v>
      </c>
      <c r="AE39">
        <v>108551</v>
      </c>
      <c r="AF39">
        <v>5109494</v>
      </c>
      <c r="AG39">
        <v>4493011</v>
      </c>
      <c r="AH39">
        <v>542863</v>
      </c>
      <c r="AI39">
        <v>600162</v>
      </c>
      <c r="AJ39">
        <v>63215</v>
      </c>
      <c r="AK39">
        <v>18008</v>
      </c>
      <c r="AL39">
        <v>1864194</v>
      </c>
      <c r="AM39">
        <v>171015</v>
      </c>
      <c r="AN39">
        <v>742814</v>
      </c>
      <c r="AO39">
        <v>189977</v>
      </c>
      <c r="AP39">
        <v>67023</v>
      </c>
      <c r="AQ39">
        <v>79399</v>
      </c>
      <c r="AR39">
        <v>1710</v>
      </c>
      <c r="AT39">
        <v>744187</v>
      </c>
      <c r="AU39">
        <v>0</v>
      </c>
      <c r="AW39">
        <v>1422</v>
      </c>
      <c r="AX39">
        <v>412433</v>
      </c>
      <c r="AY39">
        <v>665364</v>
      </c>
    </row>
    <row r="40" spans="1:51" x14ac:dyDescent="0.3">
      <c r="A40" s="754">
        <v>82</v>
      </c>
      <c r="B40" t="s">
        <v>285</v>
      </c>
      <c r="D40">
        <v>3234856</v>
      </c>
      <c r="E40">
        <v>5205016</v>
      </c>
      <c r="F40">
        <v>11436938</v>
      </c>
      <c r="G40">
        <v>81596555</v>
      </c>
      <c r="H40">
        <v>98361909</v>
      </c>
      <c r="I40">
        <v>4083010</v>
      </c>
      <c r="J40">
        <v>302445773</v>
      </c>
      <c r="K40">
        <v>4016111</v>
      </c>
      <c r="M40">
        <v>13835000</v>
      </c>
      <c r="N40">
        <v>6193419</v>
      </c>
      <c r="O40">
        <v>902000</v>
      </c>
      <c r="P40">
        <v>264442392</v>
      </c>
      <c r="Q40">
        <v>960000</v>
      </c>
      <c r="R40">
        <v>0</v>
      </c>
      <c r="S40">
        <v>0</v>
      </c>
      <c r="T40">
        <v>1372794</v>
      </c>
      <c r="U40">
        <v>93036826</v>
      </c>
      <c r="V40">
        <v>10997773</v>
      </c>
      <c r="W40">
        <v>0</v>
      </c>
      <c r="X40">
        <v>9127656</v>
      </c>
      <c r="Y40">
        <v>19751443</v>
      </c>
      <c r="Z40">
        <v>1489437</v>
      </c>
      <c r="AA40">
        <v>16799789</v>
      </c>
      <c r="AB40">
        <v>0</v>
      </c>
      <c r="AC40">
        <v>72362368</v>
      </c>
      <c r="AD40">
        <v>3046072</v>
      </c>
      <c r="AE40">
        <v>1862000</v>
      </c>
      <c r="AF40">
        <v>66131555</v>
      </c>
      <c r="AG40">
        <v>94603433</v>
      </c>
      <c r="AH40">
        <v>12781680</v>
      </c>
      <c r="AI40">
        <v>0</v>
      </c>
      <c r="AJ40">
        <v>1585791</v>
      </c>
      <c r="AK40">
        <v>0</v>
      </c>
      <c r="AL40">
        <v>35051732</v>
      </c>
      <c r="AM40">
        <v>4285235</v>
      </c>
      <c r="AN40">
        <v>8328246</v>
      </c>
      <c r="AO40">
        <v>0</v>
      </c>
      <c r="AP40">
        <v>470576</v>
      </c>
      <c r="AQ40">
        <v>6799000</v>
      </c>
      <c r="AR40">
        <v>0</v>
      </c>
      <c r="AT40">
        <v>10132755</v>
      </c>
      <c r="AU40">
        <v>0</v>
      </c>
      <c r="AW40">
        <v>0</v>
      </c>
      <c r="AX40">
        <v>0</v>
      </c>
      <c r="AY40">
        <v>6317282</v>
      </c>
    </row>
    <row r="41" spans="1:51" x14ac:dyDescent="0.3">
      <c r="A41" s="754">
        <v>83</v>
      </c>
      <c r="B41" t="s">
        <v>73</v>
      </c>
      <c r="D41">
        <v>11024110</v>
      </c>
      <c r="E41">
        <v>20494987</v>
      </c>
      <c r="F41">
        <v>28980703</v>
      </c>
      <c r="G41">
        <v>95056559</v>
      </c>
      <c r="H41">
        <v>473746339</v>
      </c>
      <c r="I41">
        <v>159074961</v>
      </c>
      <c r="J41">
        <v>616477942</v>
      </c>
      <c r="K41">
        <v>40774095</v>
      </c>
      <c r="M41">
        <v>15767056</v>
      </c>
      <c r="N41">
        <v>23011869</v>
      </c>
      <c r="O41">
        <v>2984443</v>
      </c>
      <c r="P41">
        <v>584751715</v>
      </c>
      <c r="Q41">
        <v>3433292</v>
      </c>
      <c r="R41">
        <v>2398878</v>
      </c>
      <c r="S41">
        <v>23977191</v>
      </c>
      <c r="T41">
        <v>2159467</v>
      </c>
      <c r="U41">
        <v>203766456</v>
      </c>
      <c r="V41">
        <v>12440100</v>
      </c>
      <c r="W41">
        <v>2284351</v>
      </c>
      <c r="X41">
        <v>13256167</v>
      </c>
      <c r="Y41">
        <v>24693765</v>
      </c>
      <c r="Z41">
        <v>6533337</v>
      </c>
      <c r="AA41">
        <v>6742786</v>
      </c>
      <c r="AB41">
        <v>2853629</v>
      </c>
      <c r="AC41">
        <v>41575082</v>
      </c>
      <c r="AD41">
        <v>10529961</v>
      </c>
      <c r="AE41">
        <v>804611</v>
      </c>
      <c r="AF41">
        <v>167309905</v>
      </c>
      <c r="AG41">
        <v>279510387</v>
      </c>
      <c r="AH41">
        <v>116679233</v>
      </c>
      <c r="AI41">
        <v>42007561</v>
      </c>
      <c r="AJ41">
        <v>5307779</v>
      </c>
      <c r="AK41">
        <v>1852243</v>
      </c>
      <c r="AL41">
        <v>55117195</v>
      </c>
      <c r="AM41">
        <v>10331247</v>
      </c>
      <c r="AN41">
        <v>23179341</v>
      </c>
      <c r="AO41">
        <v>6404391</v>
      </c>
      <c r="AP41">
        <v>6480424</v>
      </c>
      <c r="AQ41">
        <v>4586797</v>
      </c>
      <c r="AR41">
        <v>1293015</v>
      </c>
      <c r="AT41">
        <v>38713910</v>
      </c>
      <c r="AU41">
        <v>10915271</v>
      </c>
      <c r="AW41">
        <v>128115</v>
      </c>
      <c r="AX41">
        <v>11493301</v>
      </c>
      <c r="AY41">
        <v>21827072</v>
      </c>
    </row>
    <row r="42" spans="1:51" x14ac:dyDescent="0.3">
      <c r="A42" s="754">
        <v>84</v>
      </c>
      <c r="B42" t="s">
        <v>194</v>
      </c>
      <c r="D42">
        <v>1860127</v>
      </c>
      <c r="E42">
        <v>2760455</v>
      </c>
      <c r="F42">
        <v>7542909</v>
      </c>
      <c r="G42">
        <v>22121881</v>
      </c>
      <c r="H42">
        <v>45453983</v>
      </c>
      <c r="I42">
        <v>18031899</v>
      </c>
      <c r="J42">
        <v>106370651</v>
      </c>
      <c r="K42">
        <v>8451601</v>
      </c>
      <c r="M42">
        <v>2529505</v>
      </c>
      <c r="N42">
        <v>3183262</v>
      </c>
      <c r="O42">
        <v>239842</v>
      </c>
      <c r="P42">
        <v>112779131</v>
      </c>
      <c r="Q42">
        <v>1040166</v>
      </c>
      <c r="R42">
        <v>263057</v>
      </c>
      <c r="S42">
        <v>2558739</v>
      </c>
      <c r="T42">
        <v>729440</v>
      </c>
      <c r="U42">
        <v>47916175</v>
      </c>
      <c r="V42">
        <v>3781039</v>
      </c>
      <c r="W42">
        <v>567079</v>
      </c>
      <c r="X42">
        <v>2528982</v>
      </c>
      <c r="Y42">
        <v>4555994</v>
      </c>
      <c r="Z42">
        <v>2081157</v>
      </c>
      <c r="AA42">
        <v>1780288</v>
      </c>
      <c r="AB42">
        <v>432029</v>
      </c>
      <c r="AC42">
        <v>10441027</v>
      </c>
      <c r="AD42">
        <v>1307374</v>
      </c>
      <c r="AE42">
        <v>703772</v>
      </c>
      <c r="AF42">
        <v>26643611</v>
      </c>
      <c r="AG42">
        <v>35514821</v>
      </c>
      <c r="AH42">
        <v>8694691</v>
      </c>
      <c r="AI42">
        <v>8795931</v>
      </c>
      <c r="AJ42">
        <v>694254</v>
      </c>
      <c r="AK42">
        <v>114500</v>
      </c>
      <c r="AL42">
        <v>13539087</v>
      </c>
      <c r="AM42">
        <v>2317506</v>
      </c>
      <c r="AN42">
        <v>2779061</v>
      </c>
      <c r="AO42">
        <v>1609780</v>
      </c>
      <c r="AP42">
        <v>722861</v>
      </c>
      <c r="AQ42">
        <v>664954</v>
      </c>
      <c r="AR42">
        <v>181215</v>
      </c>
      <c r="AT42">
        <v>5245885</v>
      </c>
      <c r="AU42">
        <v>0</v>
      </c>
      <c r="AW42">
        <v>42169</v>
      </c>
      <c r="AX42">
        <v>2318530</v>
      </c>
      <c r="AY42">
        <v>2935875</v>
      </c>
    </row>
    <row r="43" spans="1:51" x14ac:dyDescent="0.3">
      <c r="A43" s="754">
        <v>85</v>
      </c>
      <c r="B43" t="s">
        <v>196</v>
      </c>
      <c r="D43">
        <v>2368691</v>
      </c>
      <c r="E43">
        <v>2448466</v>
      </c>
      <c r="F43">
        <v>5175222</v>
      </c>
      <c r="G43">
        <v>13499757</v>
      </c>
      <c r="H43">
        <v>28924292</v>
      </c>
      <c r="I43">
        <v>19808169</v>
      </c>
      <c r="J43">
        <v>89077300</v>
      </c>
      <c r="K43">
        <v>8709026</v>
      </c>
      <c r="M43">
        <v>2854827</v>
      </c>
      <c r="N43">
        <v>3075404</v>
      </c>
      <c r="O43">
        <v>334909</v>
      </c>
      <c r="P43">
        <v>91329272</v>
      </c>
      <c r="Q43">
        <v>805787</v>
      </c>
      <c r="R43">
        <v>301139</v>
      </c>
      <c r="S43">
        <v>2333044</v>
      </c>
      <c r="T43">
        <v>426734</v>
      </c>
      <c r="U43">
        <v>45993200</v>
      </c>
      <c r="V43">
        <v>2981128</v>
      </c>
      <c r="W43">
        <v>397878</v>
      </c>
      <c r="X43">
        <v>2721360</v>
      </c>
      <c r="Y43">
        <v>4947059</v>
      </c>
      <c r="Z43">
        <v>2032282</v>
      </c>
      <c r="AA43">
        <v>1999771</v>
      </c>
      <c r="AB43">
        <v>430663</v>
      </c>
      <c r="AC43">
        <v>7057569</v>
      </c>
      <c r="AD43">
        <v>1062958</v>
      </c>
      <c r="AE43">
        <v>876234</v>
      </c>
      <c r="AF43">
        <v>24983106</v>
      </c>
      <c r="AG43">
        <v>33321909</v>
      </c>
      <c r="AH43">
        <v>7466373</v>
      </c>
      <c r="AI43">
        <v>7972393</v>
      </c>
      <c r="AJ43">
        <v>735624</v>
      </c>
      <c r="AK43">
        <v>348230</v>
      </c>
      <c r="AL43">
        <v>8952561</v>
      </c>
      <c r="AM43">
        <v>1946884</v>
      </c>
      <c r="AN43">
        <v>2298654</v>
      </c>
      <c r="AO43">
        <v>1317191</v>
      </c>
      <c r="AP43">
        <v>512559</v>
      </c>
      <c r="AQ43">
        <v>457736</v>
      </c>
      <c r="AR43">
        <v>156745</v>
      </c>
      <c r="AT43">
        <v>5201503</v>
      </c>
      <c r="AU43">
        <v>55622</v>
      </c>
      <c r="AW43">
        <v>38803</v>
      </c>
      <c r="AX43">
        <v>2164148</v>
      </c>
      <c r="AY43">
        <v>2570474</v>
      </c>
    </row>
    <row r="44" spans="1:51" x14ac:dyDescent="0.3">
      <c r="A44" s="754">
        <v>88</v>
      </c>
      <c r="B44" t="s">
        <v>193</v>
      </c>
      <c r="D44">
        <v>1724770</v>
      </c>
      <c r="E44">
        <v>2378113</v>
      </c>
      <c r="F44">
        <v>7088136</v>
      </c>
      <c r="G44">
        <v>9309625</v>
      </c>
      <c r="H44">
        <v>38591901</v>
      </c>
      <c r="I44">
        <v>18031899</v>
      </c>
      <c r="J44">
        <v>95651260</v>
      </c>
      <c r="K44">
        <v>8110231</v>
      </c>
      <c r="M44">
        <v>2456702</v>
      </c>
      <c r="N44">
        <v>2884606</v>
      </c>
      <c r="O44">
        <v>228186</v>
      </c>
      <c r="P44">
        <v>100495821</v>
      </c>
      <c r="Q44">
        <v>974530</v>
      </c>
      <c r="R44">
        <v>263057</v>
      </c>
      <c r="S44">
        <v>2351441</v>
      </c>
      <c r="T44">
        <v>307955</v>
      </c>
      <c r="U44">
        <v>47634770</v>
      </c>
      <c r="V44">
        <v>3467727</v>
      </c>
      <c r="W44">
        <v>403947</v>
      </c>
      <c r="X44">
        <v>2432786</v>
      </c>
      <c r="Y44">
        <v>4500161</v>
      </c>
      <c r="Z44">
        <v>1974148</v>
      </c>
      <c r="AA44">
        <v>1780288</v>
      </c>
      <c r="AB44">
        <v>432029</v>
      </c>
      <c r="AC44">
        <v>10282800</v>
      </c>
      <c r="AD44">
        <v>1109351</v>
      </c>
      <c r="AE44">
        <v>654282</v>
      </c>
      <c r="AF44">
        <v>25116540</v>
      </c>
      <c r="AG44">
        <v>34228848</v>
      </c>
      <c r="AH44">
        <v>8483815</v>
      </c>
      <c r="AI44">
        <v>8589772</v>
      </c>
      <c r="AJ44">
        <v>636901</v>
      </c>
      <c r="AK44">
        <v>113000</v>
      </c>
      <c r="AL44">
        <v>13175838</v>
      </c>
      <c r="AM44">
        <v>1807662</v>
      </c>
      <c r="AN44">
        <v>2656351</v>
      </c>
      <c r="AO44">
        <v>1298804</v>
      </c>
      <c r="AP44">
        <v>692833</v>
      </c>
      <c r="AQ44">
        <v>664954</v>
      </c>
      <c r="AR44">
        <v>181215</v>
      </c>
      <c r="AT44">
        <v>4286736</v>
      </c>
      <c r="AU44">
        <v>0</v>
      </c>
      <c r="AW44">
        <v>41570</v>
      </c>
      <c r="AX44">
        <v>1659820</v>
      </c>
      <c r="AY44">
        <v>2886121</v>
      </c>
    </row>
    <row r="45" spans="1:51" x14ac:dyDescent="0.3">
      <c r="A45" s="754">
        <v>89</v>
      </c>
      <c r="B45" t="s">
        <v>197</v>
      </c>
      <c r="D45">
        <v>100716</v>
      </c>
      <c r="E45">
        <v>61020</v>
      </c>
      <c r="F45">
        <v>402215</v>
      </c>
      <c r="G45">
        <v>2062773</v>
      </c>
      <c r="H45">
        <v>3110487</v>
      </c>
      <c r="I45">
        <v>156882</v>
      </c>
      <c r="J45">
        <v>9016759</v>
      </c>
      <c r="K45">
        <v>61048</v>
      </c>
      <c r="M45">
        <v>417159</v>
      </c>
      <c r="N45">
        <v>105906</v>
      </c>
      <c r="O45">
        <v>15770</v>
      </c>
      <c r="P45">
        <v>9186216</v>
      </c>
      <c r="Q45">
        <v>60906</v>
      </c>
      <c r="R45">
        <v>91604</v>
      </c>
      <c r="S45">
        <v>0</v>
      </c>
      <c r="T45">
        <v>23628</v>
      </c>
      <c r="U45">
        <v>3497327</v>
      </c>
      <c r="V45">
        <v>15499</v>
      </c>
      <c r="W45">
        <v>0</v>
      </c>
      <c r="X45">
        <v>17649</v>
      </c>
      <c r="Y45">
        <v>76268</v>
      </c>
      <c r="Z45">
        <v>34167</v>
      </c>
      <c r="AA45">
        <v>483315</v>
      </c>
      <c r="AB45">
        <v>0</v>
      </c>
      <c r="AC45">
        <v>2612148</v>
      </c>
      <c r="AD45">
        <v>6331</v>
      </c>
      <c r="AE45">
        <v>80446</v>
      </c>
      <c r="AF45">
        <v>1691380</v>
      </c>
      <c r="AG45">
        <v>2708475</v>
      </c>
      <c r="AH45">
        <v>375261</v>
      </c>
      <c r="AI45">
        <v>47262</v>
      </c>
      <c r="AJ45">
        <v>69316</v>
      </c>
      <c r="AK45">
        <v>0</v>
      </c>
      <c r="AL45">
        <v>920580</v>
      </c>
      <c r="AM45">
        <v>194195</v>
      </c>
      <c r="AN45">
        <v>106154</v>
      </c>
      <c r="AO45">
        <v>0</v>
      </c>
      <c r="AP45">
        <v>10406</v>
      </c>
      <c r="AQ45">
        <v>237359</v>
      </c>
      <c r="AR45">
        <v>0</v>
      </c>
      <c r="AT45">
        <v>411813</v>
      </c>
      <c r="AU45">
        <v>0</v>
      </c>
      <c r="AW45">
        <v>0</v>
      </c>
      <c r="AX45">
        <v>1166</v>
      </c>
      <c r="AY45">
        <v>58173</v>
      </c>
    </row>
    <row r="46" spans="1:51" x14ac:dyDescent="0.3">
      <c r="A46" s="754">
        <v>90</v>
      </c>
      <c r="B46" t="s">
        <v>190</v>
      </c>
      <c r="D46">
        <v>0</v>
      </c>
      <c r="E46">
        <v>0</v>
      </c>
      <c r="F46">
        <v>0</v>
      </c>
      <c r="G46">
        <v>0</v>
      </c>
      <c r="H46">
        <v>0</v>
      </c>
      <c r="I46">
        <v>0</v>
      </c>
      <c r="J46">
        <v>0</v>
      </c>
      <c r="K46">
        <v>0</v>
      </c>
      <c r="M46">
        <v>0</v>
      </c>
      <c r="N46">
        <v>0</v>
      </c>
      <c r="O46">
        <v>0</v>
      </c>
      <c r="P46">
        <v>97768274</v>
      </c>
      <c r="Q46">
        <v>0</v>
      </c>
      <c r="R46">
        <v>0</v>
      </c>
      <c r="S46">
        <v>0</v>
      </c>
      <c r="T46">
        <v>0</v>
      </c>
      <c r="U46">
        <v>50641660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T46">
        <v>0</v>
      </c>
      <c r="AU46">
        <v>0</v>
      </c>
      <c r="AW46">
        <v>0</v>
      </c>
      <c r="AX46">
        <v>0</v>
      </c>
      <c r="AY46">
        <v>0</v>
      </c>
    </row>
    <row r="47" spans="1:51" x14ac:dyDescent="0.3">
      <c r="A47" s="754">
        <v>91</v>
      </c>
      <c r="B47" t="s">
        <v>191</v>
      </c>
      <c r="D47">
        <v>0</v>
      </c>
      <c r="E47">
        <v>0</v>
      </c>
      <c r="F47">
        <v>0</v>
      </c>
      <c r="G47">
        <v>0</v>
      </c>
      <c r="H47">
        <v>0</v>
      </c>
      <c r="I47">
        <v>0</v>
      </c>
      <c r="J47">
        <v>0</v>
      </c>
      <c r="K47">
        <v>0</v>
      </c>
      <c r="M47">
        <v>0</v>
      </c>
      <c r="N47">
        <v>0</v>
      </c>
      <c r="O47">
        <v>0</v>
      </c>
      <c r="P47">
        <v>23526301</v>
      </c>
      <c r="Q47">
        <v>0</v>
      </c>
      <c r="R47">
        <v>0</v>
      </c>
      <c r="S47">
        <v>0</v>
      </c>
      <c r="T47">
        <v>0</v>
      </c>
      <c r="U47">
        <v>17523224</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T47">
        <v>0</v>
      </c>
      <c r="AU47">
        <v>0</v>
      </c>
      <c r="AW47">
        <v>0</v>
      </c>
      <c r="AX47">
        <v>0</v>
      </c>
      <c r="AY47">
        <v>0</v>
      </c>
    </row>
    <row r="48" spans="1:51" x14ac:dyDescent="0.3">
      <c r="A48" s="754">
        <v>93</v>
      </c>
      <c r="B48" t="s">
        <v>204</v>
      </c>
      <c r="D48">
        <v>0</v>
      </c>
      <c r="E48">
        <v>0</v>
      </c>
      <c r="F48">
        <v>0</v>
      </c>
      <c r="G48">
        <v>0</v>
      </c>
      <c r="H48">
        <v>0</v>
      </c>
      <c r="I48">
        <v>0</v>
      </c>
      <c r="J48">
        <v>0</v>
      </c>
      <c r="K48">
        <v>0</v>
      </c>
      <c r="M48">
        <v>0</v>
      </c>
      <c r="N48">
        <v>0</v>
      </c>
      <c r="O48">
        <v>0</v>
      </c>
      <c r="P48">
        <v>224281629</v>
      </c>
      <c r="Q48">
        <v>0</v>
      </c>
      <c r="R48">
        <v>0</v>
      </c>
      <c r="S48">
        <v>0</v>
      </c>
      <c r="T48">
        <v>0</v>
      </c>
      <c r="U48">
        <v>175832975</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T48">
        <v>0</v>
      </c>
      <c r="AU48">
        <v>0</v>
      </c>
      <c r="AW48">
        <v>0</v>
      </c>
      <c r="AX48">
        <v>0</v>
      </c>
      <c r="AY48">
        <v>0</v>
      </c>
    </row>
    <row r="49" spans="1:51" x14ac:dyDescent="0.3">
      <c r="A49" s="754">
        <v>94</v>
      </c>
      <c r="B49" t="s">
        <v>207</v>
      </c>
      <c r="D49">
        <v>0</v>
      </c>
      <c r="E49">
        <v>0</v>
      </c>
      <c r="F49">
        <v>0</v>
      </c>
      <c r="G49">
        <v>0</v>
      </c>
      <c r="H49">
        <v>0</v>
      </c>
      <c r="I49">
        <v>0</v>
      </c>
      <c r="J49">
        <v>0</v>
      </c>
      <c r="K49">
        <v>0</v>
      </c>
      <c r="M49">
        <v>0</v>
      </c>
      <c r="N49">
        <v>0</v>
      </c>
      <c r="O49">
        <v>0</v>
      </c>
      <c r="P49">
        <v>211111918</v>
      </c>
      <c r="Q49">
        <v>0</v>
      </c>
      <c r="R49">
        <v>0</v>
      </c>
      <c r="S49">
        <v>0</v>
      </c>
      <c r="T49">
        <v>0</v>
      </c>
      <c r="U49">
        <v>167002898</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T49">
        <v>0</v>
      </c>
      <c r="AU49">
        <v>0</v>
      </c>
      <c r="AW49">
        <v>0</v>
      </c>
      <c r="AX49">
        <v>0</v>
      </c>
      <c r="AY49">
        <v>0</v>
      </c>
    </row>
    <row r="50" spans="1:51" x14ac:dyDescent="0.3">
      <c r="A50" s="754">
        <v>97</v>
      </c>
      <c r="B50" t="s">
        <v>203</v>
      </c>
      <c r="D50">
        <v>0</v>
      </c>
      <c r="E50">
        <v>0</v>
      </c>
      <c r="F50">
        <v>0</v>
      </c>
      <c r="G50">
        <v>0</v>
      </c>
      <c r="H50">
        <v>0</v>
      </c>
      <c r="I50">
        <v>0</v>
      </c>
      <c r="J50">
        <v>0</v>
      </c>
      <c r="K50">
        <v>0</v>
      </c>
      <c r="M50">
        <v>0</v>
      </c>
      <c r="N50">
        <v>0</v>
      </c>
      <c r="O50">
        <v>0</v>
      </c>
      <c r="P50">
        <v>185378864</v>
      </c>
      <c r="Q50">
        <v>0</v>
      </c>
      <c r="R50">
        <v>0</v>
      </c>
      <c r="S50">
        <v>0</v>
      </c>
      <c r="T50">
        <v>0</v>
      </c>
      <c r="U50">
        <v>173379180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T50">
        <v>0</v>
      </c>
      <c r="AU50">
        <v>0</v>
      </c>
      <c r="AW50">
        <v>0</v>
      </c>
      <c r="AX50">
        <v>0</v>
      </c>
      <c r="AY50">
        <v>0</v>
      </c>
    </row>
    <row r="51" spans="1:51" x14ac:dyDescent="0.3">
      <c r="A51" s="754">
        <v>98</v>
      </c>
      <c r="B51" t="s">
        <v>208</v>
      </c>
      <c r="D51">
        <v>0</v>
      </c>
      <c r="E51">
        <v>0</v>
      </c>
      <c r="F51">
        <v>0</v>
      </c>
      <c r="G51">
        <v>0</v>
      </c>
      <c r="H51">
        <v>0</v>
      </c>
      <c r="I51">
        <v>0</v>
      </c>
      <c r="J51">
        <v>0</v>
      </c>
      <c r="K51">
        <v>0</v>
      </c>
      <c r="M51">
        <v>0</v>
      </c>
      <c r="N51">
        <v>0</v>
      </c>
      <c r="O51">
        <v>0</v>
      </c>
      <c r="P51">
        <v>794190</v>
      </c>
      <c r="Q51">
        <v>0</v>
      </c>
      <c r="R51">
        <v>0</v>
      </c>
      <c r="S51">
        <v>0</v>
      </c>
      <c r="T51">
        <v>0</v>
      </c>
      <c r="U51">
        <v>2201021</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T51">
        <v>0</v>
      </c>
      <c r="AU51">
        <v>0</v>
      </c>
      <c r="AW51">
        <v>0</v>
      </c>
      <c r="AX51">
        <v>0</v>
      </c>
      <c r="AY51">
        <v>0</v>
      </c>
    </row>
    <row r="52" spans="1:51" x14ac:dyDescent="0.3">
      <c r="A52" s="754">
        <v>99</v>
      </c>
      <c r="B52" t="s">
        <v>205</v>
      </c>
      <c r="D52">
        <v>0</v>
      </c>
      <c r="E52">
        <v>0</v>
      </c>
      <c r="F52">
        <v>0</v>
      </c>
      <c r="G52">
        <v>0</v>
      </c>
      <c r="H52">
        <v>0</v>
      </c>
      <c r="I52">
        <v>0</v>
      </c>
      <c r="J52">
        <v>0</v>
      </c>
      <c r="K52">
        <v>0</v>
      </c>
      <c r="M52">
        <v>0</v>
      </c>
      <c r="N52">
        <v>0</v>
      </c>
      <c r="O52">
        <v>0</v>
      </c>
      <c r="P52">
        <v>148346794</v>
      </c>
      <c r="Q52">
        <v>0</v>
      </c>
      <c r="R52">
        <v>0</v>
      </c>
      <c r="S52">
        <v>0</v>
      </c>
      <c r="T52">
        <v>0</v>
      </c>
      <c r="U52">
        <v>123958173</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T52">
        <v>0</v>
      </c>
      <c r="AU52">
        <v>0</v>
      </c>
      <c r="AW52">
        <v>0</v>
      </c>
      <c r="AX52">
        <v>0</v>
      </c>
      <c r="AY52">
        <v>0</v>
      </c>
    </row>
    <row r="53" spans="1:51" x14ac:dyDescent="0.3">
      <c r="A53" s="754">
        <v>100</v>
      </c>
      <c r="B53" t="s">
        <v>218</v>
      </c>
      <c r="D53">
        <v>0</v>
      </c>
      <c r="E53">
        <v>0</v>
      </c>
      <c r="F53">
        <v>0</v>
      </c>
      <c r="G53">
        <v>0</v>
      </c>
      <c r="H53">
        <v>0</v>
      </c>
      <c r="I53">
        <v>0</v>
      </c>
      <c r="J53">
        <v>0</v>
      </c>
      <c r="K53">
        <v>0</v>
      </c>
      <c r="M53">
        <v>0</v>
      </c>
      <c r="N53">
        <v>0</v>
      </c>
      <c r="O53">
        <v>0</v>
      </c>
      <c r="P53">
        <v>1220926</v>
      </c>
      <c r="Q53">
        <v>0</v>
      </c>
      <c r="R53">
        <v>0</v>
      </c>
      <c r="S53">
        <v>0</v>
      </c>
      <c r="T53">
        <v>0</v>
      </c>
      <c r="U53">
        <v>2047265</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T53">
        <v>0</v>
      </c>
      <c r="AU53">
        <v>0</v>
      </c>
      <c r="AW53">
        <v>0</v>
      </c>
      <c r="AX53">
        <v>0</v>
      </c>
      <c r="AY53">
        <v>0</v>
      </c>
    </row>
    <row r="54" spans="1:51" x14ac:dyDescent="0.3">
      <c r="A54" s="754">
        <v>101</v>
      </c>
      <c r="B54" t="s">
        <v>217</v>
      </c>
      <c r="D54">
        <v>0</v>
      </c>
      <c r="E54">
        <v>0</v>
      </c>
      <c r="F54">
        <v>0</v>
      </c>
      <c r="G54">
        <v>0</v>
      </c>
      <c r="H54">
        <v>0</v>
      </c>
      <c r="I54">
        <v>0</v>
      </c>
      <c r="J54">
        <v>0</v>
      </c>
      <c r="K54">
        <v>0</v>
      </c>
      <c r="M54">
        <v>0</v>
      </c>
      <c r="N54">
        <v>0</v>
      </c>
      <c r="O54">
        <v>0</v>
      </c>
      <c r="P54">
        <v>33576874</v>
      </c>
      <c r="Q54">
        <v>0</v>
      </c>
      <c r="R54">
        <v>0</v>
      </c>
      <c r="S54">
        <v>0</v>
      </c>
      <c r="T54">
        <v>0</v>
      </c>
      <c r="U54">
        <v>22986060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T54">
        <v>0</v>
      </c>
      <c r="AU54">
        <v>0</v>
      </c>
      <c r="AW54">
        <v>0</v>
      </c>
      <c r="AX54">
        <v>0</v>
      </c>
      <c r="AY54">
        <v>0</v>
      </c>
    </row>
    <row r="55" spans="1:51" x14ac:dyDescent="0.3">
      <c r="A55" s="754">
        <v>102</v>
      </c>
      <c r="B55" t="s">
        <v>231</v>
      </c>
      <c r="D55">
        <v>0</v>
      </c>
      <c r="E55">
        <v>0</v>
      </c>
      <c r="F55">
        <v>0</v>
      </c>
      <c r="G55">
        <v>0</v>
      </c>
      <c r="H55">
        <v>0</v>
      </c>
      <c r="I55">
        <v>0</v>
      </c>
      <c r="J55">
        <v>0</v>
      </c>
      <c r="K55">
        <v>98.28</v>
      </c>
      <c r="M55">
        <v>0</v>
      </c>
      <c r="N55">
        <v>0</v>
      </c>
      <c r="O55">
        <v>0</v>
      </c>
      <c r="P55">
        <v>0</v>
      </c>
      <c r="Q55">
        <v>0</v>
      </c>
      <c r="R55">
        <v>0</v>
      </c>
      <c r="S55">
        <v>0</v>
      </c>
      <c r="T55">
        <v>0</v>
      </c>
      <c r="U55">
        <v>0</v>
      </c>
      <c r="V55">
        <v>0</v>
      </c>
      <c r="W55">
        <v>0</v>
      </c>
      <c r="X55">
        <v>98.68</v>
      </c>
      <c r="Y55">
        <v>0</v>
      </c>
      <c r="Z55">
        <v>0</v>
      </c>
      <c r="AA55">
        <v>0</v>
      </c>
      <c r="AB55">
        <v>0</v>
      </c>
      <c r="AC55">
        <v>0</v>
      </c>
      <c r="AD55">
        <v>0</v>
      </c>
      <c r="AE55">
        <v>0</v>
      </c>
      <c r="AF55">
        <v>0</v>
      </c>
      <c r="AG55">
        <v>0</v>
      </c>
      <c r="AH55">
        <v>0</v>
      </c>
      <c r="AI55">
        <v>0</v>
      </c>
      <c r="AJ55">
        <v>0</v>
      </c>
      <c r="AK55">
        <v>99.72</v>
      </c>
      <c r="AL55">
        <v>0</v>
      </c>
      <c r="AM55">
        <v>0</v>
      </c>
      <c r="AN55">
        <v>0</v>
      </c>
      <c r="AO55">
        <v>0</v>
      </c>
      <c r="AP55">
        <v>0</v>
      </c>
      <c r="AQ55">
        <v>0</v>
      </c>
      <c r="AR55">
        <v>0</v>
      </c>
      <c r="AT55">
        <v>0</v>
      </c>
      <c r="AU55">
        <v>0</v>
      </c>
      <c r="AW55">
        <v>0</v>
      </c>
      <c r="AX55">
        <v>0</v>
      </c>
      <c r="AY55">
        <v>0</v>
      </c>
    </row>
    <row r="56" spans="1:51" x14ac:dyDescent="0.3">
      <c r="A56" s="754">
        <v>103</v>
      </c>
      <c r="B56" t="s">
        <v>232</v>
      </c>
      <c r="D56">
        <v>0</v>
      </c>
      <c r="E56">
        <v>0</v>
      </c>
      <c r="F56">
        <v>0</v>
      </c>
      <c r="G56">
        <v>0</v>
      </c>
      <c r="H56">
        <v>0</v>
      </c>
      <c r="I56">
        <v>0</v>
      </c>
      <c r="J56">
        <v>0</v>
      </c>
      <c r="K56">
        <v>100</v>
      </c>
      <c r="M56">
        <v>0</v>
      </c>
      <c r="N56">
        <v>0</v>
      </c>
      <c r="O56">
        <v>0</v>
      </c>
      <c r="P56">
        <v>0</v>
      </c>
      <c r="Q56">
        <v>0</v>
      </c>
      <c r="R56">
        <v>0</v>
      </c>
      <c r="S56">
        <v>0</v>
      </c>
      <c r="T56">
        <v>0</v>
      </c>
      <c r="U56">
        <v>0</v>
      </c>
      <c r="V56">
        <v>0</v>
      </c>
      <c r="W56">
        <v>0</v>
      </c>
      <c r="X56">
        <v>100</v>
      </c>
      <c r="Y56">
        <v>0</v>
      </c>
      <c r="Z56">
        <v>0</v>
      </c>
      <c r="AA56">
        <v>0</v>
      </c>
      <c r="AB56">
        <v>0</v>
      </c>
      <c r="AC56">
        <v>0</v>
      </c>
      <c r="AD56">
        <v>0</v>
      </c>
      <c r="AE56">
        <v>0</v>
      </c>
      <c r="AF56">
        <v>0</v>
      </c>
      <c r="AG56">
        <v>0</v>
      </c>
      <c r="AH56">
        <v>0</v>
      </c>
      <c r="AI56">
        <v>0</v>
      </c>
      <c r="AJ56">
        <v>0</v>
      </c>
      <c r="AK56">
        <v>100</v>
      </c>
      <c r="AL56">
        <v>0</v>
      </c>
      <c r="AM56">
        <v>0</v>
      </c>
      <c r="AN56">
        <v>0</v>
      </c>
      <c r="AO56">
        <v>0</v>
      </c>
      <c r="AP56">
        <v>0</v>
      </c>
      <c r="AQ56">
        <v>0</v>
      </c>
      <c r="AR56">
        <v>0</v>
      </c>
      <c r="AT56">
        <v>0</v>
      </c>
      <c r="AU56">
        <v>0</v>
      </c>
      <c r="AW56">
        <v>0</v>
      </c>
      <c r="AX56">
        <v>0</v>
      </c>
      <c r="AY56">
        <v>0</v>
      </c>
    </row>
    <row r="57" spans="1:51" x14ac:dyDescent="0.3">
      <c r="A57" s="754">
        <v>104</v>
      </c>
      <c r="B57" t="s">
        <v>837</v>
      </c>
      <c r="D57">
        <v>0</v>
      </c>
      <c r="E57">
        <v>0</v>
      </c>
      <c r="F57">
        <v>0</v>
      </c>
      <c r="G57">
        <v>0</v>
      </c>
      <c r="H57">
        <v>0</v>
      </c>
      <c r="I57">
        <v>0</v>
      </c>
      <c r="J57">
        <v>0</v>
      </c>
      <c r="K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T57">
        <v>0</v>
      </c>
      <c r="AU57">
        <v>0</v>
      </c>
      <c r="AW57">
        <v>0</v>
      </c>
      <c r="AX57">
        <v>0</v>
      </c>
      <c r="AY57">
        <v>0</v>
      </c>
    </row>
    <row r="58" spans="1:51" x14ac:dyDescent="0.3">
      <c r="A58" s="754">
        <v>107</v>
      </c>
      <c r="B58" t="s">
        <v>838</v>
      </c>
      <c r="D58">
        <v>0</v>
      </c>
      <c r="E58">
        <v>0</v>
      </c>
      <c r="F58">
        <v>0</v>
      </c>
      <c r="G58">
        <v>0</v>
      </c>
      <c r="H58">
        <v>0</v>
      </c>
      <c r="I58">
        <v>0</v>
      </c>
      <c r="J58">
        <v>0</v>
      </c>
      <c r="K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T58">
        <v>0</v>
      </c>
      <c r="AU58">
        <v>0</v>
      </c>
      <c r="AW58">
        <v>0</v>
      </c>
      <c r="AX58">
        <v>0</v>
      </c>
      <c r="AY58">
        <v>0</v>
      </c>
    </row>
    <row r="59" spans="1:51" x14ac:dyDescent="0.3">
      <c r="A59" s="754">
        <v>108</v>
      </c>
      <c r="B59" t="s">
        <v>839</v>
      </c>
      <c r="D59">
        <v>0</v>
      </c>
      <c r="E59">
        <v>0</v>
      </c>
      <c r="F59">
        <v>0</v>
      </c>
      <c r="G59">
        <v>0</v>
      </c>
      <c r="H59">
        <v>0</v>
      </c>
      <c r="I59">
        <v>0</v>
      </c>
      <c r="J59">
        <v>0</v>
      </c>
      <c r="K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T59">
        <v>0</v>
      </c>
      <c r="AU59">
        <v>0</v>
      </c>
      <c r="AW59">
        <v>0</v>
      </c>
      <c r="AX59">
        <v>0</v>
      </c>
      <c r="AY59">
        <v>0</v>
      </c>
    </row>
    <row r="60" spans="1:51" x14ac:dyDescent="0.3">
      <c r="A60" s="754">
        <v>147</v>
      </c>
      <c r="B60" t="s">
        <v>840</v>
      </c>
      <c r="D60">
        <v>0</v>
      </c>
      <c r="E60">
        <v>0</v>
      </c>
      <c r="F60">
        <v>0</v>
      </c>
      <c r="G60">
        <v>0</v>
      </c>
      <c r="H60">
        <v>0</v>
      </c>
      <c r="I60">
        <v>0</v>
      </c>
      <c r="J60">
        <v>0</v>
      </c>
      <c r="K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T60">
        <v>0</v>
      </c>
      <c r="AU60">
        <v>0</v>
      </c>
      <c r="AW60">
        <v>0</v>
      </c>
      <c r="AX60">
        <v>0</v>
      </c>
      <c r="AY60">
        <v>0</v>
      </c>
    </row>
    <row r="61" spans="1:51" x14ac:dyDescent="0.3">
      <c r="A61" s="754">
        <v>148</v>
      </c>
      <c r="B61" t="s">
        <v>841</v>
      </c>
      <c r="D61">
        <v>0</v>
      </c>
      <c r="E61">
        <v>0</v>
      </c>
      <c r="F61">
        <v>0</v>
      </c>
      <c r="G61">
        <v>0</v>
      </c>
      <c r="H61">
        <v>0</v>
      </c>
      <c r="I61">
        <v>0</v>
      </c>
      <c r="J61">
        <v>0</v>
      </c>
      <c r="K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T61">
        <v>0</v>
      </c>
      <c r="AU61">
        <v>0</v>
      </c>
      <c r="AW61">
        <v>0</v>
      </c>
      <c r="AX61">
        <v>0</v>
      </c>
      <c r="AY61">
        <v>0</v>
      </c>
    </row>
    <row r="62" spans="1:51" x14ac:dyDescent="0.3">
      <c r="A62" s="754">
        <v>149</v>
      </c>
      <c r="B62" t="s">
        <v>842</v>
      </c>
      <c r="D62">
        <v>0</v>
      </c>
      <c r="E62">
        <v>0</v>
      </c>
      <c r="F62">
        <v>0</v>
      </c>
      <c r="G62">
        <v>0</v>
      </c>
      <c r="H62">
        <v>0</v>
      </c>
      <c r="I62">
        <v>0</v>
      </c>
      <c r="J62">
        <v>0</v>
      </c>
      <c r="K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T62">
        <v>0</v>
      </c>
      <c r="AU62">
        <v>0</v>
      </c>
      <c r="AW62">
        <v>0</v>
      </c>
      <c r="AX62">
        <v>0</v>
      </c>
      <c r="AY62">
        <v>0</v>
      </c>
    </row>
    <row r="63" spans="1:51" x14ac:dyDescent="0.3">
      <c r="A63" s="754">
        <v>150</v>
      </c>
      <c r="B63" t="s">
        <v>843</v>
      </c>
      <c r="D63">
        <v>0</v>
      </c>
      <c r="E63">
        <v>0</v>
      </c>
      <c r="F63">
        <v>0</v>
      </c>
      <c r="G63">
        <v>0</v>
      </c>
      <c r="H63">
        <v>0</v>
      </c>
      <c r="I63">
        <v>0</v>
      </c>
      <c r="J63">
        <v>0</v>
      </c>
      <c r="K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T63">
        <v>0</v>
      </c>
      <c r="AU63">
        <v>0</v>
      </c>
      <c r="AW63">
        <v>0</v>
      </c>
      <c r="AX63">
        <v>0</v>
      </c>
      <c r="AY63">
        <v>0</v>
      </c>
    </row>
    <row r="64" spans="1:51" x14ac:dyDescent="0.3">
      <c r="A64" s="754">
        <v>171</v>
      </c>
      <c r="B64" t="s">
        <v>184</v>
      </c>
      <c r="D64">
        <v>0</v>
      </c>
      <c r="E64">
        <v>0</v>
      </c>
      <c r="F64">
        <v>0</v>
      </c>
      <c r="G64">
        <v>0</v>
      </c>
      <c r="H64">
        <v>0</v>
      </c>
      <c r="I64">
        <v>0</v>
      </c>
      <c r="J64">
        <v>0</v>
      </c>
      <c r="K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T64">
        <v>0</v>
      </c>
      <c r="AU64">
        <v>0</v>
      </c>
      <c r="AW64">
        <v>0</v>
      </c>
      <c r="AX64">
        <v>0</v>
      </c>
      <c r="AY64">
        <v>0</v>
      </c>
    </row>
    <row r="65" spans="1:51" x14ac:dyDescent="0.3">
      <c r="A65" s="754">
        <v>191</v>
      </c>
      <c r="B65" t="s">
        <v>200</v>
      </c>
      <c r="D65">
        <v>183023</v>
      </c>
      <c r="E65">
        <v>435496</v>
      </c>
      <c r="F65">
        <v>0</v>
      </c>
      <c r="G65">
        <v>3317735</v>
      </c>
      <c r="H65">
        <v>27495066</v>
      </c>
      <c r="I65">
        <v>7793393</v>
      </c>
      <c r="J65">
        <v>11664569</v>
      </c>
      <c r="K65">
        <v>0</v>
      </c>
      <c r="M65">
        <v>633930</v>
      </c>
      <c r="N65">
        <v>427010</v>
      </c>
      <c r="O65">
        <v>0</v>
      </c>
      <c r="P65">
        <v>14432212</v>
      </c>
      <c r="Q65">
        <v>0</v>
      </c>
      <c r="R65">
        <v>0</v>
      </c>
      <c r="S65">
        <v>811400</v>
      </c>
      <c r="T65">
        <v>69476</v>
      </c>
      <c r="U65">
        <v>2032380</v>
      </c>
      <c r="V65">
        <v>27634</v>
      </c>
      <c r="W65">
        <v>0</v>
      </c>
      <c r="X65">
        <v>200000</v>
      </c>
      <c r="Y65">
        <v>0</v>
      </c>
      <c r="Z65">
        <v>1286600</v>
      </c>
      <c r="AA65">
        <v>0</v>
      </c>
      <c r="AB65">
        <v>0</v>
      </c>
      <c r="AC65">
        <v>0</v>
      </c>
      <c r="AD65">
        <v>88144</v>
      </c>
      <c r="AE65">
        <v>0</v>
      </c>
      <c r="AF65">
        <v>3251397</v>
      </c>
      <c r="AG65">
        <v>1365144</v>
      </c>
      <c r="AH65">
        <v>0</v>
      </c>
      <c r="AI65">
        <v>0</v>
      </c>
      <c r="AJ65">
        <v>0</v>
      </c>
      <c r="AK65">
        <v>0</v>
      </c>
      <c r="AL65">
        <v>0</v>
      </c>
      <c r="AM65">
        <v>0</v>
      </c>
      <c r="AN65">
        <v>344492</v>
      </c>
      <c r="AO65">
        <v>116904</v>
      </c>
      <c r="AP65">
        <v>51000</v>
      </c>
      <c r="AQ65">
        <v>0</v>
      </c>
      <c r="AR65">
        <v>0</v>
      </c>
      <c r="AT65">
        <v>268604</v>
      </c>
      <c r="AU65">
        <v>0</v>
      </c>
      <c r="AW65">
        <v>0</v>
      </c>
      <c r="AX65">
        <v>220930</v>
      </c>
      <c r="AY65">
        <v>702630</v>
      </c>
    </row>
    <row r="66" spans="1:51" x14ac:dyDescent="0.3">
      <c r="A66" s="754">
        <v>192</v>
      </c>
      <c r="B66" t="s">
        <v>211</v>
      </c>
      <c r="D66">
        <v>0</v>
      </c>
      <c r="E66">
        <v>0</v>
      </c>
      <c r="F66">
        <v>0</v>
      </c>
      <c r="G66">
        <v>0</v>
      </c>
      <c r="H66">
        <v>0</v>
      </c>
      <c r="I66">
        <v>0</v>
      </c>
      <c r="J66">
        <v>0</v>
      </c>
      <c r="K66">
        <v>0</v>
      </c>
      <c r="M66">
        <v>0</v>
      </c>
      <c r="N66">
        <v>0</v>
      </c>
      <c r="O66">
        <v>0</v>
      </c>
      <c r="P66">
        <v>8726668</v>
      </c>
      <c r="Q66">
        <v>0</v>
      </c>
      <c r="R66">
        <v>0</v>
      </c>
      <c r="S66">
        <v>0</v>
      </c>
      <c r="T66">
        <v>0</v>
      </c>
      <c r="U66">
        <v>93750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T66">
        <v>0</v>
      </c>
      <c r="AU66">
        <v>0</v>
      </c>
      <c r="AW66">
        <v>0</v>
      </c>
      <c r="AX66">
        <v>0</v>
      </c>
      <c r="AY66">
        <v>0</v>
      </c>
    </row>
    <row r="67" spans="1:51" x14ac:dyDescent="0.3">
      <c r="A67" s="754">
        <v>193</v>
      </c>
      <c r="B67" t="s">
        <v>259</v>
      </c>
      <c r="D67">
        <v>0</v>
      </c>
      <c r="E67">
        <v>0</v>
      </c>
      <c r="F67">
        <v>0</v>
      </c>
      <c r="G67">
        <v>0</v>
      </c>
      <c r="H67">
        <v>0</v>
      </c>
      <c r="I67">
        <v>0</v>
      </c>
      <c r="J67">
        <v>0</v>
      </c>
      <c r="K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T67">
        <v>0</v>
      </c>
      <c r="AU67">
        <v>0</v>
      </c>
      <c r="AW67">
        <v>0</v>
      </c>
      <c r="AX67">
        <v>0</v>
      </c>
      <c r="AY67">
        <v>0</v>
      </c>
    </row>
    <row r="68" spans="1:51" x14ac:dyDescent="0.3">
      <c r="A68" s="754">
        <v>194</v>
      </c>
      <c r="B68" t="s">
        <v>844</v>
      </c>
      <c r="D68">
        <v>0</v>
      </c>
      <c r="E68">
        <v>0</v>
      </c>
      <c r="F68">
        <v>0</v>
      </c>
      <c r="G68">
        <v>0</v>
      </c>
      <c r="H68">
        <v>0</v>
      </c>
      <c r="I68">
        <v>0</v>
      </c>
      <c r="J68">
        <v>0</v>
      </c>
      <c r="K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T68">
        <v>0</v>
      </c>
      <c r="AU68">
        <v>0</v>
      </c>
      <c r="AW68">
        <v>0</v>
      </c>
      <c r="AX68">
        <v>0</v>
      </c>
      <c r="AY68">
        <v>0</v>
      </c>
    </row>
    <row r="69" spans="1:51" x14ac:dyDescent="0.3">
      <c r="A69" s="754">
        <v>252</v>
      </c>
      <c r="B69" t="s">
        <v>74</v>
      </c>
      <c r="D69">
        <v>0</v>
      </c>
      <c r="E69">
        <v>0</v>
      </c>
      <c r="F69">
        <v>0</v>
      </c>
      <c r="G69">
        <v>0</v>
      </c>
      <c r="H69">
        <v>0</v>
      </c>
      <c r="I69">
        <v>0</v>
      </c>
      <c r="J69">
        <v>0</v>
      </c>
      <c r="K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544506</v>
      </c>
      <c r="AL69">
        <v>0</v>
      </c>
      <c r="AM69">
        <v>0</v>
      </c>
      <c r="AN69">
        <v>0</v>
      </c>
      <c r="AO69">
        <v>0</v>
      </c>
      <c r="AP69">
        <v>0</v>
      </c>
      <c r="AQ69">
        <v>0</v>
      </c>
      <c r="AR69">
        <v>0</v>
      </c>
      <c r="AT69">
        <v>0</v>
      </c>
      <c r="AU69">
        <v>0</v>
      </c>
      <c r="AW69">
        <v>0</v>
      </c>
      <c r="AX69">
        <v>0</v>
      </c>
      <c r="AY69">
        <v>0</v>
      </c>
    </row>
    <row r="70" spans="1:51" x14ac:dyDescent="0.3">
      <c r="A70" s="754">
        <v>253</v>
      </c>
      <c r="B70" t="s">
        <v>75</v>
      </c>
      <c r="D70">
        <v>0</v>
      </c>
      <c r="E70">
        <v>0</v>
      </c>
      <c r="F70">
        <v>0</v>
      </c>
      <c r="G70">
        <v>0</v>
      </c>
      <c r="H70">
        <v>0</v>
      </c>
      <c r="I70">
        <v>0</v>
      </c>
      <c r="J70">
        <v>0</v>
      </c>
      <c r="K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T70">
        <v>0</v>
      </c>
      <c r="AU70">
        <v>0</v>
      </c>
      <c r="AW70">
        <v>0</v>
      </c>
      <c r="AX70">
        <v>0</v>
      </c>
      <c r="AY70">
        <v>0</v>
      </c>
    </row>
    <row r="71" spans="1:51" x14ac:dyDescent="0.3">
      <c r="A71" s="754">
        <v>254</v>
      </c>
      <c r="B71" t="s">
        <v>76</v>
      </c>
      <c r="D71">
        <v>0</v>
      </c>
      <c r="E71">
        <v>0</v>
      </c>
      <c r="F71">
        <v>0</v>
      </c>
      <c r="G71">
        <v>0</v>
      </c>
      <c r="H71">
        <v>0</v>
      </c>
      <c r="I71">
        <v>0</v>
      </c>
      <c r="J71">
        <v>0</v>
      </c>
      <c r="K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1307737</v>
      </c>
      <c r="AL71">
        <v>0</v>
      </c>
      <c r="AM71">
        <v>0</v>
      </c>
      <c r="AN71">
        <v>0</v>
      </c>
      <c r="AO71">
        <v>0</v>
      </c>
      <c r="AP71">
        <v>0</v>
      </c>
      <c r="AQ71">
        <v>0</v>
      </c>
      <c r="AR71">
        <v>0</v>
      </c>
      <c r="AT71">
        <v>0</v>
      </c>
      <c r="AU71">
        <v>0</v>
      </c>
      <c r="AW71">
        <v>0</v>
      </c>
      <c r="AX71">
        <v>0</v>
      </c>
      <c r="AY71">
        <v>0</v>
      </c>
    </row>
    <row r="72" spans="1:51" x14ac:dyDescent="0.3">
      <c r="A72" s="754">
        <v>255</v>
      </c>
      <c r="B72" t="s">
        <v>164</v>
      </c>
      <c r="D72">
        <v>0</v>
      </c>
      <c r="E72">
        <v>0</v>
      </c>
      <c r="F72">
        <v>0</v>
      </c>
      <c r="G72">
        <v>0</v>
      </c>
      <c r="H72">
        <v>0</v>
      </c>
      <c r="I72">
        <v>0</v>
      </c>
      <c r="J72">
        <v>0</v>
      </c>
      <c r="K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T72">
        <v>0</v>
      </c>
      <c r="AU72">
        <v>0</v>
      </c>
      <c r="AW72">
        <v>0</v>
      </c>
      <c r="AX72">
        <v>0</v>
      </c>
      <c r="AY72">
        <v>0</v>
      </c>
    </row>
    <row r="73" spans="1:51" x14ac:dyDescent="0.3">
      <c r="A73" s="754">
        <v>294</v>
      </c>
      <c r="B73" t="s">
        <v>845</v>
      </c>
      <c r="D73">
        <v>0</v>
      </c>
      <c r="E73">
        <v>0</v>
      </c>
      <c r="F73">
        <v>0</v>
      </c>
      <c r="G73">
        <v>0</v>
      </c>
      <c r="H73">
        <v>0</v>
      </c>
      <c r="I73">
        <v>0</v>
      </c>
      <c r="J73">
        <v>0</v>
      </c>
      <c r="K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T73">
        <v>0</v>
      </c>
      <c r="AU73">
        <v>0</v>
      </c>
      <c r="AW73">
        <v>0</v>
      </c>
      <c r="AX73">
        <v>0</v>
      </c>
      <c r="AY73">
        <v>0</v>
      </c>
    </row>
    <row r="74" spans="1:51" x14ac:dyDescent="0.3">
      <c r="A74" s="754">
        <v>327</v>
      </c>
      <c r="B74" t="s">
        <v>846</v>
      </c>
      <c r="D74">
        <v>724599</v>
      </c>
      <c r="E74">
        <v>529738</v>
      </c>
      <c r="F74">
        <v>493112</v>
      </c>
      <c r="G74">
        <v>1552596</v>
      </c>
      <c r="H74">
        <v>13891008</v>
      </c>
      <c r="I74">
        <v>7861153</v>
      </c>
      <c r="J74">
        <v>9955580</v>
      </c>
      <c r="K74">
        <v>1392549</v>
      </c>
      <c r="M74">
        <v>1554693</v>
      </c>
      <c r="N74">
        <v>788528</v>
      </c>
      <c r="O74">
        <v>300290</v>
      </c>
      <c r="P74">
        <v>12653765</v>
      </c>
      <c r="Q74">
        <v>34035</v>
      </c>
      <c r="R74">
        <v>20000</v>
      </c>
      <c r="S74">
        <v>587496</v>
      </c>
      <c r="T74">
        <v>30586</v>
      </c>
      <c r="U74">
        <v>3836910</v>
      </c>
      <c r="V74">
        <v>58844</v>
      </c>
      <c r="W74">
        <v>265154</v>
      </c>
      <c r="X74">
        <v>260800</v>
      </c>
      <c r="Y74">
        <v>882053</v>
      </c>
      <c r="Z74">
        <v>1793585</v>
      </c>
      <c r="AA74">
        <v>356810</v>
      </c>
      <c r="AB74">
        <v>92043</v>
      </c>
      <c r="AC74">
        <v>1377196</v>
      </c>
      <c r="AD74">
        <v>506876</v>
      </c>
      <c r="AE74">
        <v>0</v>
      </c>
      <c r="AF74">
        <v>18990811</v>
      </c>
      <c r="AG74">
        <v>17605354</v>
      </c>
      <c r="AH74">
        <v>41336360</v>
      </c>
      <c r="AI74">
        <v>603427</v>
      </c>
      <c r="AJ74">
        <v>315358</v>
      </c>
      <c r="AK74">
        <v>1</v>
      </c>
      <c r="AL74">
        <v>33450</v>
      </c>
      <c r="AM74">
        <v>77603</v>
      </c>
      <c r="AN74">
        <v>392289</v>
      </c>
      <c r="AO74">
        <v>68756</v>
      </c>
      <c r="AP74">
        <v>151491</v>
      </c>
      <c r="AQ74">
        <v>0</v>
      </c>
      <c r="AR74">
        <v>59979</v>
      </c>
      <c r="AT74">
        <v>1645763</v>
      </c>
      <c r="AU74">
        <v>0</v>
      </c>
      <c r="AW74">
        <v>15059</v>
      </c>
      <c r="AX74">
        <v>228517</v>
      </c>
      <c r="AY74">
        <v>16858</v>
      </c>
    </row>
    <row r="75" spans="1:51" x14ac:dyDescent="0.3">
      <c r="A75" s="754">
        <v>328</v>
      </c>
      <c r="B75" t="s">
        <v>282</v>
      </c>
      <c r="D75">
        <v>1823154</v>
      </c>
      <c r="E75">
        <v>420092</v>
      </c>
      <c r="F75">
        <v>182868</v>
      </c>
      <c r="G75">
        <v>19768271</v>
      </c>
      <c r="H75">
        <v>20770543</v>
      </c>
      <c r="I75">
        <v>8471694</v>
      </c>
      <c r="J75">
        <v>95856235</v>
      </c>
      <c r="K75">
        <v>1002200</v>
      </c>
      <c r="M75">
        <v>941274</v>
      </c>
      <c r="N75">
        <v>176172</v>
      </c>
      <c r="O75">
        <v>0</v>
      </c>
      <c r="P75">
        <v>72247736</v>
      </c>
      <c r="Q75">
        <v>0</v>
      </c>
      <c r="R75">
        <v>0</v>
      </c>
      <c r="S75">
        <v>408502</v>
      </c>
      <c r="T75">
        <v>1625673</v>
      </c>
      <c r="U75">
        <v>28828715</v>
      </c>
      <c r="V75">
        <v>0</v>
      </c>
      <c r="W75">
        <v>0</v>
      </c>
      <c r="X75">
        <v>5989193</v>
      </c>
      <c r="Y75">
        <v>0</v>
      </c>
      <c r="Z75">
        <v>14932</v>
      </c>
      <c r="AA75">
        <v>0</v>
      </c>
      <c r="AB75">
        <v>0</v>
      </c>
      <c r="AC75">
        <v>5318170</v>
      </c>
      <c r="AD75">
        <v>117203</v>
      </c>
      <c r="AE75">
        <v>0</v>
      </c>
      <c r="AF75">
        <v>9066617</v>
      </c>
      <c r="AG75">
        <v>57924178</v>
      </c>
      <c r="AH75">
        <v>157546</v>
      </c>
      <c r="AI75">
        <v>2306441</v>
      </c>
      <c r="AJ75">
        <v>0</v>
      </c>
      <c r="AK75">
        <v>0</v>
      </c>
      <c r="AL75">
        <v>10362863</v>
      </c>
      <c r="AM75">
        <v>0</v>
      </c>
      <c r="AN75">
        <v>185589</v>
      </c>
      <c r="AO75">
        <v>0</v>
      </c>
      <c r="AP75">
        <v>0</v>
      </c>
      <c r="AQ75">
        <v>12891</v>
      </c>
      <c r="AR75">
        <v>0</v>
      </c>
      <c r="AT75">
        <v>2665694</v>
      </c>
      <c r="AU75">
        <v>0</v>
      </c>
      <c r="AW75">
        <v>0</v>
      </c>
      <c r="AX75">
        <v>0</v>
      </c>
      <c r="AY75">
        <v>4418805</v>
      </c>
    </row>
    <row r="76" spans="1:51" x14ac:dyDescent="0.3">
      <c r="A76" s="754">
        <v>331</v>
      </c>
      <c r="B76" t="s">
        <v>214</v>
      </c>
      <c r="D76">
        <v>213244</v>
      </c>
      <c r="E76">
        <v>357809</v>
      </c>
      <c r="F76">
        <v>2096607</v>
      </c>
      <c r="G76">
        <v>2655614</v>
      </c>
      <c r="H76">
        <v>5855825</v>
      </c>
      <c r="I76">
        <v>2461804</v>
      </c>
      <c r="J76">
        <v>15229755</v>
      </c>
      <c r="K76">
        <v>321302</v>
      </c>
      <c r="M76">
        <v>442000</v>
      </c>
      <c r="N76">
        <v>391554</v>
      </c>
      <c r="O76">
        <v>17000</v>
      </c>
      <c r="P76">
        <v>14021139</v>
      </c>
      <c r="Q76">
        <v>111000</v>
      </c>
      <c r="R76">
        <v>45000</v>
      </c>
      <c r="S76">
        <v>0</v>
      </c>
      <c r="T76">
        <v>33422</v>
      </c>
      <c r="U76">
        <v>5137511</v>
      </c>
      <c r="V76">
        <v>901572</v>
      </c>
      <c r="W76">
        <v>0</v>
      </c>
      <c r="X76">
        <v>286133</v>
      </c>
      <c r="Y76">
        <v>1744273</v>
      </c>
      <c r="Z76">
        <v>283627</v>
      </c>
      <c r="AA76">
        <v>313130</v>
      </c>
      <c r="AB76">
        <v>0</v>
      </c>
      <c r="AC76">
        <v>2565836</v>
      </c>
      <c r="AD76">
        <v>337426</v>
      </c>
      <c r="AE76">
        <v>31000</v>
      </c>
      <c r="AF76">
        <v>3798993</v>
      </c>
      <c r="AG76">
        <v>7329500</v>
      </c>
      <c r="AH76">
        <v>1677812</v>
      </c>
      <c r="AI76">
        <v>620185</v>
      </c>
      <c r="AJ76">
        <v>87233</v>
      </c>
      <c r="AK76">
        <v>0</v>
      </c>
      <c r="AL76">
        <v>2448005</v>
      </c>
      <c r="AM76">
        <v>230403</v>
      </c>
      <c r="AN76">
        <v>395865</v>
      </c>
      <c r="AO76">
        <v>0</v>
      </c>
      <c r="AP76">
        <v>110858</v>
      </c>
      <c r="AQ76">
        <v>125000</v>
      </c>
      <c r="AR76">
        <v>0</v>
      </c>
      <c r="AT76">
        <v>230251</v>
      </c>
      <c r="AU76">
        <v>0</v>
      </c>
      <c r="AW76">
        <v>0</v>
      </c>
      <c r="AX76">
        <v>2802</v>
      </c>
      <c r="AY76">
        <v>594655</v>
      </c>
    </row>
    <row r="77" spans="1:51" x14ac:dyDescent="0.3">
      <c r="A77" s="754">
        <v>332</v>
      </c>
      <c r="B77" t="s">
        <v>215</v>
      </c>
      <c r="D77">
        <v>118583</v>
      </c>
      <c r="E77">
        <v>523673</v>
      </c>
      <c r="F77">
        <v>1623656</v>
      </c>
      <c r="G77">
        <v>14112047</v>
      </c>
      <c r="H77">
        <v>21132188</v>
      </c>
      <c r="I77">
        <v>6381720</v>
      </c>
      <c r="J77">
        <v>51677641</v>
      </c>
      <c r="K77">
        <v>1483891</v>
      </c>
      <c r="M77">
        <v>698867</v>
      </c>
      <c r="N77">
        <v>673746</v>
      </c>
      <c r="O77">
        <v>0</v>
      </c>
      <c r="P77">
        <v>69653539</v>
      </c>
      <c r="Q77">
        <v>233841</v>
      </c>
      <c r="R77">
        <v>0</v>
      </c>
      <c r="S77">
        <v>0</v>
      </c>
      <c r="T77">
        <v>344665</v>
      </c>
      <c r="U77">
        <v>27632077</v>
      </c>
      <c r="V77">
        <v>50706</v>
      </c>
      <c r="W77">
        <v>118803</v>
      </c>
      <c r="X77">
        <v>2725969</v>
      </c>
      <c r="Y77">
        <v>366001</v>
      </c>
      <c r="Z77">
        <v>297107</v>
      </c>
      <c r="AA77">
        <v>10889</v>
      </c>
      <c r="AB77">
        <v>0</v>
      </c>
      <c r="AC77">
        <v>2374275</v>
      </c>
      <c r="AD77">
        <v>169027</v>
      </c>
      <c r="AE77">
        <v>53569</v>
      </c>
      <c r="AF77">
        <v>5677935</v>
      </c>
      <c r="AG77">
        <v>17253574</v>
      </c>
      <c r="AH77">
        <v>917665</v>
      </c>
      <c r="AI77">
        <v>2562109</v>
      </c>
      <c r="AJ77">
        <v>12188</v>
      </c>
      <c r="AK77">
        <v>0</v>
      </c>
      <c r="AL77">
        <v>8803170</v>
      </c>
      <c r="AM77">
        <v>164851</v>
      </c>
      <c r="AN77">
        <v>658601</v>
      </c>
      <c r="AO77">
        <v>501281</v>
      </c>
      <c r="AP77">
        <v>61452</v>
      </c>
      <c r="AQ77">
        <v>12891</v>
      </c>
      <c r="AR77">
        <v>0</v>
      </c>
      <c r="AT77">
        <v>1686847</v>
      </c>
      <c r="AU77">
        <v>0</v>
      </c>
      <c r="AW77">
        <v>1643</v>
      </c>
      <c r="AX77">
        <v>142138</v>
      </c>
      <c r="AY77">
        <v>1945689</v>
      </c>
    </row>
    <row r="78" spans="1:51" x14ac:dyDescent="0.3">
      <c r="A78" s="754">
        <v>333</v>
      </c>
      <c r="B78" t="s">
        <v>152</v>
      </c>
      <c r="D78">
        <v>0</v>
      </c>
      <c r="E78">
        <v>0</v>
      </c>
      <c r="F78">
        <v>0</v>
      </c>
      <c r="G78">
        <v>0</v>
      </c>
      <c r="H78">
        <v>0</v>
      </c>
      <c r="I78">
        <v>0</v>
      </c>
      <c r="J78">
        <v>0</v>
      </c>
      <c r="K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1163475</v>
      </c>
      <c r="AL78">
        <v>0</v>
      </c>
      <c r="AM78">
        <v>0</v>
      </c>
      <c r="AN78">
        <v>0</v>
      </c>
      <c r="AO78">
        <v>0</v>
      </c>
      <c r="AP78">
        <v>0</v>
      </c>
      <c r="AQ78">
        <v>0</v>
      </c>
      <c r="AR78">
        <v>0</v>
      </c>
      <c r="AT78">
        <v>0</v>
      </c>
      <c r="AU78">
        <v>0</v>
      </c>
      <c r="AW78">
        <v>0</v>
      </c>
      <c r="AX78">
        <v>0</v>
      </c>
      <c r="AY78">
        <v>0</v>
      </c>
    </row>
    <row r="79" spans="1:51" x14ac:dyDescent="0.3">
      <c r="A79" s="754">
        <v>334</v>
      </c>
      <c r="B79" t="s">
        <v>237</v>
      </c>
      <c r="D79">
        <v>0</v>
      </c>
      <c r="E79">
        <v>0</v>
      </c>
      <c r="F79">
        <v>0</v>
      </c>
      <c r="G79">
        <v>0</v>
      </c>
      <c r="H79">
        <v>0</v>
      </c>
      <c r="I79">
        <v>0</v>
      </c>
      <c r="J79">
        <v>0</v>
      </c>
      <c r="K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T79">
        <v>0</v>
      </c>
      <c r="AU79">
        <v>0</v>
      </c>
      <c r="AW79">
        <v>0</v>
      </c>
      <c r="AX79">
        <v>0</v>
      </c>
      <c r="AY79">
        <v>0</v>
      </c>
    </row>
    <row r="80" spans="1:51" x14ac:dyDescent="0.3">
      <c r="A80" s="754">
        <v>335</v>
      </c>
      <c r="B80" t="s">
        <v>87</v>
      </c>
      <c r="D80">
        <v>0</v>
      </c>
      <c r="E80">
        <v>0</v>
      </c>
      <c r="F80">
        <v>0</v>
      </c>
      <c r="G80">
        <v>0</v>
      </c>
      <c r="H80">
        <v>0</v>
      </c>
      <c r="I80">
        <v>0</v>
      </c>
      <c r="J80">
        <v>0</v>
      </c>
      <c r="K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970</v>
      </c>
      <c r="AL80">
        <v>0</v>
      </c>
      <c r="AM80">
        <v>0</v>
      </c>
      <c r="AN80">
        <v>0</v>
      </c>
      <c r="AO80">
        <v>0</v>
      </c>
      <c r="AP80">
        <v>0</v>
      </c>
      <c r="AQ80">
        <v>0</v>
      </c>
      <c r="AR80">
        <v>0</v>
      </c>
      <c r="AT80">
        <v>0</v>
      </c>
      <c r="AU80">
        <v>0</v>
      </c>
      <c r="AW80">
        <v>0</v>
      </c>
      <c r="AX80">
        <v>0</v>
      </c>
      <c r="AY80">
        <v>0</v>
      </c>
    </row>
    <row r="81" spans="1:51" x14ac:dyDescent="0.3">
      <c r="A81" s="754">
        <v>336</v>
      </c>
      <c r="B81" t="s">
        <v>847</v>
      </c>
      <c r="D81">
        <v>0</v>
      </c>
      <c r="E81">
        <v>0</v>
      </c>
      <c r="F81">
        <v>0</v>
      </c>
      <c r="G81">
        <v>0</v>
      </c>
      <c r="H81">
        <v>0</v>
      </c>
      <c r="I81">
        <v>0</v>
      </c>
      <c r="J81">
        <v>0</v>
      </c>
      <c r="K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48905</v>
      </c>
      <c r="AL81">
        <v>0</v>
      </c>
      <c r="AM81">
        <v>0</v>
      </c>
      <c r="AN81">
        <v>0</v>
      </c>
      <c r="AO81">
        <v>0</v>
      </c>
      <c r="AP81">
        <v>0</v>
      </c>
      <c r="AQ81">
        <v>0</v>
      </c>
      <c r="AR81">
        <v>0</v>
      </c>
      <c r="AT81">
        <v>0</v>
      </c>
      <c r="AU81">
        <v>0</v>
      </c>
      <c r="AW81">
        <v>0</v>
      </c>
      <c r="AX81">
        <v>0</v>
      </c>
      <c r="AY81">
        <v>0</v>
      </c>
    </row>
    <row r="82" spans="1:51" x14ac:dyDescent="0.3">
      <c r="A82" s="754">
        <v>337</v>
      </c>
      <c r="B82" t="s">
        <v>221</v>
      </c>
      <c r="D82">
        <v>0</v>
      </c>
      <c r="E82">
        <v>0</v>
      </c>
      <c r="F82">
        <v>0</v>
      </c>
      <c r="G82">
        <v>0</v>
      </c>
      <c r="H82">
        <v>0</v>
      </c>
      <c r="I82">
        <v>0</v>
      </c>
      <c r="J82">
        <v>0</v>
      </c>
      <c r="K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T82">
        <v>0</v>
      </c>
      <c r="AU82">
        <v>0</v>
      </c>
      <c r="AW82">
        <v>0</v>
      </c>
      <c r="AX82">
        <v>0</v>
      </c>
      <c r="AY82">
        <v>0</v>
      </c>
    </row>
    <row r="83" spans="1:51" x14ac:dyDescent="0.3">
      <c r="A83" s="754">
        <v>338</v>
      </c>
      <c r="B83" t="s">
        <v>86</v>
      </c>
      <c r="D83">
        <v>0</v>
      </c>
      <c r="E83">
        <v>0</v>
      </c>
      <c r="F83">
        <v>0</v>
      </c>
      <c r="G83">
        <v>0</v>
      </c>
      <c r="H83">
        <v>0</v>
      </c>
      <c r="I83">
        <v>0</v>
      </c>
      <c r="J83">
        <v>0</v>
      </c>
      <c r="K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48905</v>
      </c>
      <c r="AL83">
        <v>0</v>
      </c>
      <c r="AM83">
        <v>0</v>
      </c>
      <c r="AN83">
        <v>0</v>
      </c>
      <c r="AO83">
        <v>0</v>
      </c>
      <c r="AP83">
        <v>0</v>
      </c>
      <c r="AQ83">
        <v>0</v>
      </c>
      <c r="AR83">
        <v>0</v>
      </c>
      <c r="AT83">
        <v>0</v>
      </c>
      <c r="AU83">
        <v>0</v>
      </c>
      <c r="AW83">
        <v>0</v>
      </c>
      <c r="AX83">
        <v>0</v>
      </c>
      <c r="AY83">
        <v>0</v>
      </c>
    </row>
    <row r="84" spans="1:51" x14ac:dyDescent="0.3">
      <c r="A84" s="754">
        <v>339</v>
      </c>
      <c r="B84" t="s">
        <v>157</v>
      </c>
      <c r="D84">
        <v>0</v>
      </c>
      <c r="E84">
        <v>0</v>
      </c>
      <c r="F84">
        <v>0</v>
      </c>
      <c r="G84">
        <v>0</v>
      </c>
      <c r="H84">
        <v>0</v>
      </c>
      <c r="I84">
        <v>0</v>
      </c>
      <c r="J84">
        <v>0</v>
      </c>
      <c r="K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T84">
        <v>0</v>
      </c>
      <c r="AU84">
        <v>0</v>
      </c>
      <c r="AW84">
        <v>0</v>
      </c>
      <c r="AX84">
        <v>0</v>
      </c>
      <c r="AY84">
        <v>0</v>
      </c>
    </row>
    <row r="85" spans="1:51" x14ac:dyDescent="0.3">
      <c r="A85" s="754">
        <v>341</v>
      </c>
      <c r="B85" t="s">
        <v>848</v>
      </c>
      <c r="D85">
        <v>0</v>
      </c>
      <c r="E85">
        <v>0</v>
      </c>
      <c r="F85">
        <v>0</v>
      </c>
      <c r="G85">
        <v>0</v>
      </c>
      <c r="H85">
        <v>0</v>
      </c>
      <c r="I85">
        <v>0</v>
      </c>
      <c r="J85">
        <v>0</v>
      </c>
      <c r="K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T85">
        <v>0</v>
      </c>
      <c r="AU85">
        <v>0</v>
      </c>
      <c r="AW85">
        <v>0</v>
      </c>
      <c r="AX85">
        <v>0</v>
      </c>
      <c r="AY85">
        <v>0</v>
      </c>
    </row>
    <row r="86" spans="1:51" x14ac:dyDescent="0.3">
      <c r="A86" s="754">
        <v>343</v>
      </c>
      <c r="B86" t="s">
        <v>222</v>
      </c>
      <c r="D86">
        <v>0</v>
      </c>
      <c r="E86">
        <v>0</v>
      </c>
      <c r="F86">
        <v>0</v>
      </c>
      <c r="G86">
        <v>0</v>
      </c>
      <c r="H86">
        <v>0</v>
      </c>
      <c r="I86">
        <v>0</v>
      </c>
      <c r="J86">
        <v>0</v>
      </c>
      <c r="K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T86">
        <v>0</v>
      </c>
      <c r="AU86">
        <v>0</v>
      </c>
      <c r="AW86">
        <v>0</v>
      </c>
      <c r="AX86">
        <v>0</v>
      </c>
      <c r="AY86">
        <v>0</v>
      </c>
    </row>
    <row r="87" spans="1:51" x14ac:dyDescent="0.3">
      <c r="A87" s="754">
        <v>344</v>
      </c>
      <c r="B87" t="s">
        <v>155</v>
      </c>
      <c r="D87">
        <v>0</v>
      </c>
      <c r="E87">
        <v>0</v>
      </c>
      <c r="F87">
        <v>0</v>
      </c>
      <c r="G87">
        <v>0</v>
      </c>
      <c r="H87">
        <v>0</v>
      </c>
      <c r="I87">
        <v>0</v>
      </c>
      <c r="J87">
        <v>0</v>
      </c>
      <c r="K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T87">
        <v>0</v>
      </c>
      <c r="AU87">
        <v>0</v>
      </c>
      <c r="AW87">
        <v>0</v>
      </c>
      <c r="AX87">
        <v>0</v>
      </c>
      <c r="AY87">
        <v>0</v>
      </c>
    </row>
    <row r="88" spans="1:51" x14ac:dyDescent="0.3">
      <c r="A88" s="754">
        <v>349</v>
      </c>
      <c r="B88" t="s">
        <v>92</v>
      </c>
      <c r="D88">
        <v>3550383</v>
      </c>
      <c r="E88">
        <v>6039432</v>
      </c>
      <c r="F88">
        <v>12772973</v>
      </c>
      <c r="G88">
        <v>85615743</v>
      </c>
      <c r="H88">
        <v>115834285</v>
      </c>
      <c r="I88">
        <v>13619696</v>
      </c>
      <c r="J88">
        <v>352683466</v>
      </c>
      <c r="K88">
        <v>9160819</v>
      </c>
      <c r="M88">
        <v>16120079</v>
      </c>
      <c r="N88">
        <v>10660470</v>
      </c>
      <c r="O88">
        <v>938085</v>
      </c>
      <c r="P88">
        <v>343594261</v>
      </c>
      <c r="Q88">
        <v>1380080</v>
      </c>
      <c r="R88">
        <v>2779357</v>
      </c>
      <c r="S88">
        <v>4386800</v>
      </c>
      <c r="T88">
        <v>1520293</v>
      </c>
      <c r="U88">
        <v>132181057</v>
      </c>
      <c r="V88">
        <v>11414065</v>
      </c>
      <c r="W88">
        <v>24545</v>
      </c>
      <c r="X88">
        <v>10825451</v>
      </c>
      <c r="Y88">
        <v>20517622</v>
      </c>
      <c r="Z88">
        <v>2422586</v>
      </c>
      <c r="AA88">
        <v>16799798</v>
      </c>
      <c r="AB88">
        <v>36422</v>
      </c>
      <c r="AC88">
        <v>73113561</v>
      </c>
      <c r="AD88">
        <v>3566734</v>
      </c>
      <c r="AE88">
        <v>2120920</v>
      </c>
      <c r="AF88">
        <v>81950781</v>
      </c>
      <c r="AG88">
        <v>122744192</v>
      </c>
      <c r="AH88">
        <v>14035395</v>
      </c>
      <c r="AI88">
        <v>14700462</v>
      </c>
      <c r="AJ88">
        <v>1637573</v>
      </c>
      <c r="AK88">
        <v>48905</v>
      </c>
      <c r="AL88">
        <v>38489623</v>
      </c>
      <c r="AM88">
        <v>4557115</v>
      </c>
      <c r="AN88">
        <v>10561690</v>
      </c>
      <c r="AO88">
        <v>373077</v>
      </c>
      <c r="AP88">
        <v>655953</v>
      </c>
      <c r="AQ88">
        <v>7293673</v>
      </c>
      <c r="AR88">
        <v>12860</v>
      </c>
      <c r="AT88">
        <v>13979526</v>
      </c>
      <c r="AU88">
        <v>0</v>
      </c>
      <c r="AW88">
        <v>1847</v>
      </c>
      <c r="AX88">
        <v>731011</v>
      </c>
      <c r="AY88">
        <v>7096215</v>
      </c>
    </row>
    <row r="89" spans="1:51" x14ac:dyDescent="0.3">
      <c r="A89" s="754">
        <v>350</v>
      </c>
      <c r="B89" t="s">
        <v>849</v>
      </c>
      <c r="D89">
        <v>1585</v>
      </c>
      <c r="E89">
        <v>21498</v>
      </c>
      <c r="F89">
        <v>188404</v>
      </c>
      <c r="G89">
        <v>11230957</v>
      </c>
      <c r="H89">
        <v>353352</v>
      </c>
      <c r="I89">
        <v>107629</v>
      </c>
      <c r="J89">
        <v>5565890</v>
      </c>
      <c r="K89">
        <v>1446830</v>
      </c>
      <c r="M89">
        <v>13551</v>
      </c>
      <c r="N89">
        <v>22025</v>
      </c>
      <c r="O89">
        <v>37489</v>
      </c>
      <c r="P89">
        <v>2229647</v>
      </c>
      <c r="Q89">
        <v>17408</v>
      </c>
      <c r="R89">
        <v>113</v>
      </c>
      <c r="S89">
        <v>17712</v>
      </c>
      <c r="T89">
        <v>688</v>
      </c>
      <c r="U89">
        <v>1121807</v>
      </c>
      <c r="V89">
        <v>12968</v>
      </c>
      <c r="W89">
        <v>575</v>
      </c>
      <c r="X89">
        <v>275079</v>
      </c>
      <c r="Y89">
        <v>1136691</v>
      </c>
      <c r="Z89">
        <v>59004</v>
      </c>
      <c r="AA89">
        <v>227</v>
      </c>
      <c r="AB89">
        <v>34848</v>
      </c>
      <c r="AC89">
        <v>173261</v>
      </c>
      <c r="AD89">
        <v>7821</v>
      </c>
      <c r="AE89">
        <v>40009</v>
      </c>
      <c r="AF89">
        <v>6448723</v>
      </c>
      <c r="AG89">
        <v>2868157</v>
      </c>
      <c r="AH89">
        <v>61638</v>
      </c>
      <c r="AI89">
        <v>180637</v>
      </c>
      <c r="AJ89">
        <v>18427</v>
      </c>
      <c r="AK89">
        <v>145125</v>
      </c>
      <c r="AL89">
        <v>61472</v>
      </c>
      <c r="AM89">
        <v>5210</v>
      </c>
      <c r="AN89">
        <v>94664</v>
      </c>
      <c r="AO89">
        <v>64836</v>
      </c>
      <c r="AP89">
        <v>3265</v>
      </c>
      <c r="AQ89">
        <v>1258016</v>
      </c>
      <c r="AR89">
        <v>2795</v>
      </c>
      <c r="AT89">
        <v>15286</v>
      </c>
      <c r="AU89">
        <v>0</v>
      </c>
      <c r="AW89">
        <v>0</v>
      </c>
      <c r="AX89">
        <v>13611</v>
      </c>
      <c r="AY89">
        <v>499848</v>
      </c>
    </row>
    <row r="90" spans="1:51" x14ac:dyDescent="0.3">
      <c r="A90" s="754">
        <v>351</v>
      </c>
      <c r="B90" t="s">
        <v>199</v>
      </c>
      <c r="D90">
        <v>100716</v>
      </c>
      <c r="E90">
        <v>69901</v>
      </c>
      <c r="F90">
        <v>402215</v>
      </c>
      <c r="G90">
        <v>2062773</v>
      </c>
      <c r="H90">
        <v>3110487</v>
      </c>
      <c r="I90">
        <v>156882</v>
      </c>
      <c r="J90">
        <v>9133209</v>
      </c>
      <c r="K90">
        <v>240408</v>
      </c>
      <c r="M90">
        <v>417159</v>
      </c>
      <c r="N90">
        <v>121889</v>
      </c>
      <c r="O90">
        <v>15770</v>
      </c>
      <c r="P90">
        <v>9741973</v>
      </c>
      <c r="Q90">
        <v>60906</v>
      </c>
      <c r="R90">
        <v>91604</v>
      </c>
      <c r="S90">
        <v>16239</v>
      </c>
      <c r="T90">
        <v>0</v>
      </c>
      <c r="U90">
        <v>3497327</v>
      </c>
      <c r="V90">
        <v>69315</v>
      </c>
      <c r="W90">
        <v>0</v>
      </c>
      <c r="X90">
        <v>17649</v>
      </c>
      <c r="Y90">
        <v>76268</v>
      </c>
      <c r="Z90">
        <v>34167</v>
      </c>
      <c r="AA90">
        <v>483315</v>
      </c>
      <c r="AB90">
        <v>33984</v>
      </c>
      <c r="AC90">
        <v>2807968</v>
      </c>
      <c r="AD90">
        <v>6331</v>
      </c>
      <c r="AE90">
        <v>80446</v>
      </c>
      <c r="AF90">
        <v>1691380</v>
      </c>
      <c r="AG90">
        <v>3075868</v>
      </c>
      <c r="AH90">
        <v>375261</v>
      </c>
      <c r="AI90">
        <v>47262</v>
      </c>
      <c r="AJ90">
        <v>69316</v>
      </c>
      <c r="AK90">
        <v>0</v>
      </c>
      <c r="AL90">
        <v>1420580</v>
      </c>
      <c r="AM90">
        <v>194195</v>
      </c>
      <c r="AN90">
        <v>106154</v>
      </c>
      <c r="AO90">
        <v>0</v>
      </c>
      <c r="AP90">
        <v>10406</v>
      </c>
      <c r="AQ90">
        <v>237359</v>
      </c>
      <c r="AR90">
        <v>0</v>
      </c>
      <c r="AT90">
        <v>460286</v>
      </c>
      <c r="AU90">
        <v>0</v>
      </c>
      <c r="AW90">
        <v>0</v>
      </c>
      <c r="AX90">
        <v>1166</v>
      </c>
      <c r="AY90">
        <v>58173</v>
      </c>
    </row>
    <row r="91" spans="1:51" x14ac:dyDescent="0.3">
      <c r="A91" s="754">
        <v>352</v>
      </c>
      <c r="B91" t="s">
        <v>201</v>
      </c>
      <c r="D91">
        <v>0</v>
      </c>
      <c r="E91">
        <v>0</v>
      </c>
      <c r="F91">
        <v>0</v>
      </c>
      <c r="G91">
        <v>0</v>
      </c>
      <c r="H91">
        <v>0</v>
      </c>
      <c r="I91">
        <v>0</v>
      </c>
      <c r="J91">
        <v>0</v>
      </c>
      <c r="K91">
        <v>0</v>
      </c>
      <c r="M91">
        <v>0</v>
      </c>
      <c r="N91">
        <v>0</v>
      </c>
      <c r="O91">
        <v>0</v>
      </c>
      <c r="P91">
        <v>4107291</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T91">
        <v>0</v>
      </c>
      <c r="AU91">
        <v>0</v>
      </c>
      <c r="AW91">
        <v>0</v>
      </c>
      <c r="AX91">
        <v>0</v>
      </c>
      <c r="AY91">
        <v>1150118</v>
      </c>
    </row>
    <row r="92" spans="1:51" x14ac:dyDescent="0.3">
      <c r="A92" s="754">
        <v>353</v>
      </c>
      <c r="B92" t="s">
        <v>202</v>
      </c>
      <c r="D92">
        <v>0</v>
      </c>
      <c r="E92">
        <v>0</v>
      </c>
      <c r="F92">
        <v>0</v>
      </c>
      <c r="G92">
        <v>0</v>
      </c>
      <c r="H92">
        <v>0</v>
      </c>
      <c r="I92">
        <v>0</v>
      </c>
      <c r="J92">
        <v>0</v>
      </c>
      <c r="K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T92">
        <v>0</v>
      </c>
      <c r="AU92">
        <v>0</v>
      </c>
      <c r="AW92">
        <v>0</v>
      </c>
      <c r="AX92">
        <v>0</v>
      </c>
      <c r="AY92">
        <v>0</v>
      </c>
    </row>
    <row r="93" spans="1:51" x14ac:dyDescent="0.3">
      <c r="A93" s="754">
        <v>356</v>
      </c>
      <c r="B93" t="s">
        <v>283</v>
      </c>
      <c r="D93">
        <v>0</v>
      </c>
      <c r="E93">
        <v>0</v>
      </c>
      <c r="F93">
        <v>0</v>
      </c>
      <c r="G93">
        <v>0</v>
      </c>
      <c r="H93">
        <v>0</v>
      </c>
      <c r="I93">
        <v>0</v>
      </c>
      <c r="J93">
        <v>0</v>
      </c>
      <c r="K93">
        <v>0</v>
      </c>
      <c r="M93">
        <v>0</v>
      </c>
      <c r="N93">
        <v>0</v>
      </c>
      <c r="O93">
        <v>0</v>
      </c>
      <c r="P93">
        <v>620239722</v>
      </c>
      <c r="Q93">
        <v>0</v>
      </c>
      <c r="R93">
        <v>0</v>
      </c>
      <c r="S93">
        <v>0</v>
      </c>
      <c r="T93">
        <v>0</v>
      </c>
      <c r="U93">
        <v>361552155</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T93">
        <v>0</v>
      </c>
      <c r="AU93">
        <v>0</v>
      </c>
      <c r="AW93">
        <v>0</v>
      </c>
      <c r="AX93">
        <v>0</v>
      </c>
      <c r="AY93">
        <v>0</v>
      </c>
    </row>
    <row r="94" spans="1:51" x14ac:dyDescent="0.3">
      <c r="A94" s="754">
        <v>357</v>
      </c>
      <c r="B94" t="s">
        <v>284</v>
      </c>
      <c r="D94">
        <v>0</v>
      </c>
      <c r="E94">
        <v>0</v>
      </c>
      <c r="F94">
        <v>0</v>
      </c>
      <c r="G94">
        <v>0</v>
      </c>
      <c r="H94">
        <v>0</v>
      </c>
      <c r="I94">
        <v>0</v>
      </c>
      <c r="J94">
        <v>0</v>
      </c>
      <c r="K94">
        <v>0</v>
      </c>
      <c r="M94">
        <v>0</v>
      </c>
      <c r="N94">
        <v>0</v>
      </c>
      <c r="O94">
        <v>0</v>
      </c>
      <c r="P94">
        <v>351111564</v>
      </c>
      <c r="Q94">
        <v>0</v>
      </c>
      <c r="R94">
        <v>0</v>
      </c>
      <c r="S94">
        <v>0</v>
      </c>
      <c r="T94">
        <v>0</v>
      </c>
      <c r="U94">
        <v>220224221</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T94">
        <v>0</v>
      </c>
      <c r="AU94">
        <v>0</v>
      </c>
      <c r="AW94">
        <v>0</v>
      </c>
      <c r="AX94">
        <v>0</v>
      </c>
      <c r="AY94">
        <v>0</v>
      </c>
    </row>
    <row r="95" spans="1:51" x14ac:dyDescent="0.3">
      <c r="A95" s="754">
        <v>359</v>
      </c>
      <c r="B95" t="s">
        <v>223</v>
      </c>
      <c r="D95">
        <v>0</v>
      </c>
      <c r="E95">
        <v>0</v>
      </c>
      <c r="F95">
        <v>0</v>
      </c>
      <c r="G95">
        <v>0</v>
      </c>
      <c r="H95">
        <v>0</v>
      </c>
      <c r="I95">
        <v>0</v>
      </c>
      <c r="J95">
        <v>0</v>
      </c>
      <c r="K95">
        <v>0</v>
      </c>
      <c r="M95">
        <v>0</v>
      </c>
      <c r="N95">
        <v>0</v>
      </c>
      <c r="O95">
        <v>17000</v>
      </c>
      <c r="P95">
        <v>23548084</v>
      </c>
      <c r="Q95">
        <v>0</v>
      </c>
      <c r="R95">
        <v>0</v>
      </c>
      <c r="S95">
        <v>0</v>
      </c>
      <c r="T95">
        <v>0</v>
      </c>
      <c r="U95">
        <v>61873109</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T95">
        <v>0</v>
      </c>
      <c r="AU95">
        <v>0</v>
      </c>
      <c r="AW95">
        <v>0</v>
      </c>
      <c r="AX95">
        <v>0</v>
      </c>
      <c r="AY95">
        <v>0</v>
      </c>
    </row>
    <row r="96" spans="1:51" x14ac:dyDescent="0.3">
      <c r="A96" s="754">
        <v>360</v>
      </c>
      <c r="B96" t="s">
        <v>95</v>
      </c>
      <c r="D96">
        <v>0</v>
      </c>
      <c r="E96">
        <v>0</v>
      </c>
      <c r="F96">
        <v>0</v>
      </c>
      <c r="G96">
        <v>0</v>
      </c>
      <c r="H96">
        <v>0</v>
      </c>
      <c r="I96">
        <v>0</v>
      </c>
      <c r="J96">
        <v>0</v>
      </c>
      <c r="K96">
        <v>0</v>
      </c>
      <c r="M96">
        <v>0</v>
      </c>
      <c r="N96">
        <v>0</v>
      </c>
      <c r="O96">
        <v>0</v>
      </c>
      <c r="P96">
        <v>82165057</v>
      </c>
      <c r="Q96">
        <v>0</v>
      </c>
      <c r="R96">
        <v>0</v>
      </c>
      <c r="S96">
        <v>0</v>
      </c>
      <c r="T96">
        <v>0</v>
      </c>
      <c r="U96">
        <v>112400172</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T96">
        <v>0</v>
      </c>
      <c r="AU96">
        <v>0</v>
      </c>
      <c r="AW96">
        <v>0</v>
      </c>
      <c r="AX96">
        <v>0</v>
      </c>
      <c r="AY96">
        <v>0</v>
      </c>
    </row>
    <row r="97" spans="1:51" x14ac:dyDescent="0.3">
      <c r="A97" s="754">
        <v>361</v>
      </c>
      <c r="B97" t="s">
        <v>77</v>
      </c>
      <c r="D97">
        <v>0</v>
      </c>
      <c r="E97">
        <v>0</v>
      </c>
      <c r="F97">
        <v>0</v>
      </c>
      <c r="G97">
        <v>0</v>
      </c>
      <c r="H97">
        <v>0</v>
      </c>
      <c r="I97">
        <v>0</v>
      </c>
      <c r="J97">
        <v>0</v>
      </c>
      <c r="K97">
        <v>0</v>
      </c>
      <c r="M97">
        <v>0</v>
      </c>
      <c r="N97">
        <v>0</v>
      </c>
      <c r="O97">
        <v>0</v>
      </c>
      <c r="P97">
        <v>137693037</v>
      </c>
      <c r="Q97">
        <v>0</v>
      </c>
      <c r="R97">
        <v>0</v>
      </c>
      <c r="S97">
        <v>0</v>
      </c>
      <c r="T97">
        <v>0</v>
      </c>
      <c r="U97">
        <v>69062733</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T97">
        <v>0</v>
      </c>
      <c r="AU97">
        <v>0</v>
      </c>
      <c r="AW97">
        <v>0</v>
      </c>
      <c r="AX97">
        <v>0</v>
      </c>
      <c r="AY97">
        <v>0</v>
      </c>
    </row>
    <row r="98" spans="1:51" x14ac:dyDescent="0.3">
      <c r="A98" s="754">
        <v>362</v>
      </c>
      <c r="B98" t="s">
        <v>78</v>
      </c>
      <c r="D98">
        <v>0</v>
      </c>
      <c r="E98">
        <v>0</v>
      </c>
      <c r="F98">
        <v>0</v>
      </c>
      <c r="G98">
        <v>0</v>
      </c>
      <c r="H98">
        <v>0</v>
      </c>
      <c r="I98">
        <v>0</v>
      </c>
      <c r="J98">
        <v>0</v>
      </c>
      <c r="K98">
        <v>0</v>
      </c>
      <c r="M98">
        <v>0</v>
      </c>
      <c r="N98">
        <v>0</v>
      </c>
      <c r="O98">
        <v>0</v>
      </c>
      <c r="P98">
        <v>506355594</v>
      </c>
      <c r="Q98">
        <v>0</v>
      </c>
      <c r="R98">
        <v>0</v>
      </c>
      <c r="S98">
        <v>0</v>
      </c>
      <c r="T98">
        <v>0</v>
      </c>
      <c r="U98">
        <v>159031137</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T98">
        <v>0</v>
      </c>
      <c r="AU98">
        <v>0</v>
      </c>
      <c r="AW98">
        <v>0</v>
      </c>
      <c r="AX98">
        <v>0</v>
      </c>
      <c r="AY98">
        <v>0</v>
      </c>
    </row>
    <row r="99" spans="1:51" x14ac:dyDescent="0.3">
      <c r="A99" s="754">
        <v>363</v>
      </c>
      <c r="B99" t="s">
        <v>209</v>
      </c>
      <c r="D99">
        <v>0</v>
      </c>
      <c r="E99">
        <v>0</v>
      </c>
      <c r="F99">
        <v>0</v>
      </c>
      <c r="G99">
        <v>0</v>
      </c>
      <c r="H99">
        <v>0</v>
      </c>
      <c r="I99">
        <v>0</v>
      </c>
      <c r="J99">
        <v>0</v>
      </c>
      <c r="K99">
        <v>0</v>
      </c>
      <c r="M99">
        <v>0</v>
      </c>
      <c r="N99">
        <v>0</v>
      </c>
      <c r="O99">
        <v>0</v>
      </c>
      <c r="P99">
        <v>22574839</v>
      </c>
      <c r="Q99">
        <v>0</v>
      </c>
      <c r="R99">
        <v>0</v>
      </c>
      <c r="S99">
        <v>0</v>
      </c>
      <c r="T99">
        <v>0</v>
      </c>
      <c r="U99">
        <v>2586639</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T99">
        <v>0</v>
      </c>
      <c r="AU99">
        <v>0</v>
      </c>
      <c r="AW99">
        <v>0</v>
      </c>
      <c r="AX99">
        <v>0</v>
      </c>
      <c r="AY99">
        <v>0</v>
      </c>
    </row>
    <row r="100" spans="1:51" x14ac:dyDescent="0.3">
      <c r="A100" s="754">
        <v>364</v>
      </c>
      <c r="B100" t="s">
        <v>210</v>
      </c>
      <c r="D100">
        <v>0</v>
      </c>
      <c r="E100">
        <v>0</v>
      </c>
      <c r="F100">
        <v>0</v>
      </c>
      <c r="G100">
        <v>0</v>
      </c>
      <c r="H100">
        <v>0</v>
      </c>
      <c r="I100">
        <v>0</v>
      </c>
      <c r="J100">
        <v>0</v>
      </c>
      <c r="K100">
        <v>0</v>
      </c>
      <c r="M100">
        <v>0</v>
      </c>
      <c r="N100">
        <v>0</v>
      </c>
      <c r="O100">
        <v>0</v>
      </c>
      <c r="P100">
        <v>17809422</v>
      </c>
      <c r="Q100">
        <v>0</v>
      </c>
      <c r="R100">
        <v>0</v>
      </c>
      <c r="S100">
        <v>0</v>
      </c>
      <c r="T100">
        <v>0</v>
      </c>
      <c r="U100">
        <v>2201021</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T100">
        <v>0</v>
      </c>
      <c r="AU100">
        <v>0</v>
      </c>
      <c r="AW100">
        <v>0</v>
      </c>
      <c r="AX100">
        <v>0</v>
      </c>
      <c r="AY100">
        <v>0</v>
      </c>
    </row>
    <row r="101" spans="1:51" x14ac:dyDescent="0.3">
      <c r="A101" s="754">
        <v>365</v>
      </c>
      <c r="B101" t="s">
        <v>212</v>
      </c>
      <c r="D101">
        <v>0</v>
      </c>
      <c r="E101">
        <v>0</v>
      </c>
      <c r="F101">
        <v>0</v>
      </c>
      <c r="G101">
        <v>0</v>
      </c>
      <c r="H101">
        <v>0</v>
      </c>
      <c r="I101">
        <v>0</v>
      </c>
      <c r="J101">
        <v>0</v>
      </c>
      <c r="K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T101">
        <v>0</v>
      </c>
      <c r="AU101">
        <v>0</v>
      </c>
      <c r="AW101">
        <v>0</v>
      </c>
      <c r="AX101">
        <v>0</v>
      </c>
      <c r="AY101">
        <v>0</v>
      </c>
    </row>
    <row r="102" spans="1:51" x14ac:dyDescent="0.3">
      <c r="A102" s="754">
        <v>366</v>
      </c>
      <c r="B102" t="s">
        <v>850</v>
      </c>
      <c r="D102">
        <v>0</v>
      </c>
      <c r="E102">
        <v>0</v>
      </c>
      <c r="F102">
        <v>0</v>
      </c>
      <c r="G102">
        <v>0</v>
      </c>
      <c r="H102">
        <v>0</v>
      </c>
      <c r="I102">
        <v>0</v>
      </c>
      <c r="J102">
        <v>0</v>
      </c>
      <c r="K102">
        <v>0</v>
      </c>
      <c r="M102">
        <v>0</v>
      </c>
      <c r="N102">
        <v>0</v>
      </c>
      <c r="O102">
        <v>0</v>
      </c>
      <c r="P102">
        <v>4107291</v>
      </c>
      <c r="Q102">
        <v>0</v>
      </c>
      <c r="R102">
        <v>0</v>
      </c>
      <c r="S102">
        <v>0</v>
      </c>
      <c r="T102">
        <v>0</v>
      </c>
      <c r="U102">
        <v>4834992</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T102">
        <v>0</v>
      </c>
      <c r="AU102">
        <v>0</v>
      </c>
      <c r="AW102">
        <v>0</v>
      </c>
      <c r="AX102">
        <v>0</v>
      </c>
      <c r="AY102">
        <v>0</v>
      </c>
    </row>
    <row r="103" spans="1:51" x14ac:dyDescent="0.3">
      <c r="A103" s="754">
        <v>368</v>
      </c>
      <c r="B103" t="s">
        <v>167</v>
      </c>
      <c r="D103">
        <v>0</v>
      </c>
      <c r="E103">
        <v>0</v>
      </c>
      <c r="F103">
        <v>0</v>
      </c>
      <c r="G103">
        <v>0</v>
      </c>
      <c r="H103">
        <v>0</v>
      </c>
      <c r="I103">
        <v>0</v>
      </c>
      <c r="J103">
        <v>0</v>
      </c>
      <c r="K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T103">
        <v>0</v>
      </c>
      <c r="AU103">
        <v>0</v>
      </c>
      <c r="AW103">
        <v>0</v>
      </c>
      <c r="AX103">
        <v>0</v>
      </c>
      <c r="AY103">
        <v>0</v>
      </c>
    </row>
    <row r="104" spans="1:51" x14ac:dyDescent="0.3">
      <c r="A104" s="754">
        <v>369</v>
      </c>
      <c r="B104" t="s">
        <v>172</v>
      </c>
      <c r="D104">
        <v>0</v>
      </c>
      <c r="E104">
        <v>0</v>
      </c>
      <c r="F104">
        <v>0</v>
      </c>
      <c r="G104">
        <v>0</v>
      </c>
      <c r="H104">
        <v>0</v>
      </c>
      <c r="I104">
        <v>0</v>
      </c>
      <c r="J104">
        <v>0</v>
      </c>
      <c r="K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T104">
        <v>0</v>
      </c>
      <c r="AU104">
        <v>0</v>
      </c>
      <c r="AW104">
        <v>0</v>
      </c>
      <c r="AX104">
        <v>0</v>
      </c>
      <c r="AY104">
        <v>0</v>
      </c>
    </row>
    <row r="105" spans="1:51" x14ac:dyDescent="0.3">
      <c r="A105" s="754">
        <v>370</v>
      </c>
      <c r="B105" t="s">
        <v>174</v>
      </c>
      <c r="D105">
        <v>0</v>
      </c>
      <c r="E105">
        <v>0</v>
      </c>
      <c r="F105">
        <v>0</v>
      </c>
      <c r="G105">
        <v>0</v>
      </c>
      <c r="H105">
        <v>0</v>
      </c>
      <c r="I105">
        <v>0</v>
      </c>
      <c r="J105">
        <v>0</v>
      </c>
      <c r="K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T105">
        <v>0</v>
      </c>
      <c r="AU105">
        <v>0</v>
      </c>
      <c r="AW105">
        <v>0</v>
      </c>
      <c r="AX105">
        <v>0</v>
      </c>
      <c r="AY105">
        <v>0</v>
      </c>
    </row>
    <row r="106" spans="1:51" x14ac:dyDescent="0.3">
      <c r="A106" s="754">
        <v>371</v>
      </c>
      <c r="B106" t="s">
        <v>224</v>
      </c>
      <c r="D106">
        <v>0</v>
      </c>
      <c r="E106">
        <v>0</v>
      </c>
      <c r="F106">
        <v>0</v>
      </c>
      <c r="G106">
        <v>0</v>
      </c>
      <c r="H106">
        <v>0</v>
      </c>
      <c r="I106">
        <v>0</v>
      </c>
      <c r="J106">
        <v>0</v>
      </c>
      <c r="K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T106">
        <v>0</v>
      </c>
      <c r="AU106">
        <v>0</v>
      </c>
      <c r="AW106">
        <v>0</v>
      </c>
      <c r="AX106">
        <v>0</v>
      </c>
      <c r="AY106">
        <v>0</v>
      </c>
    </row>
    <row r="107" spans="1:51" x14ac:dyDescent="0.3">
      <c r="A107" s="754">
        <v>373</v>
      </c>
      <c r="B107" t="s">
        <v>280</v>
      </c>
      <c r="D107">
        <v>0</v>
      </c>
      <c r="E107">
        <v>0</v>
      </c>
      <c r="F107">
        <v>0</v>
      </c>
      <c r="G107">
        <v>0</v>
      </c>
      <c r="H107">
        <v>0</v>
      </c>
      <c r="I107">
        <v>0</v>
      </c>
      <c r="J107">
        <v>0</v>
      </c>
      <c r="K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T107">
        <v>0</v>
      </c>
      <c r="AU107">
        <v>0</v>
      </c>
      <c r="AW107">
        <v>0</v>
      </c>
      <c r="AX107">
        <v>0</v>
      </c>
      <c r="AY107">
        <v>0</v>
      </c>
    </row>
    <row r="108" spans="1:51" x14ac:dyDescent="0.3">
      <c r="A108" s="754">
        <v>375</v>
      </c>
      <c r="B108" t="s">
        <v>189</v>
      </c>
      <c r="D108">
        <v>2216750</v>
      </c>
      <c r="E108">
        <v>8004088</v>
      </c>
      <c r="F108">
        <v>8317033</v>
      </c>
      <c r="G108">
        <v>58549092</v>
      </c>
      <c r="H108">
        <v>67107474</v>
      </c>
      <c r="I108">
        <v>19835206</v>
      </c>
      <c r="J108">
        <v>59241443</v>
      </c>
      <c r="K108">
        <v>6469831</v>
      </c>
      <c r="M108">
        <v>1699270</v>
      </c>
      <c r="N108">
        <v>5676093</v>
      </c>
      <c r="O108">
        <v>25736</v>
      </c>
      <c r="P108">
        <v>18967262</v>
      </c>
      <c r="Q108">
        <v>1493312</v>
      </c>
      <c r="R108">
        <v>56332</v>
      </c>
      <c r="S108">
        <v>6714214</v>
      </c>
      <c r="T108">
        <v>835294</v>
      </c>
      <c r="U108">
        <v>20003777</v>
      </c>
      <c r="V108">
        <v>3878893</v>
      </c>
      <c r="W108">
        <v>652094</v>
      </c>
      <c r="X108">
        <v>2752873</v>
      </c>
      <c r="Y108">
        <v>3111611</v>
      </c>
      <c r="Z108">
        <v>751522</v>
      </c>
      <c r="AA108">
        <v>2228294</v>
      </c>
      <c r="AB108">
        <v>1178416</v>
      </c>
      <c r="AC108">
        <v>9664112</v>
      </c>
      <c r="AD108">
        <v>3510307</v>
      </c>
      <c r="AE108">
        <v>429072</v>
      </c>
      <c r="AF108">
        <v>37673521</v>
      </c>
      <c r="AG108">
        <v>15645655</v>
      </c>
      <c r="AH108">
        <v>20407453</v>
      </c>
      <c r="AI108">
        <v>9547420</v>
      </c>
      <c r="AJ108">
        <v>614279</v>
      </c>
      <c r="AK108">
        <v>1307737</v>
      </c>
      <c r="AL108">
        <v>28213193</v>
      </c>
      <c r="AM108">
        <v>3773498</v>
      </c>
      <c r="AN108">
        <v>8635622</v>
      </c>
      <c r="AO108">
        <v>2295520</v>
      </c>
      <c r="AP108">
        <v>2366124</v>
      </c>
      <c r="AQ108">
        <v>909190</v>
      </c>
      <c r="AR108">
        <v>328576</v>
      </c>
      <c r="AT108">
        <v>12603138</v>
      </c>
      <c r="AU108">
        <v>0</v>
      </c>
      <c r="AW108">
        <v>38698</v>
      </c>
      <c r="AX108">
        <v>0</v>
      </c>
      <c r="AY108">
        <v>1975375</v>
      </c>
    </row>
    <row r="109" spans="1:51" x14ac:dyDescent="0.3">
      <c r="A109" s="754">
        <v>376</v>
      </c>
      <c r="B109" t="s">
        <v>79</v>
      </c>
      <c r="D109">
        <v>0</v>
      </c>
      <c r="E109">
        <v>0</v>
      </c>
      <c r="F109">
        <v>0</v>
      </c>
      <c r="G109">
        <v>0</v>
      </c>
      <c r="H109">
        <v>0</v>
      </c>
      <c r="I109">
        <v>0</v>
      </c>
      <c r="J109">
        <v>0</v>
      </c>
      <c r="K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T109">
        <v>0</v>
      </c>
      <c r="AU109">
        <v>0</v>
      </c>
      <c r="AW109">
        <v>0</v>
      </c>
      <c r="AX109">
        <v>0</v>
      </c>
      <c r="AY109">
        <v>0</v>
      </c>
    </row>
    <row r="110" spans="1:51" x14ac:dyDescent="0.3">
      <c r="A110" s="754">
        <v>377</v>
      </c>
      <c r="B110" t="s">
        <v>80</v>
      </c>
      <c r="D110">
        <v>0</v>
      </c>
      <c r="E110">
        <v>0</v>
      </c>
      <c r="F110">
        <v>0</v>
      </c>
      <c r="G110">
        <v>0</v>
      </c>
      <c r="H110">
        <v>0</v>
      </c>
      <c r="I110">
        <v>0</v>
      </c>
      <c r="J110">
        <v>0</v>
      </c>
      <c r="K110">
        <v>0</v>
      </c>
      <c r="M110">
        <v>0</v>
      </c>
      <c r="N110">
        <v>0</v>
      </c>
      <c r="O110">
        <v>3057791</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-7910</v>
      </c>
      <c r="AL110">
        <v>0</v>
      </c>
      <c r="AM110">
        <v>0</v>
      </c>
      <c r="AN110">
        <v>0</v>
      </c>
      <c r="AO110">
        <v>0</v>
      </c>
      <c r="AP110">
        <v>0</v>
      </c>
      <c r="AQ110">
        <v>0</v>
      </c>
      <c r="AR110">
        <v>0</v>
      </c>
      <c r="AT110">
        <v>0</v>
      </c>
      <c r="AU110">
        <v>0</v>
      </c>
      <c r="AW110">
        <v>0</v>
      </c>
      <c r="AX110">
        <v>0</v>
      </c>
      <c r="AY110">
        <v>0</v>
      </c>
    </row>
    <row r="111" spans="1:51" x14ac:dyDescent="0.3">
      <c r="A111" s="754">
        <v>378</v>
      </c>
      <c r="B111" t="s">
        <v>81</v>
      </c>
      <c r="D111">
        <v>0</v>
      </c>
      <c r="E111">
        <v>0</v>
      </c>
      <c r="F111">
        <v>0</v>
      </c>
      <c r="G111">
        <v>0</v>
      </c>
      <c r="H111">
        <v>0</v>
      </c>
      <c r="I111">
        <v>0</v>
      </c>
      <c r="J111">
        <v>0</v>
      </c>
      <c r="K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T111">
        <v>0</v>
      </c>
      <c r="AU111">
        <v>0</v>
      </c>
      <c r="AW111">
        <v>0</v>
      </c>
      <c r="AX111">
        <v>0</v>
      </c>
      <c r="AY111">
        <v>0</v>
      </c>
    </row>
    <row r="112" spans="1:51" x14ac:dyDescent="0.3">
      <c r="A112" s="754">
        <v>379</v>
      </c>
      <c r="B112" t="s">
        <v>88</v>
      </c>
      <c r="D112">
        <v>0</v>
      </c>
      <c r="E112">
        <v>0</v>
      </c>
      <c r="F112">
        <v>0</v>
      </c>
      <c r="G112">
        <v>0</v>
      </c>
      <c r="H112">
        <v>0</v>
      </c>
      <c r="I112">
        <v>0</v>
      </c>
      <c r="J112">
        <v>0</v>
      </c>
      <c r="K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T112">
        <v>0</v>
      </c>
      <c r="AU112">
        <v>0</v>
      </c>
      <c r="AW112">
        <v>0</v>
      </c>
      <c r="AX112">
        <v>0</v>
      </c>
      <c r="AY112">
        <v>0</v>
      </c>
    </row>
    <row r="113" spans="1:51" x14ac:dyDescent="0.3">
      <c r="A113" s="754">
        <v>380</v>
      </c>
      <c r="B113" t="s">
        <v>91</v>
      </c>
      <c r="D113">
        <v>0</v>
      </c>
      <c r="E113">
        <v>0</v>
      </c>
      <c r="F113">
        <v>0</v>
      </c>
      <c r="G113">
        <v>0</v>
      </c>
      <c r="H113">
        <v>0</v>
      </c>
      <c r="I113">
        <v>0</v>
      </c>
      <c r="J113">
        <v>0</v>
      </c>
      <c r="K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T113">
        <v>0</v>
      </c>
      <c r="AU113">
        <v>0</v>
      </c>
      <c r="AW113">
        <v>0</v>
      </c>
      <c r="AX113">
        <v>0</v>
      </c>
      <c r="AY113">
        <v>0</v>
      </c>
    </row>
    <row r="114" spans="1:51" x14ac:dyDescent="0.3">
      <c r="A114" s="754">
        <v>381</v>
      </c>
      <c r="B114" t="s">
        <v>83</v>
      </c>
      <c r="D114">
        <v>14574493</v>
      </c>
      <c r="E114">
        <v>26534419</v>
      </c>
      <c r="F114">
        <v>41753676</v>
      </c>
      <c r="G114">
        <v>180672302</v>
      </c>
      <c r="H114">
        <v>589580624</v>
      </c>
      <c r="I114">
        <v>172694657</v>
      </c>
      <c r="J114">
        <v>969161408</v>
      </c>
      <c r="K114">
        <v>49934914</v>
      </c>
      <c r="M114">
        <v>31887135</v>
      </c>
      <c r="N114">
        <v>33672339</v>
      </c>
      <c r="O114">
        <v>3922528</v>
      </c>
      <c r="P114">
        <v>928345976</v>
      </c>
      <c r="Q114">
        <v>4813372</v>
      </c>
      <c r="R114">
        <v>5178235</v>
      </c>
      <c r="S114">
        <v>28363991</v>
      </c>
      <c r="T114">
        <v>3679760</v>
      </c>
      <c r="U114">
        <v>335947513</v>
      </c>
      <c r="V114">
        <v>23854165</v>
      </c>
      <c r="W114">
        <v>2308896</v>
      </c>
      <c r="X114">
        <v>24081618</v>
      </c>
      <c r="Y114">
        <v>45211387</v>
      </c>
      <c r="Z114">
        <v>8955923</v>
      </c>
      <c r="AA114">
        <v>23542584</v>
      </c>
      <c r="AB114">
        <v>2890051</v>
      </c>
      <c r="AC114">
        <v>114688643</v>
      </c>
      <c r="AD114">
        <v>14096695</v>
      </c>
      <c r="AE114">
        <v>2925531</v>
      </c>
      <c r="AF114">
        <v>249260686</v>
      </c>
      <c r="AG114">
        <v>402254579</v>
      </c>
      <c r="AH114">
        <v>130714628</v>
      </c>
      <c r="AI114">
        <v>56708023</v>
      </c>
      <c r="AJ114">
        <v>6945352</v>
      </c>
      <c r="AK114">
        <v>1901148</v>
      </c>
      <c r="AL114">
        <v>93606818</v>
      </c>
      <c r="AM114">
        <v>14888362</v>
      </c>
      <c r="AN114">
        <v>33741031</v>
      </c>
      <c r="AO114">
        <v>6777468</v>
      </c>
      <c r="AP114">
        <v>7136377</v>
      </c>
      <c r="AQ114">
        <v>11880470</v>
      </c>
      <c r="AR114">
        <v>1305875</v>
      </c>
      <c r="AT114">
        <v>52693436</v>
      </c>
      <c r="AU114">
        <v>10915271</v>
      </c>
      <c r="AW114">
        <v>129962</v>
      </c>
      <c r="AX114">
        <v>12224312</v>
      </c>
      <c r="AY114">
        <v>28923287</v>
      </c>
    </row>
    <row r="115" spans="1:51" x14ac:dyDescent="0.3">
      <c r="A115" s="754">
        <v>382</v>
      </c>
      <c r="B115" t="s">
        <v>84</v>
      </c>
      <c r="D115">
        <v>0</v>
      </c>
      <c r="E115">
        <v>0</v>
      </c>
      <c r="F115">
        <v>0</v>
      </c>
      <c r="G115">
        <v>0</v>
      </c>
      <c r="H115">
        <v>0</v>
      </c>
      <c r="I115">
        <v>0</v>
      </c>
      <c r="J115">
        <v>0</v>
      </c>
      <c r="K115">
        <v>0</v>
      </c>
      <c r="M115">
        <v>0</v>
      </c>
      <c r="N115">
        <v>0</v>
      </c>
      <c r="O115">
        <v>0</v>
      </c>
      <c r="P115">
        <v>588520651</v>
      </c>
      <c r="Q115">
        <v>0</v>
      </c>
      <c r="R115">
        <v>0</v>
      </c>
      <c r="S115">
        <v>0</v>
      </c>
      <c r="T115">
        <v>0</v>
      </c>
      <c r="U115">
        <v>271431309</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T115">
        <v>0</v>
      </c>
      <c r="AU115">
        <v>0</v>
      </c>
      <c r="AW115">
        <v>0</v>
      </c>
      <c r="AX115">
        <v>0</v>
      </c>
      <c r="AY115">
        <v>0</v>
      </c>
    </row>
    <row r="116" spans="1:51" x14ac:dyDescent="0.3">
      <c r="A116" s="754">
        <v>383</v>
      </c>
      <c r="B116" t="s">
        <v>188</v>
      </c>
      <c r="D116">
        <v>0</v>
      </c>
      <c r="E116">
        <v>0</v>
      </c>
      <c r="F116">
        <v>0</v>
      </c>
      <c r="G116">
        <v>0</v>
      </c>
      <c r="H116">
        <v>0</v>
      </c>
      <c r="I116">
        <v>0</v>
      </c>
      <c r="J116">
        <v>1189459</v>
      </c>
      <c r="K116">
        <v>0</v>
      </c>
      <c r="M116">
        <v>0</v>
      </c>
      <c r="N116">
        <v>0</v>
      </c>
      <c r="O116">
        <v>0</v>
      </c>
      <c r="P116">
        <v>371421</v>
      </c>
      <c r="Q116">
        <v>0</v>
      </c>
      <c r="R116">
        <v>0</v>
      </c>
      <c r="S116">
        <v>0</v>
      </c>
      <c r="T116">
        <v>0</v>
      </c>
      <c r="U116">
        <v>28680</v>
      </c>
      <c r="V116">
        <v>36831</v>
      </c>
      <c r="W116">
        <v>0</v>
      </c>
      <c r="X116">
        <v>12878</v>
      </c>
      <c r="Y116">
        <v>0</v>
      </c>
      <c r="Z116">
        <v>37484</v>
      </c>
      <c r="AA116">
        <v>0</v>
      </c>
      <c r="AB116">
        <v>0</v>
      </c>
      <c r="AC116">
        <v>0</v>
      </c>
      <c r="AD116">
        <v>0</v>
      </c>
      <c r="AE116">
        <v>102201</v>
      </c>
      <c r="AF116">
        <v>0</v>
      </c>
      <c r="AG116">
        <v>0</v>
      </c>
      <c r="AH116">
        <v>3987</v>
      </c>
      <c r="AI116">
        <v>0</v>
      </c>
      <c r="AJ116">
        <v>0</v>
      </c>
      <c r="AK116">
        <v>970</v>
      </c>
      <c r="AL116">
        <v>0</v>
      </c>
      <c r="AM116">
        <v>0</v>
      </c>
      <c r="AN116">
        <v>0</v>
      </c>
      <c r="AO116">
        <v>0</v>
      </c>
      <c r="AP116">
        <v>0</v>
      </c>
      <c r="AQ116">
        <v>0</v>
      </c>
      <c r="AR116">
        <v>0</v>
      </c>
      <c r="AT116">
        <v>0</v>
      </c>
      <c r="AU116">
        <v>0</v>
      </c>
      <c r="AW116">
        <v>0</v>
      </c>
      <c r="AX116">
        <v>25351</v>
      </c>
      <c r="AY116">
        <v>0</v>
      </c>
    </row>
    <row r="117" spans="1:51" x14ac:dyDescent="0.3">
      <c r="A117" s="754">
        <v>384</v>
      </c>
      <c r="B117" t="s">
        <v>94</v>
      </c>
      <c r="D117">
        <v>0</v>
      </c>
      <c r="E117">
        <v>0</v>
      </c>
      <c r="F117">
        <v>0</v>
      </c>
      <c r="G117">
        <v>0</v>
      </c>
      <c r="H117">
        <v>0</v>
      </c>
      <c r="I117">
        <v>0</v>
      </c>
      <c r="J117">
        <v>0</v>
      </c>
      <c r="K117">
        <v>0</v>
      </c>
      <c r="M117">
        <v>0</v>
      </c>
      <c r="N117">
        <v>0</v>
      </c>
      <c r="O117">
        <v>0</v>
      </c>
      <c r="P117">
        <v>1708350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T117">
        <v>0</v>
      </c>
      <c r="AU117">
        <v>0</v>
      </c>
      <c r="AW117">
        <v>0</v>
      </c>
      <c r="AX117">
        <v>0</v>
      </c>
      <c r="AY117">
        <v>0</v>
      </c>
    </row>
    <row r="118" spans="1:51" x14ac:dyDescent="0.3">
      <c r="A118" s="754">
        <v>385</v>
      </c>
      <c r="B118" t="s">
        <v>85</v>
      </c>
      <c r="D118">
        <v>0</v>
      </c>
      <c r="E118">
        <v>0</v>
      </c>
      <c r="F118">
        <v>0</v>
      </c>
      <c r="G118">
        <v>0</v>
      </c>
      <c r="H118">
        <v>0</v>
      </c>
      <c r="I118">
        <v>0</v>
      </c>
      <c r="J118">
        <v>0</v>
      </c>
      <c r="K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1901148</v>
      </c>
      <c r="AL118">
        <v>0</v>
      </c>
      <c r="AM118">
        <v>0</v>
      </c>
      <c r="AN118">
        <v>0</v>
      </c>
      <c r="AO118">
        <v>0</v>
      </c>
      <c r="AP118">
        <v>0</v>
      </c>
      <c r="AQ118">
        <v>0</v>
      </c>
      <c r="AR118">
        <v>0</v>
      </c>
      <c r="AT118">
        <v>0</v>
      </c>
      <c r="AU118">
        <v>0</v>
      </c>
      <c r="AW118">
        <v>0</v>
      </c>
      <c r="AX118">
        <v>0</v>
      </c>
      <c r="AY118">
        <v>0</v>
      </c>
    </row>
    <row r="119" spans="1:51" x14ac:dyDescent="0.3">
      <c r="A119" s="754">
        <v>386</v>
      </c>
      <c r="B119" t="s">
        <v>161</v>
      </c>
      <c r="D119">
        <v>0</v>
      </c>
      <c r="E119">
        <v>0</v>
      </c>
      <c r="F119">
        <v>0</v>
      </c>
      <c r="G119">
        <v>0</v>
      </c>
      <c r="H119">
        <v>0</v>
      </c>
      <c r="I119">
        <v>0</v>
      </c>
      <c r="J119">
        <v>0</v>
      </c>
      <c r="K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T119">
        <v>0</v>
      </c>
      <c r="AU119">
        <v>0</v>
      </c>
      <c r="AW119">
        <v>0</v>
      </c>
      <c r="AX119">
        <v>0</v>
      </c>
      <c r="AY119">
        <v>0</v>
      </c>
    </row>
    <row r="120" spans="1:51" x14ac:dyDescent="0.3">
      <c r="A120" s="754">
        <v>387</v>
      </c>
      <c r="B120" t="s">
        <v>162</v>
      </c>
      <c r="D120">
        <v>0</v>
      </c>
      <c r="E120">
        <v>0</v>
      </c>
      <c r="F120">
        <v>0</v>
      </c>
      <c r="G120">
        <v>0</v>
      </c>
      <c r="H120">
        <v>0</v>
      </c>
      <c r="I120">
        <v>0</v>
      </c>
      <c r="J120">
        <v>0</v>
      </c>
      <c r="K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T120">
        <v>0</v>
      </c>
      <c r="AU120">
        <v>0</v>
      </c>
      <c r="AW120">
        <v>0</v>
      </c>
      <c r="AX120">
        <v>0</v>
      </c>
      <c r="AY120">
        <v>0</v>
      </c>
    </row>
    <row r="121" spans="1:51" x14ac:dyDescent="0.3">
      <c r="A121" s="754">
        <v>388</v>
      </c>
      <c r="B121" t="s">
        <v>156</v>
      </c>
      <c r="D121">
        <v>0</v>
      </c>
      <c r="E121">
        <v>0</v>
      </c>
      <c r="F121">
        <v>0</v>
      </c>
      <c r="G121">
        <v>0</v>
      </c>
      <c r="H121">
        <v>0</v>
      </c>
      <c r="I121">
        <v>0</v>
      </c>
      <c r="J121">
        <v>0</v>
      </c>
      <c r="K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T121">
        <v>0</v>
      </c>
      <c r="AU121">
        <v>0</v>
      </c>
      <c r="AW121">
        <v>0</v>
      </c>
      <c r="AX121">
        <v>0</v>
      </c>
      <c r="AY121">
        <v>0</v>
      </c>
    </row>
    <row r="122" spans="1:51" x14ac:dyDescent="0.3">
      <c r="A122" s="754">
        <v>389</v>
      </c>
      <c r="B122" t="s">
        <v>163</v>
      </c>
      <c r="D122">
        <v>0</v>
      </c>
      <c r="E122">
        <v>0</v>
      </c>
      <c r="F122">
        <v>0</v>
      </c>
      <c r="G122">
        <v>0</v>
      </c>
      <c r="H122">
        <v>0</v>
      </c>
      <c r="I122">
        <v>0</v>
      </c>
      <c r="J122">
        <v>0</v>
      </c>
      <c r="K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T122">
        <v>0</v>
      </c>
      <c r="AU122">
        <v>0</v>
      </c>
      <c r="AW122">
        <v>0</v>
      </c>
      <c r="AX122">
        <v>0</v>
      </c>
      <c r="AY122">
        <v>0</v>
      </c>
    </row>
    <row r="123" spans="1:51" x14ac:dyDescent="0.3">
      <c r="A123" s="754">
        <v>391</v>
      </c>
      <c r="B123" t="s">
        <v>168</v>
      </c>
      <c r="D123">
        <v>0</v>
      </c>
      <c r="E123">
        <v>0</v>
      </c>
      <c r="F123">
        <v>0</v>
      </c>
      <c r="G123">
        <v>0</v>
      </c>
      <c r="H123">
        <v>0</v>
      </c>
      <c r="I123">
        <v>0</v>
      </c>
      <c r="J123">
        <v>0</v>
      </c>
      <c r="K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T123">
        <v>0</v>
      </c>
      <c r="AU123">
        <v>0</v>
      </c>
      <c r="AW123">
        <v>0</v>
      </c>
      <c r="AX123">
        <v>0</v>
      </c>
      <c r="AY123">
        <v>0</v>
      </c>
    </row>
    <row r="124" spans="1:51" x14ac:dyDescent="0.3">
      <c r="A124" s="754">
        <v>500</v>
      </c>
      <c r="B124" t="s">
        <v>151</v>
      </c>
      <c r="D124">
        <v>0</v>
      </c>
      <c r="E124">
        <v>0</v>
      </c>
      <c r="F124">
        <v>0</v>
      </c>
      <c r="G124">
        <v>0</v>
      </c>
      <c r="H124">
        <v>0</v>
      </c>
      <c r="I124">
        <v>0</v>
      </c>
      <c r="J124">
        <v>0</v>
      </c>
      <c r="K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T124">
        <v>0</v>
      </c>
      <c r="AU124">
        <v>0</v>
      </c>
      <c r="AW124">
        <v>0</v>
      </c>
      <c r="AX124">
        <v>0</v>
      </c>
      <c r="AY124">
        <v>0</v>
      </c>
    </row>
    <row r="125" spans="1:51" x14ac:dyDescent="0.3">
      <c r="A125" s="754">
        <v>502</v>
      </c>
      <c r="B125" t="s">
        <v>153</v>
      </c>
      <c r="D125">
        <v>0</v>
      </c>
      <c r="E125">
        <v>0</v>
      </c>
      <c r="F125">
        <v>8000571</v>
      </c>
      <c r="G125">
        <v>0</v>
      </c>
      <c r="H125">
        <v>69031855</v>
      </c>
      <c r="I125">
        <v>0</v>
      </c>
      <c r="J125">
        <v>61227683</v>
      </c>
      <c r="K125">
        <v>8341777</v>
      </c>
      <c r="M125">
        <v>2588197</v>
      </c>
      <c r="N125">
        <v>6332703</v>
      </c>
      <c r="O125">
        <v>0</v>
      </c>
      <c r="P125">
        <v>127897937</v>
      </c>
      <c r="Q125">
        <v>1549976</v>
      </c>
      <c r="R125">
        <v>676438</v>
      </c>
      <c r="S125">
        <v>6765791</v>
      </c>
      <c r="T125">
        <v>0</v>
      </c>
      <c r="U125">
        <v>93657853</v>
      </c>
      <c r="V125">
        <v>3513748</v>
      </c>
      <c r="W125">
        <v>625421</v>
      </c>
      <c r="X125">
        <v>3603935</v>
      </c>
      <c r="Y125">
        <v>2867786</v>
      </c>
      <c r="Z125">
        <v>0</v>
      </c>
      <c r="AA125">
        <v>1329956</v>
      </c>
      <c r="AB125">
        <v>1147754</v>
      </c>
      <c r="AC125">
        <v>11648484</v>
      </c>
      <c r="AD125">
        <v>3243640</v>
      </c>
      <c r="AE125">
        <v>462555</v>
      </c>
      <c r="AF125">
        <v>43714192</v>
      </c>
      <c r="AG125">
        <v>7176478</v>
      </c>
      <c r="AH125">
        <v>20618342</v>
      </c>
      <c r="AI125">
        <v>13394286</v>
      </c>
      <c r="AJ125">
        <v>597424</v>
      </c>
      <c r="AK125">
        <v>1163475</v>
      </c>
      <c r="AL125">
        <v>28374787</v>
      </c>
      <c r="AM125">
        <v>0</v>
      </c>
      <c r="AN125">
        <v>7968480</v>
      </c>
      <c r="AO125">
        <v>0</v>
      </c>
      <c r="AP125">
        <v>2243985</v>
      </c>
      <c r="AQ125">
        <v>1273810</v>
      </c>
      <c r="AR125">
        <v>332512</v>
      </c>
      <c r="AT125">
        <v>14372154</v>
      </c>
      <c r="AU125">
        <v>0</v>
      </c>
      <c r="AW125">
        <v>38493</v>
      </c>
      <c r="AX125">
        <v>3275984</v>
      </c>
      <c r="AY125">
        <v>1882631</v>
      </c>
    </row>
    <row r="126" spans="1:51" x14ac:dyDescent="0.3">
      <c r="A126" s="754">
        <v>503</v>
      </c>
      <c r="B126" t="s">
        <v>154</v>
      </c>
      <c r="D126">
        <v>0</v>
      </c>
      <c r="E126">
        <v>0</v>
      </c>
      <c r="F126">
        <v>214246</v>
      </c>
      <c r="G126">
        <v>0</v>
      </c>
      <c r="H126">
        <v>8509166</v>
      </c>
      <c r="I126">
        <v>0</v>
      </c>
      <c r="J126">
        <v>46401158</v>
      </c>
      <c r="K126">
        <v>0</v>
      </c>
      <c r="M126">
        <v>1244261</v>
      </c>
      <c r="N126">
        <v>968049</v>
      </c>
      <c r="O126">
        <v>0</v>
      </c>
      <c r="P126">
        <v>140729255</v>
      </c>
      <c r="Q126">
        <v>86208</v>
      </c>
      <c r="R126">
        <v>0</v>
      </c>
      <c r="S126">
        <v>368616</v>
      </c>
      <c r="T126">
        <v>0</v>
      </c>
      <c r="U126">
        <v>14023585</v>
      </c>
      <c r="V126">
        <v>292092</v>
      </c>
      <c r="W126">
        <v>199854</v>
      </c>
      <c r="X126">
        <v>194131</v>
      </c>
      <c r="Y126">
        <v>0</v>
      </c>
      <c r="Z126">
        <v>0</v>
      </c>
      <c r="AA126">
        <v>799064</v>
      </c>
      <c r="AB126">
        <v>5475</v>
      </c>
      <c r="AC126">
        <v>3832700</v>
      </c>
      <c r="AD126">
        <v>479874</v>
      </c>
      <c r="AE126">
        <v>13830</v>
      </c>
      <c r="AF126">
        <v>4177902</v>
      </c>
      <c r="AG126">
        <v>24509797</v>
      </c>
      <c r="AH126">
        <v>0</v>
      </c>
      <c r="AI126">
        <v>549550</v>
      </c>
      <c r="AJ126">
        <v>0</v>
      </c>
      <c r="AK126">
        <v>0</v>
      </c>
      <c r="AL126">
        <v>0</v>
      </c>
      <c r="AM126">
        <v>0</v>
      </c>
      <c r="AN126">
        <v>742814</v>
      </c>
      <c r="AO126">
        <v>0</v>
      </c>
      <c r="AP126">
        <v>158043</v>
      </c>
      <c r="AQ126">
        <v>407325</v>
      </c>
      <c r="AR126">
        <v>7214</v>
      </c>
      <c r="AT126">
        <v>945187</v>
      </c>
      <c r="AU126">
        <v>0</v>
      </c>
      <c r="AW126">
        <v>630</v>
      </c>
      <c r="AX126">
        <v>74355</v>
      </c>
      <c r="AY126">
        <v>0</v>
      </c>
    </row>
    <row r="127" spans="1:51" x14ac:dyDescent="0.3">
      <c r="A127" s="754">
        <v>504</v>
      </c>
      <c r="B127" t="s">
        <v>158</v>
      </c>
      <c r="D127">
        <v>0</v>
      </c>
      <c r="E127">
        <v>0</v>
      </c>
      <c r="F127">
        <v>0</v>
      </c>
      <c r="G127">
        <v>0</v>
      </c>
      <c r="H127">
        <v>0</v>
      </c>
      <c r="I127">
        <v>0</v>
      </c>
      <c r="J127">
        <v>0</v>
      </c>
      <c r="K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T127">
        <v>0</v>
      </c>
      <c r="AU127">
        <v>0</v>
      </c>
      <c r="AW127">
        <v>0</v>
      </c>
      <c r="AX127">
        <v>0</v>
      </c>
      <c r="AY127">
        <v>0</v>
      </c>
    </row>
    <row r="128" spans="1:51" x14ac:dyDescent="0.3">
      <c r="A128" s="754">
        <v>505</v>
      </c>
      <c r="B128" t="s">
        <v>159</v>
      </c>
      <c r="D128">
        <v>0</v>
      </c>
      <c r="E128">
        <v>0</v>
      </c>
      <c r="F128">
        <v>0</v>
      </c>
      <c r="G128">
        <v>0</v>
      </c>
      <c r="H128">
        <v>0</v>
      </c>
      <c r="I128">
        <v>0</v>
      </c>
      <c r="J128">
        <v>0</v>
      </c>
      <c r="K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T128">
        <v>0</v>
      </c>
      <c r="AU128">
        <v>0</v>
      </c>
      <c r="AW128">
        <v>0</v>
      </c>
      <c r="AX128">
        <v>0</v>
      </c>
      <c r="AY128">
        <v>0</v>
      </c>
    </row>
    <row r="129" spans="1:51" x14ac:dyDescent="0.3">
      <c r="A129" s="754">
        <v>506</v>
      </c>
      <c r="B129" t="s">
        <v>165</v>
      </c>
      <c r="D129">
        <v>0</v>
      </c>
      <c r="E129">
        <v>0</v>
      </c>
      <c r="F129">
        <v>0</v>
      </c>
      <c r="G129">
        <v>0</v>
      </c>
      <c r="H129">
        <v>0</v>
      </c>
      <c r="I129">
        <v>0</v>
      </c>
      <c r="J129">
        <v>0</v>
      </c>
      <c r="K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T129">
        <v>0</v>
      </c>
      <c r="AU129">
        <v>0</v>
      </c>
      <c r="AW129">
        <v>0</v>
      </c>
      <c r="AX129">
        <v>0</v>
      </c>
      <c r="AY129">
        <v>0</v>
      </c>
    </row>
    <row r="130" spans="1:51" x14ac:dyDescent="0.3">
      <c r="A130" s="754">
        <v>507</v>
      </c>
      <c r="B130" t="s">
        <v>851</v>
      </c>
      <c r="D130">
        <v>0</v>
      </c>
      <c r="E130">
        <v>0</v>
      </c>
      <c r="F130">
        <v>0</v>
      </c>
      <c r="G130">
        <v>0</v>
      </c>
      <c r="H130">
        <v>0</v>
      </c>
      <c r="I130">
        <v>0</v>
      </c>
      <c r="J130">
        <v>0</v>
      </c>
      <c r="K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T130">
        <v>0</v>
      </c>
      <c r="AU130">
        <v>0</v>
      </c>
      <c r="AW130">
        <v>0</v>
      </c>
      <c r="AX130">
        <v>0</v>
      </c>
      <c r="AY130">
        <v>0</v>
      </c>
    </row>
    <row r="131" spans="1:51" x14ac:dyDescent="0.3">
      <c r="A131" s="754">
        <v>508</v>
      </c>
      <c r="B131" t="s">
        <v>180</v>
      </c>
      <c r="D131">
        <v>0</v>
      </c>
      <c r="E131">
        <v>0</v>
      </c>
      <c r="F131">
        <v>0</v>
      </c>
      <c r="G131">
        <v>0</v>
      </c>
      <c r="H131">
        <v>0</v>
      </c>
      <c r="I131">
        <v>0</v>
      </c>
      <c r="J131">
        <v>0</v>
      </c>
      <c r="K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T131">
        <v>0</v>
      </c>
      <c r="AU131">
        <v>0</v>
      </c>
      <c r="AW131">
        <v>0</v>
      </c>
      <c r="AX131">
        <v>0</v>
      </c>
      <c r="AY131">
        <v>0</v>
      </c>
    </row>
    <row r="132" spans="1:51" x14ac:dyDescent="0.3">
      <c r="A132" s="754">
        <v>509</v>
      </c>
      <c r="B132" t="s">
        <v>181</v>
      </c>
      <c r="D132">
        <v>0</v>
      </c>
      <c r="E132">
        <v>0</v>
      </c>
      <c r="F132">
        <v>0</v>
      </c>
      <c r="G132">
        <v>0</v>
      </c>
      <c r="H132">
        <v>0</v>
      </c>
      <c r="I132">
        <v>0</v>
      </c>
      <c r="J132">
        <v>0</v>
      </c>
      <c r="K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T132">
        <v>0</v>
      </c>
      <c r="AU132">
        <v>0</v>
      </c>
      <c r="AW132">
        <v>0</v>
      </c>
      <c r="AX132">
        <v>0</v>
      </c>
      <c r="AY132">
        <v>0</v>
      </c>
    </row>
    <row r="133" spans="1:51" x14ac:dyDescent="0.3">
      <c r="A133" s="754">
        <v>510</v>
      </c>
      <c r="B133" t="s">
        <v>187</v>
      </c>
      <c r="D133">
        <v>144468</v>
      </c>
      <c r="E133">
        <v>3051</v>
      </c>
      <c r="F133">
        <v>12998</v>
      </c>
      <c r="G133">
        <v>521159</v>
      </c>
      <c r="H133">
        <v>459528</v>
      </c>
      <c r="I133">
        <v>0</v>
      </c>
      <c r="J133">
        <v>28901</v>
      </c>
      <c r="K133">
        <v>335203</v>
      </c>
      <c r="M133">
        <v>0</v>
      </c>
      <c r="N133">
        <v>3392</v>
      </c>
      <c r="O133">
        <v>0</v>
      </c>
      <c r="P133">
        <v>2791689</v>
      </c>
      <c r="Q133">
        <v>111832</v>
      </c>
      <c r="R133">
        <v>0</v>
      </c>
      <c r="S133">
        <v>17058</v>
      </c>
      <c r="T133">
        <v>1278</v>
      </c>
      <c r="U133">
        <v>1353435</v>
      </c>
      <c r="V133">
        <v>0</v>
      </c>
      <c r="W133">
        <v>10879</v>
      </c>
      <c r="X133">
        <v>102614</v>
      </c>
      <c r="Y133">
        <v>0</v>
      </c>
      <c r="Z133">
        <v>115190</v>
      </c>
      <c r="AA133">
        <v>0</v>
      </c>
      <c r="AB133">
        <v>0</v>
      </c>
      <c r="AC133">
        <v>0</v>
      </c>
      <c r="AD133">
        <v>1320</v>
      </c>
      <c r="AE133">
        <v>37546</v>
      </c>
      <c r="AF133">
        <v>624524</v>
      </c>
      <c r="AG133">
        <v>1490616</v>
      </c>
      <c r="AH133">
        <v>123984</v>
      </c>
      <c r="AI133">
        <v>147284</v>
      </c>
      <c r="AJ133">
        <v>1850</v>
      </c>
      <c r="AK133">
        <v>0</v>
      </c>
      <c r="AL133">
        <v>336958</v>
      </c>
      <c r="AM133">
        <v>0</v>
      </c>
      <c r="AN133">
        <v>3354</v>
      </c>
      <c r="AO133">
        <v>0</v>
      </c>
      <c r="AP133">
        <v>675</v>
      </c>
      <c r="AQ133">
        <v>0</v>
      </c>
      <c r="AR133">
        <v>0</v>
      </c>
      <c r="AT133">
        <v>8875</v>
      </c>
      <c r="AU133">
        <v>0</v>
      </c>
      <c r="AW133">
        <v>0</v>
      </c>
      <c r="AX133">
        <v>78962</v>
      </c>
      <c r="AY133">
        <v>48699</v>
      </c>
    </row>
    <row r="134" spans="1:51" x14ac:dyDescent="0.3">
      <c r="A134" s="754">
        <v>511</v>
      </c>
      <c r="B134" t="s">
        <v>192</v>
      </c>
      <c r="D134">
        <v>0</v>
      </c>
      <c r="E134">
        <v>0</v>
      </c>
      <c r="F134">
        <v>0</v>
      </c>
      <c r="G134">
        <v>0</v>
      </c>
      <c r="H134">
        <v>0</v>
      </c>
      <c r="I134">
        <v>0</v>
      </c>
      <c r="J134">
        <v>0</v>
      </c>
      <c r="K134">
        <v>0</v>
      </c>
      <c r="M134">
        <v>0</v>
      </c>
      <c r="N134">
        <v>0</v>
      </c>
      <c r="O134">
        <v>0</v>
      </c>
      <c r="P134">
        <v>14805615</v>
      </c>
      <c r="Q134">
        <v>0</v>
      </c>
      <c r="R134">
        <v>0</v>
      </c>
      <c r="S134">
        <v>0</v>
      </c>
      <c r="T134">
        <v>0</v>
      </c>
      <c r="U134">
        <v>7858244</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T134">
        <v>0</v>
      </c>
      <c r="AU134">
        <v>0</v>
      </c>
      <c r="AW134">
        <v>0</v>
      </c>
      <c r="AX134">
        <v>0</v>
      </c>
      <c r="AY134">
        <v>0</v>
      </c>
    </row>
    <row r="135" spans="1:51" x14ac:dyDescent="0.3">
      <c r="A135" s="754">
        <v>512</v>
      </c>
      <c r="B135" t="s">
        <v>219</v>
      </c>
      <c r="D135">
        <v>0</v>
      </c>
      <c r="E135">
        <v>0</v>
      </c>
      <c r="F135">
        <v>0</v>
      </c>
      <c r="G135">
        <v>0</v>
      </c>
      <c r="H135">
        <v>0</v>
      </c>
      <c r="I135">
        <v>0</v>
      </c>
      <c r="J135">
        <v>0</v>
      </c>
      <c r="K135">
        <v>0</v>
      </c>
      <c r="M135">
        <v>0</v>
      </c>
      <c r="N135">
        <v>0</v>
      </c>
      <c r="O135">
        <v>0</v>
      </c>
      <c r="P135">
        <v>0</v>
      </c>
      <c r="Q135">
        <v>0</v>
      </c>
      <c r="R135">
        <v>0</v>
      </c>
      <c r="S135">
        <v>0</v>
      </c>
      <c r="T135">
        <v>0</v>
      </c>
      <c r="U135">
        <v>7005050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T135">
        <v>0</v>
      </c>
      <c r="AU135">
        <v>0</v>
      </c>
      <c r="AW135">
        <v>0</v>
      </c>
      <c r="AX135">
        <v>0</v>
      </c>
      <c r="AY135">
        <v>0</v>
      </c>
    </row>
    <row r="136" spans="1:51" x14ac:dyDescent="0.3">
      <c r="A136" s="754">
        <v>513</v>
      </c>
      <c r="B136" t="s">
        <v>225</v>
      </c>
      <c r="D136">
        <v>0</v>
      </c>
      <c r="E136">
        <v>0</v>
      </c>
      <c r="F136">
        <v>0</v>
      </c>
      <c r="G136">
        <v>0</v>
      </c>
      <c r="H136">
        <v>0</v>
      </c>
      <c r="I136">
        <v>0</v>
      </c>
      <c r="J136">
        <v>0</v>
      </c>
      <c r="K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T136">
        <v>0</v>
      </c>
      <c r="AU136">
        <v>0</v>
      </c>
      <c r="AW136">
        <v>0</v>
      </c>
      <c r="AX136">
        <v>0</v>
      </c>
      <c r="AY136">
        <v>0</v>
      </c>
    </row>
    <row r="137" spans="1:51" x14ac:dyDescent="0.3">
      <c r="A137" s="754">
        <v>514</v>
      </c>
      <c r="B137" t="s">
        <v>226</v>
      </c>
      <c r="D137">
        <v>0</v>
      </c>
      <c r="E137">
        <v>0</v>
      </c>
      <c r="F137">
        <v>0</v>
      </c>
      <c r="G137">
        <v>0</v>
      </c>
      <c r="H137">
        <v>0</v>
      </c>
      <c r="I137">
        <v>0</v>
      </c>
      <c r="J137">
        <v>0</v>
      </c>
      <c r="K137">
        <v>0</v>
      </c>
      <c r="M137">
        <v>0</v>
      </c>
      <c r="N137">
        <v>0</v>
      </c>
      <c r="O137">
        <v>0</v>
      </c>
      <c r="P137">
        <v>0</v>
      </c>
      <c r="Q137">
        <v>0</v>
      </c>
      <c r="R137">
        <v>0</v>
      </c>
      <c r="S137">
        <v>0</v>
      </c>
      <c r="T137">
        <v>0</v>
      </c>
      <c r="U137">
        <v>4834992</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T137">
        <v>0</v>
      </c>
      <c r="AU137">
        <v>0</v>
      </c>
      <c r="AW137">
        <v>0</v>
      </c>
      <c r="AX137">
        <v>0</v>
      </c>
      <c r="AY137">
        <v>0</v>
      </c>
    </row>
    <row r="138" spans="1:51" x14ac:dyDescent="0.3">
      <c r="A138" s="754">
        <v>515</v>
      </c>
      <c r="B138" t="s">
        <v>238</v>
      </c>
      <c r="D138">
        <v>185904</v>
      </c>
      <c r="E138">
        <v>351832</v>
      </c>
      <c r="F138">
        <v>0</v>
      </c>
      <c r="G138">
        <v>275813</v>
      </c>
      <c r="H138">
        <v>49092193</v>
      </c>
      <c r="I138">
        <v>3098475</v>
      </c>
      <c r="J138">
        <v>0</v>
      </c>
      <c r="K138">
        <v>622708</v>
      </c>
      <c r="M138">
        <v>0</v>
      </c>
      <c r="N138">
        <v>353692</v>
      </c>
      <c r="O138">
        <v>0</v>
      </c>
      <c r="P138">
        <v>13287285</v>
      </c>
      <c r="Q138">
        <v>0</v>
      </c>
      <c r="R138">
        <v>0</v>
      </c>
      <c r="S138">
        <v>561920</v>
      </c>
      <c r="T138">
        <v>0</v>
      </c>
      <c r="U138">
        <v>21989045</v>
      </c>
      <c r="V138">
        <v>120901</v>
      </c>
      <c r="W138">
        <v>0</v>
      </c>
      <c r="X138">
        <v>229355</v>
      </c>
      <c r="Y138">
        <v>395734</v>
      </c>
      <c r="Z138">
        <v>602858</v>
      </c>
      <c r="AA138">
        <v>26604937</v>
      </c>
      <c r="AB138">
        <v>721966</v>
      </c>
      <c r="AC138">
        <v>0</v>
      </c>
      <c r="AD138">
        <v>351572</v>
      </c>
      <c r="AE138">
        <v>0</v>
      </c>
      <c r="AF138">
        <v>11883201</v>
      </c>
      <c r="AG138">
        <v>0</v>
      </c>
      <c r="AH138">
        <v>518949</v>
      </c>
      <c r="AI138">
        <v>2262050</v>
      </c>
      <c r="AJ138">
        <v>0</v>
      </c>
      <c r="AK138">
        <v>0</v>
      </c>
      <c r="AL138">
        <v>34230255</v>
      </c>
      <c r="AM138">
        <v>0</v>
      </c>
      <c r="AN138">
        <v>351876</v>
      </c>
      <c r="AO138">
        <v>0</v>
      </c>
      <c r="AP138">
        <v>351523</v>
      </c>
      <c r="AQ138">
        <v>0</v>
      </c>
      <c r="AR138">
        <v>0</v>
      </c>
      <c r="AT138">
        <v>778139</v>
      </c>
      <c r="AU138">
        <v>0</v>
      </c>
      <c r="AW138">
        <v>268241</v>
      </c>
      <c r="AX138">
        <v>0</v>
      </c>
      <c r="AY138">
        <v>461135</v>
      </c>
    </row>
    <row r="139" spans="1:51" x14ac:dyDescent="0.3">
      <c r="A139" s="754">
        <v>516</v>
      </c>
      <c r="B139" t="s">
        <v>239</v>
      </c>
      <c r="D139">
        <v>23062554</v>
      </c>
      <c r="E139">
        <v>26194106</v>
      </c>
      <c r="F139">
        <v>46946491</v>
      </c>
      <c r="G139">
        <v>71347374</v>
      </c>
      <c r="H139">
        <v>530906195</v>
      </c>
      <c r="I139">
        <v>216191759</v>
      </c>
      <c r="J139">
        <v>887879733</v>
      </c>
      <c r="K139">
        <v>59879111</v>
      </c>
      <c r="M139">
        <v>38705448</v>
      </c>
      <c r="N139">
        <v>36194125</v>
      </c>
      <c r="O139">
        <v>5171576</v>
      </c>
      <c r="P139">
        <v>1115629760</v>
      </c>
      <c r="Q139">
        <v>6742968</v>
      </c>
      <c r="R139">
        <v>6572659</v>
      </c>
      <c r="S139">
        <v>30802590</v>
      </c>
      <c r="T139">
        <v>3770614</v>
      </c>
      <c r="U139">
        <v>384804018</v>
      </c>
      <c r="V139">
        <v>6333375</v>
      </c>
      <c r="W139">
        <v>2726054</v>
      </c>
      <c r="X139">
        <v>17227240</v>
      </c>
      <c r="Y139">
        <v>69999316</v>
      </c>
      <c r="Z139">
        <v>10940658</v>
      </c>
      <c r="AA139">
        <v>0</v>
      </c>
      <c r="AB139">
        <v>2958467</v>
      </c>
      <c r="AC139">
        <v>135092492</v>
      </c>
      <c r="AD139">
        <v>13931612</v>
      </c>
      <c r="AE139">
        <v>7156899</v>
      </c>
      <c r="AF139">
        <v>242144620</v>
      </c>
      <c r="AG139">
        <v>425816407</v>
      </c>
      <c r="AH139">
        <v>71697303</v>
      </c>
      <c r="AI139">
        <v>74429857</v>
      </c>
      <c r="AJ139">
        <v>8439957</v>
      </c>
      <c r="AK139">
        <v>1203961</v>
      </c>
      <c r="AL139">
        <v>34550142</v>
      </c>
      <c r="AM139">
        <v>19621870</v>
      </c>
      <c r="AN139">
        <v>32981339</v>
      </c>
      <c r="AO139">
        <v>8568274</v>
      </c>
      <c r="AP139">
        <v>7847750</v>
      </c>
      <c r="AQ139">
        <v>12836291</v>
      </c>
      <c r="AR139">
        <v>1517807</v>
      </c>
      <c r="AT139">
        <v>53235533</v>
      </c>
      <c r="AU139">
        <v>11823021</v>
      </c>
      <c r="AW139">
        <v>80742</v>
      </c>
      <c r="AX139">
        <v>12321852</v>
      </c>
      <c r="AY139">
        <v>34604356</v>
      </c>
    </row>
    <row r="140" spans="1:51" x14ac:dyDescent="0.3">
      <c r="A140" s="754">
        <v>517</v>
      </c>
      <c r="B140" t="s">
        <v>240</v>
      </c>
      <c r="D140">
        <v>0</v>
      </c>
      <c r="E140">
        <v>0</v>
      </c>
      <c r="F140">
        <v>0</v>
      </c>
      <c r="G140">
        <v>0</v>
      </c>
      <c r="H140">
        <v>0</v>
      </c>
      <c r="I140">
        <v>0</v>
      </c>
      <c r="J140">
        <v>0</v>
      </c>
      <c r="K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30847456</v>
      </c>
      <c r="AI140">
        <v>0</v>
      </c>
      <c r="AJ140">
        <v>0</v>
      </c>
      <c r="AK140">
        <v>0</v>
      </c>
      <c r="AL140">
        <v>0</v>
      </c>
      <c r="AM140">
        <v>0</v>
      </c>
      <c r="AN140">
        <v>0</v>
      </c>
      <c r="AO140">
        <v>0</v>
      </c>
      <c r="AP140">
        <v>0</v>
      </c>
      <c r="AQ140">
        <v>0</v>
      </c>
      <c r="AR140">
        <v>0</v>
      </c>
      <c r="AT140">
        <v>0</v>
      </c>
      <c r="AU140">
        <v>0</v>
      </c>
      <c r="AW140">
        <v>0</v>
      </c>
      <c r="AX140">
        <v>0</v>
      </c>
      <c r="AY140">
        <v>0</v>
      </c>
    </row>
    <row r="141" spans="1:51" x14ac:dyDescent="0.3">
      <c r="A141" s="754">
        <v>518</v>
      </c>
      <c r="B141" t="s">
        <v>241</v>
      </c>
      <c r="D141">
        <v>1060108</v>
      </c>
      <c r="E141">
        <v>393398</v>
      </c>
      <c r="F141">
        <v>8433168</v>
      </c>
      <c r="G141">
        <v>2632428</v>
      </c>
      <c r="H141">
        <v>92871175</v>
      </c>
      <c r="I141">
        <v>11447212</v>
      </c>
      <c r="J141">
        <v>58033616</v>
      </c>
      <c r="K141">
        <v>5256537</v>
      </c>
      <c r="M141">
        <v>382052</v>
      </c>
      <c r="N141">
        <v>987711</v>
      </c>
      <c r="O141">
        <v>0</v>
      </c>
      <c r="P141">
        <v>50871895</v>
      </c>
      <c r="Q141">
        <v>345872</v>
      </c>
      <c r="R141">
        <v>0</v>
      </c>
      <c r="S141">
        <v>250792</v>
      </c>
      <c r="T141">
        <v>91031</v>
      </c>
      <c r="U141">
        <v>26416121</v>
      </c>
      <c r="V141">
        <v>21063186</v>
      </c>
      <c r="W141">
        <v>394776</v>
      </c>
      <c r="X141">
        <v>595997</v>
      </c>
      <c r="Y141">
        <v>855197</v>
      </c>
      <c r="Z141">
        <v>1453605</v>
      </c>
      <c r="AA141">
        <v>78498</v>
      </c>
      <c r="AB141">
        <v>42706</v>
      </c>
      <c r="AC141">
        <v>1014548</v>
      </c>
      <c r="AD141">
        <v>187364</v>
      </c>
      <c r="AE141">
        <v>279405</v>
      </c>
      <c r="AF141">
        <v>9853852</v>
      </c>
      <c r="AG141">
        <v>59926748</v>
      </c>
      <c r="AH141">
        <v>844014</v>
      </c>
      <c r="AI141">
        <v>0</v>
      </c>
      <c r="AJ141">
        <v>120017</v>
      </c>
      <c r="AK141">
        <v>243182</v>
      </c>
      <c r="AL141">
        <v>1335498</v>
      </c>
      <c r="AM141">
        <v>446429</v>
      </c>
      <c r="AN141">
        <v>519352</v>
      </c>
      <c r="AO141">
        <v>170305</v>
      </c>
      <c r="AP141">
        <v>272323</v>
      </c>
      <c r="AQ141">
        <v>0</v>
      </c>
      <c r="AR141">
        <v>23728</v>
      </c>
      <c r="AT141">
        <v>2450723</v>
      </c>
      <c r="AU141">
        <v>0</v>
      </c>
      <c r="AW141">
        <v>18306</v>
      </c>
      <c r="AX141">
        <v>749775</v>
      </c>
      <c r="AY141">
        <v>217660</v>
      </c>
    </row>
    <row r="142" spans="1:51" x14ac:dyDescent="0.3">
      <c r="A142" s="754">
        <v>519</v>
      </c>
      <c r="B142" t="s">
        <v>242</v>
      </c>
      <c r="D142">
        <v>4648</v>
      </c>
      <c r="E142">
        <v>8796</v>
      </c>
      <c r="F142">
        <v>0</v>
      </c>
      <c r="G142">
        <v>52097</v>
      </c>
      <c r="H142">
        <v>1018145</v>
      </c>
      <c r="I142">
        <v>149229</v>
      </c>
      <c r="J142">
        <v>0</v>
      </c>
      <c r="K142">
        <v>15575</v>
      </c>
      <c r="M142">
        <v>0</v>
      </c>
      <c r="N142">
        <v>8842</v>
      </c>
      <c r="O142">
        <v>0</v>
      </c>
      <c r="P142">
        <v>267408</v>
      </c>
      <c r="Q142">
        <v>0</v>
      </c>
      <c r="R142">
        <v>0</v>
      </c>
      <c r="S142">
        <v>16956</v>
      </c>
      <c r="T142">
        <v>0</v>
      </c>
      <c r="U142">
        <v>708405</v>
      </c>
      <c r="V142">
        <v>2997</v>
      </c>
      <c r="W142">
        <v>0</v>
      </c>
      <c r="X142">
        <v>6797</v>
      </c>
      <c r="Y142">
        <v>9894</v>
      </c>
      <c r="Z142">
        <v>14724</v>
      </c>
      <c r="AA142">
        <v>5708265</v>
      </c>
      <c r="AB142">
        <v>14303</v>
      </c>
      <c r="AC142">
        <v>0</v>
      </c>
      <c r="AD142">
        <v>8789</v>
      </c>
      <c r="AE142">
        <v>0</v>
      </c>
      <c r="AF142">
        <v>370079</v>
      </c>
      <c r="AG142">
        <v>0</v>
      </c>
      <c r="AH142">
        <v>0</v>
      </c>
      <c r="AI142">
        <v>39950</v>
      </c>
      <c r="AJ142">
        <v>0</v>
      </c>
      <c r="AK142">
        <v>0</v>
      </c>
      <c r="AL142">
        <v>686537</v>
      </c>
      <c r="AM142">
        <v>0</v>
      </c>
      <c r="AN142">
        <v>8797</v>
      </c>
      <c r="AO142">
        <v>0</v>
      </c>
      <c r="AP142">
        <v>8788</v>
      </c>
      <c r="AQ142">
        <v>0</v>
      </c>
      <c r="AR142">
        <v>0</v>
      </c>
      <c r="AT142">
        <v>24367</v>
      </c>
      <c r="AU142">
        <v>0</v>
      </c>
      <c r="AW142">
        <v>197874</v>
      </c>
      <c r="AX142">
        <v>0</v>
      </c>
      <c r="AY142">
        <v>11559</v>
      </c>
    </row>
    <row r="143" spans="1:51" x14ac:dyDescent="0.3">
      <c r="A143" s="754">
        <v>520</v>
      </c>
      <c r="B143" t="s">
        <v>243</v>
      </c>
      <c r="D143">
        <v>576564</v>
      </c>
      <c r="E143">
        <v>645471</v>
      </c>
      <c r="F143">
        <v>1083176</v>
      </c>
      <c r="G143">
        <v>3358641</v>
      </c>
      <c r="H143">
        <v>7058923</v>
      </c>
      <c r="I143">
        <v>6812615</v>
      </c>
      <c r="J143">
        <v>21414831</v>
      </c>
      <c r="K143">
        <v>1248726</v>
      </c>
      <c r="M143">
        <v>846550</v>
      </c>
      <c r="N143">
        <v>903565</v>
      </c>
      <c r="O143">
        <v>103431</v>
      </c>
      <c r="P143">
        <v>25522233</v>
      </c>
      <c r="Q143">
        <v>187482</v>
      </c>
      <c r="R143">
        <v>164316</v>
      </c>
      <c r="S143">
        <v>765189</v>
      </c>
      <c r="T143">
        <v>133858</v>
      </c>
      <c r="U143">
        <v>9429923</v>
      </c>
      <c r="V143">
        <v>114583</v>
      </c>
      <c r="W143">
        <v>44124</v>
      </c>
      <c r="X143">
        <v>295747</v>
      </c>
      <c r="Y143">
        <v>1605423</v>
      </c>
      <c r="Z143">
        <v>261248</v>
      </c>
      <c r="AA143">
        <v>0</v>
      </c>
      <c r="AB143">
        <v>73961</v>
      </c>
      <c r="AC143">
        <v>3379258</v>
      </c>
      <c r="AD143">
        <v>343664</v>
      </c>
      <c r="AE143">
        <v>216980</v>
      </c>
      <c r="AF143">
        <v>5114368</v>
      </c>
      <c r="AG143">
        <v>8665294</v>
      </c>
      <c r="AH143">
        <v>2365342</v>
      </c>
      <c r="AI143">
        <v>2192530</v>
      </c>
      <c r="AJ143">
        <v>149898</v>
      </c>
      <c r="AK143">
        <v>34663</v>
      </c>
      <c r="AL143">
        <v>1246415</v>
      </c>
      <c r="AM143">
        <v>481508</v>
      </c>
      <c r="AN143">
        <v>817558</v>
      </c>
      <c r="AO143">
        <v>187877</v>
      </c>
      <c r="AP143">
        <v>198153</v>
      </c>
      <c r="AQ143">
        <v>321208</v>
      </c>
      <c r="AR143">
        <v>30356</v>
      </c>
      <c r="AT143">
        <v>1470274</v>
      </c>
      <c r="AU143">
        <v>55622</v>
      </c>
      <c r="AW143">
        <v>78394</v>
      </c>
      <c r="AX143">
        <v>246034</v>
      </c>
      <c r="AY143">
        <v>816144</v>
      </c>
    </row>
    <row r="144" spans="1:51" x14ac:dyDescent="0.3">
      <c r="A144" s="754">
        <v>521</v>
      </c>
      <c r="B144" t="s">
        <v>244</v>
      </c>
      <c r="D144">
        <v>0</v>
      </c>
      <c r="E144">
        <v>0</v>
      </c>
      <c r="F144">
        <v>0</v>
      </c>
      <c r="G144">
        <v>0</v>
      </c>
      <c r="H144">
        <v>0</v>
      </c>
      <c r="I144">
        <v>0</v>
      </c>
      <c r="J144">
        <v>0</v>
      </c>
      <c r="K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957738</v>
      </c>
      <c r="AI144">
        <v>0</v>
      </c>
      <c r="AJ144">
        <v>0</v>
      </c>
      <c r="AK144">
        <v>0</v>
      </c>
      <c r="AL144">
        <v>0</v>
      </c>
      <c r="AM144">
        <v>0</v>
      </c>
      <c r="AN144">
        <v>0</v>
      </c>
      <c r="AO144">
        <v>0</v>
      </c>
      <c r="AP144">
        <v>0</v>
      </c>
      <c r="AQ144">
        <v>0</v>
      </c>
      <c r="AR144">
        <v>0</v>
      </c>
      <c r="AT144">
        <v>0</v>
      </c>
      <c r="AU144">
        <v>0</v>
      </c>
      <c r="AW144">
        <v>0</v>
      </c>
      <c r="AX144">
        <v>0</v>
      </c>
      <c r="AY144">
        <v>0</v>
      </c>
    </row>
    <row r="145" spans="1:51" x14ac:dyDescent="0.3">
      <c r="A145" s="754">
        <v>522</v>
      </c>
      <c r="B145" t="s">
        <v>245</v>
      </c>
      <c r="D145">
        <v>28068</v>
      </c>
      <c r="E145">
        <v>35616</v>
      </c>
      <c r="F145">
        <v>869981</v>
      </c>
      <c r="G145">
        <v>182070</v>
      </c>
      <c r="H145">
        <v>4317807</v>
      </c>
      <c r="I145">
        <v>437974</v>
      </c>
      <c r="J145">
        <v>3297090</v>
      </c>
      <c r="K145">
        <v>269730</v>
      </c>
      <c r="M145">
        <v>20809</v>
      </c>
      <c r="N145">
        <v>53996</v>
      </c>
      <c r="O145">
        <v>0</v>
      </c>
      <c r="P145">
        <v>2617026</v>
      </c>
      <c r="Q145">
        <v>27149</v>
      </c>
      <c r="R145">
        <v>0</v>
      </c>
      <c r="S145">
        <v>23625</v>
      </c>
      <c r="T145">
        <v>1192</v>
      </c>
      <c r="U145">
        <v>1347839</v>
      </c>
      <c r="V145">
        <v>523981</v>
      </c>
      <c r="W145">
        <v>3192</v>
      </c>
      <c r="X145">
        <v>52932</v>
      </c>
      <c r="Y145">
        <v>43318</v>
      </c>
      <c r="Z145">
        <v>88714</v>
      </c>
      <c r="AA145">
        <v>17699</v>
      </c>
      <c r="AB145">
        <v>359</v>
      </c>
      <c r="AC145">
        <v>63563</v>
      </c>
      <c r="AD145">
        <v>15129</v>
      </c>
      <c r="AE145">
        <v>26069</v>
      </c>
      <c r="AF145">
        <v>689635</v>
      </c>
      <c r="AG145">
        <v>1810950</v>
      </c>
      <c r="AH145">
        <v>0</v>
      </c>
      <c r="AI145">
        <v>0</v>
      </c>
      <c r="AJ145">
        <v>2209</v>
      </c>
      <c r="AK145">
        <v>7837</v>
      </c>
      <c r="AL145">
        <v>96670</v>
      </c>
      <c r="AM145">
        <v>28037</v>
      </c>
      <c r="AN145">
        <v>44604</v>
      </c>
      <c r="AO145">
        <v>14667</v>
      </c>
      <c r="AP145">
        <v>17916</v>
      </c>
      <c r="AQ145">
        <v>0</v>
      </c>
      <c r="AR145">
        <v>1245</v>
      </c>
      <c r="AT145">
        <v>113975</v>
      </c>
      <c r="AU145">
        <v>0</v>
      </c>
      <c r="AW145">
        <v>16663</v>
      </c>
      <c r="AX145">
        <v>49081</v>
      </c>
      <c r="AY145">
        <v>31826</v>
      </c>
    </row>
    <row r="146" spans="1:51" x14ac:dyDescent="0.3">
      <c r="A146" s="754">
        <v>523</v>
      </c>
      <c r="B146" t="s">
        <v>246</v>
      </c>
      <c r="D146">
        <v>110633</v>
      </c>
      <c r="E146">
        <v>70368</v>
      </c>
      <c r="F146">
        <v>0</v>
      </c>
      <c r="G146">
        <v>214636</v>
      </c>
      <c r="H146">
        <v>24485961</v>
      </c>
      <c r="I146">
        <v>1363321</v>
      </c>
      <c r="J146">
        <v>0</v>
      </c>
      <c r="K146">
        <v>276176</v>
      </c>
      <c r="M146">
        <v>0</v>
      </c>
      <c r="N146">
        <v>70736</v>
      </c>
      <c r="O146">
        <v>0</v>
      </c>
      <c r="P146">
        <v>5117533</v>
      </c>
      <c r="Q146">
        <v>0</v>
      </c>
      <c r="R146">
        <v>0</v>
      </c>
      <c r="S146">
        <v>146911</v>
      </c>
      <c r="T146">
        <v>0</v>
      </c>
      <c r="U146">
        <v>3198043</v>
      </c>
      <c r="V146">
        <v>85515</v>
      </c>
      <c r="W146">
        <v>0</v>
      </c>
      <c r="X146">
        <v>87596</v>
      </c>
      <c r="Y146">
        <v>157799</v>
      </c>
      <c r="Z146">
        <v>200092</v>
      </c>
      <c r="AA146">
        <v>5708265</v>
      </c>
      <c r="AB146">
        <v>198707</v>
      </c>
      <c r="AC146">
        <v>0</v>
      </c>
      <c r="AD146">
        <v>70312</v>
      </c>
      <c r="AE146">
        <v>0</v>
      </c>
      <c r="AF146">
        <v>9645065</v>
      </c>
      <c r="AG146">
        <v>0</v>
      </c>
      <c r="AH146">
        <v>0</v>
      </c>
      <c r="AI146">
        <v>953906</v>
      </c>
      <c r="AJ146">
        <v>0</v>
      </c>
      <c r="AK146">
        <v>0</v>
      </c>
      <c r="AL146">
        <v>7540642</v>
      </c>
      <c r="AM146">
        <v>0</v>
      </c>
      <c r="AN146">
        <v>70376</v>
      </c>
      <c r="AO146">
        <v>0</v>
      </c>
      <c r="AP146">
        <v>70304</v>
      </c>
      <c r="AQ146">
        <v>0</v>
      </c>
      <c r="AR146">
        <v>0</v>
      </c>
      <c r="AT146">
        <v>402017</v>
      </c>
      <c r="AU146">
        <v>0</v>
      </c>
      <c r="AW146">
        <v>0</v>
      </c>
      <c r="AX146">
        <v>0</v>
      </c>
      <c r="AY146">
        <v>93578</v>
      </c>
    </row>
    <row r="147" spans="1:51" x14ac:dyDescent="0.3">
      <c r="A147" s="754">
        <v>524</v>
      </c>
      <c r="B147" t="s">
        <v>247</v>
      </c>
      <c r="D147">
        <v>13841513</v>
      </c>
      <c r="E147">
        <v>9827693</v>
      </c>
      <c r="F147">
        <v>18592192</v>
      </c>
      <c r="G147">
        <v>16674245</v>
      </c>
      <c r="H147">
        <v>126332903</v>
      </c>
      <c r="I147">
        <v>104109900</v>
      </c>
      <c r="J147">
        <v>211011963</v>
      </c>
      <c r="K147">
        <v>26296157</v>
      </c>
      <c r="M147">
        <v>14361030</v>
      </c>
      <c r="N147">
        <v>14329547</v>
      </c>
      <c r="O147">
        <v>1611159</v>
      </c>
      <c r="P147">
        <v>424110686</v>
      </c>
      <c r="Q147">
        <v>3994724</v>
      </c>
      <c r="R147">
        <v>2136113</v>
      </c>
      <c r="S147">
        <v>11622081</v>
      </c>
      <c r="T147">
        <v>2733112</v>
      </c>
      <c r="U147">
        <v>173829357</v>
      </c>
      <c r="V147">
        <v>4316522</v>
      </c>
      <c r="W147">
        <v>1702911</v>
      </c>
      <c r="X147">
        <v>4136120</v>
      </c>
      <c r="Y147">
        <v>29784260</v>
      </c>
      <c r="Z147">
        <v>6802610</v>
      </c>
      <c r="AA147">
        <v>0</v>
      </c>
      <c r="AB147">
        <v>1899452</v>
      </c>
      <c r="AC147">
        <v>43075133</v>
      </c>
      <c r="AD147">
        <v>4831849</v>
      </c>
      <c r="AE147">
        <v>5053964</v>
      </c>
      <c r="AF147">
        <v>82294470</v>
      </c>
      <c r="AG147">
        <v>165259362</v>
      </c>
      <c r="AH147">
        <v>23102937</v>
      </c>
      <c r="AI147">
        <v>37837613</v>
      </c>
      <c r="AJ147">
        <v>2493021</v>
      </c>
      <c r="AK147">
        <v>868651</v>
      </c>
      <c r="AL147">
        <v>10053995</v>
      </c>
      <c r="AM147">
        <v>9152469</v>
      </c>
      <c r="AN147">
        <v>11115934</v>
      </c>
      <c r="AO147">
        <v>4619629</v>
      </c>
      <c r="AP147">
        <v>3818569</v>
      </c>
      <c r="AQ147">
        <v>2729545</v>
      </c>
      <c r="AR147">
        <v>618924</v>
      </c>
      <c r="AT147">
        <v>23045592</v>
      </c>
      <c r="AU147">
        <v>907750</v>
      </c>
      <c r="AW147">
        <v>0</v>
      </c>
      <c r="AX147">
        <v>4679323</v>
      </c>
      <c r="AY147">
        <v>13669616</v>
      </c>
    </row>
    <row r="148" spans="1:51" x14ac:dyDescent="0.3">
      <c r="A148" s="754">
        <v>525</v>
      </c>
      <c r="B148" t="s">
        <v>248</v>
      </c>
      <c r="D148">
        <v>0</v>
      </c>
      <c r="E148">
        <v>0</v>
      </c>
      <c r="F148">
        <v>0</v>
      </c>
      <c r="G148">
        <v>0</v>
      </c>
      <c r="H148">
        <v>0</v>
      </c>
      <c r="I148">
        <v>0</v>
      </c>
      <c r="J148">
        <v>0</v>
      </c>
      <c r="K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13245229</v>
      </c>
      <c r="AI148">
        <v>0</v>
      </c>
      <c r="AJ148">
        <v>0</v>
      </c>
      <c r="AK148">
        <v>0</v>
      </c>
      <c r="AL148">
        <v>0</v>
      </c>
      <c r="AM148">
        <v>0</v>
      </c>
      <c r="AN148">
        <v>0</v>
      </c>
      <c r="AO148">
        <v>0</v>
      </c>
      <c r="AP148">
        <v>0</v>
      </c>
      <c r="AQ148">
        <v>0</v>
      </c>
      <c r="AR148">
        <v>0</v>
      </c>
      <c r="AT148">
        <v>0</v>
      </c>
      <c r="AU148">
        <v>0</v>
      </c>
      <c r="AW148">
        <v>0</v>
      </c>
      <c r="AX148">
        <v>0</v>
      </c>
      <c r="AY148">
        <v>0</v>
      </c>
    </row>
    <row r="149" spans="1:51" x14ac:dyDescent="0.3">
      <c r="A149" s="754">
        <v>526</v>
      </c>
      <c r="B149" t="s">
        <v>249</v>
      </c>
      <c r="D149">
        <v>861957</v>
      </c>
      <c r="E149">
        <v>295190</v>
      </c>
      <c r="F149">
        <v>5495333</v>
      </c>
      <c r="G149">
        <v>1409170</v>
      </c>
      <c r="H149">
        <v>60129350</v>
      </c>
      <c r="I149">
        <v>7650566</v>
      </c>
      <c r="J149">
        <v>27742922</v>
      </c>
      <c r="K149">
        <v>3260397</v>
      </c>
      <c r="M149">
        <v>211008</v>
      </c>
      <c r="N149">
        <v>475589</v>
      </c>
      <c r="O149">
        <v>0</v>
      </c>
      <c r="P149">
        <v>39408783</v>
      </c>
      <c r="Q149">
        <v>228171</v>
      </c>
      <c r="R149">
        <v>0</v>
      </c>
      <c r="S149">
        <v>162588</v>
      </c>
      <c r="T149">
        <v>87824</v>
      </c>
      <c r="U149">
        <v>18056701</v>
      </c>
      <c r="V149">
        <v>3675289</v>
      </c>
      <c r="W149">
        <v>250670</v>
      </c>
      <c r="X149">
        <v>447919</v>
      </c>
      <c r="Y149">
        <v>305630</v>
      </c>
      <c r="Z149">
        <v>561684</v>
      </c>
      <c r="AA149">
        <v>17699</v>
      </c>
      <c r="AB149">
        <v>41810</v>
      </c>
      <c r="AC149">
        <v>665114</v>
      </c>
      <c r="AD149">
        <v>126740</v>
      </c>
      <c r="AE149">
        <v>158631</v>
      </c>
      <c r="AF149">
        <v>8178264</v>
      </c>
      <c r="AG149">
        <v>38206705</v>
      </c>
      <c r="AH149">
        <v>0</v>
      </c>
      <c r="AI149">
        <v>0</v>
      </c>
      <c r="AJ149">
        <v>103020</v>
      </c>
      <c r="AK149">
        <v>33987</v>
      </c>
      <c r="AL149">
        <v>961837</v>
      </c>
      <c r="AM149">
        <v>348876</v>
      </c>
      <c r="AN149">
        <v>372170</v>
      </c>
      <c r="AO149">
        <v>78835</v>
      </c>
      <c r="AP149">
        <v>133478</v>
      </c>
      <c r="AQ149">
        <v>0</v>
      </c>
      <c r="AR149">
        <v>18151</v>
      </c>
      <c r="AT149">
        <v>1648030</v>
      </c>
      <c r="AU149">
        <v>0</v>
      </c>
      <c r="AW149">
        <v>0</v>
      </c>
      <c r="AX149">
        <v>551910</v>
      </c>
      <c r="AY149">
        <v>161641</v>
      </c>
    </row>
    <row r="150" spans="1:51" x14ac:dyDescent="0.3">
      <c r="A150" s="754">
        <v>527</v>
      </c>
      <c r="B150" t="s">
        <v>250</v>
      </c>
      <c r="D150">
        <v>0</v>
      </c>
      <c r="E150">
        <v>0</v>
      </c>
      <c r="F150">
        <v>0</v>
      </c>
      <c r="G150">
        <v>0</v>
      </c>
      <c r="H150">
        <v>0</v>
      </c>
      <c r="I150">
        <v>0</v>
      </c>
      <c r="J150">
        <v>0</v>
      </c>
      <c r="K150">
        <v>0</v>
      </c>
      <c r="M150">
        <v>0</v>
      </c>
      <c r="N150">
        <v>0</v>
      </c>
      <c r="O150">
        <v>0</v>
      </c>
      <c r="P150">
        <v>51466337</v>
      </c>
      <c r="Q150">
        <v>0</v>
      </c>
      <c r="R150">
        <v>0</v>
      </c>
      <c r="S150">
        <v>0</v>
      </c>
      <c r="T150">
        <v>0</v>
      </c>
      <c r="U150">
        <v>10238853</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T150">
        <v>0</v>
      </c>
      <c r="AU150">
        <v>0</v>
      </c>
      <c r="AW150">
        <v>0</v>
      </c>
      <c r="AX150">
        <v>0</v>
      </c>
      <c r="AY150">
        <v>0</v>
      </c>
    </row>
    <row r="151" spans="1:51" x14ac:dyDescent="0.3">
      <c r="A151" s="754">
        <v>528</v>
      </c>
      <c r="B151" t="s">
        <v>233</v>
      </c>
      <c r="D151">
        <v>0</v>
      </c>
      <c r="E151">
        <v>0</v>
      </c>
      <c r="F151">
        <v>0</v>
      </c>
      <c r="G151">
        <v>0</v>
      </c>
      <c r="H151">
        <v>0</v>
      </c>
      <c r="I151">
        <v>0</v>
      </c>
      <c r="J151">
        <v>0</v>
      </c>
      <c r="K151">
        <v>828933</v>
      </c>
      <c r="M151">
        <v>0</v>
      </c>
      <c r="N151">
        <v>0</v>
      </c>
      <c r="O151">
        <v>0</v>
      </c>
      <c r="P151">
        <v>0</v>
      </c>
      <c r="Q151">
        <v>0</v>
      </c>
      <c r="R151">
        <v>0</v>
      </c>
      <c r="S151">
        <v>0</v>
      </c>
      <c r="T151">
        <v>0</v>
      </c>
      <c r="U151">
        <v>0</v>
      </c>
      <c r="V151">
        <v>0</v>
      </c>
      <c r="W151">
        <v>0</v>
      </c>
      <c r="X151">
        <v>249638</v>
      </c>
      <c r="Y151">
        <v>0</v>
      </c>
      <c r="Z151">
        <v>0</v>
      </c>
      <c r="AA151">
        <v>0</v>
      </c>
      <c r="AB151">
        <v>0</v>
      </c>
      <c r="AC151">
        <v>0</v>
      </c>
      <c r="AD151">
        <v>0</v>
      </c>
      <c r="AE151">
        <v>0</v>
      </c>
      <c r="AF151">
        <v>0</v>
      </c>
      <c r="AG151">
        <v>0</v>
      </c>
      <c r="AH151">
        <v>0</v>
      </c>
      <c r="AI151">
        <v>0</v>
      </c>
      <c r="AJ151">
        <v>0</v>
      </c>
      <c r="AK151">
        <v>122498</v>
      </c>
      <c r="AL151">
        <v>0</v>
      </c>
      <c r="AM151">
        <v>0</v>
      </c>
      <c r="AN151">
        <v>0</v>
      </c>
      <c r="AO151">
        <v>0</v>
      </c>
      <c r="AP151">
        <v>0</v>
      </c>
      <c r="AQ151">
        <v>0</v>
      </c>
      <c r="AR151">
        <v>0</v>
      </c>
      <c r="AT151">
        <v>0</v>
      </c>
      <c r="AU151">
        <v>0</v>
      </c>
      <c r="AW151">
        <v>0</v>
      </c>
      <c r="AX151">
        <v>0</v>
      </c>
      <c r="AY151">
        <v>0</v>
      </c>
    </row>
    <row r="152" spans="1:51" x14ac:dyDescent="0.3">
      <c r="A152" s="754">
        <v>529</v>
      </c>
      <c r="B152" t="s">
        <v>234</v>
      </c>
      <c r="D152">
        <v>0</v>
      </c>
      <c r="E152">
        <v>0</v>
      </c>
      <c r="F152">
        <v>0</v>
      </c>
      <c r="G152">
        <v>0</v>
      </c>
      <c r="H152">
        <v>0</v>
      </c>
      <c r="I152">
        <v>0</v>
      </c>
      <c r="J152">
        <v>0</v>
      </c>
      <c r="K152">
        <v>42843</v>
      </c>
      <c r="M152">
        <v>0</v>
      </c>
      <c r="N152">
        <v>0</v>
      </c>
      <c r="O152">
        <v>0</v>
      </c>
      <c r="P152">
        <v>0</v>
      </c>
      <c r="Q152">
        <v>0</v>
      </c>
      <c r="R152">
        <v>0</v>
      </c>
      <c r="S152">
        <v>0</v>
      </c>
      <c r="T152">
        <v>0</v>
      </c>
      <c r="U152">
        <v>0</v>
      </c>
      <c r="V152">
        <v>0</v>
      </c>
      <c r="W152">
        <v>0</v>
      </c>
      <c r="X152">
        <v>23633</v>
      </c>
      <c r="Y152">
        <v>0</v>
      </c>
      <c r="Z152">
        <v>0</v>
      </c>
      <c r="AA152">
        <v>0</v>
      </c>
      <c r="AB152">
        <v>0</v>
      </c>
      <c r="AC152">
        <v>0</v>
      </c>
      <c r="AD152">
        <v>0</v>
      </c>
      <c r="AE152">
        <v>0</v>
      </c>
      <c r="AF152">
        <v>0</v>
      </c>
      <c r="AG152">
        <v>0</v>
      </c>
      <c r="AH152">
        <v>0</v>
      </c>
      <c r="AI152">
        <v>0</v>
      </c>
      <c r="AJ152">
        <v>0</v>
      </c>
      <c r="AK152">
        <v>14687</v>
      </c>
      <c r="AL152">
        <v>0</v>
      </c>
      <c r="AM152">
        <v>0</v>
      </c>
      <c r="AN152">
        <v>0</v>
      </c>
      <c r="AO152">
        <v>0</v>
      </c>
      <c r="AP152">
        <v>0</v>
      </c>
      <c r="AQ152">
        <v>0</v>
      </c>
      <c r="AR152">
        <v>0</v>
      </c>
      <c r="AT152">
        <v>0</v>
      </c>
      <c r="AU152">
        <v>0</v>
      </c>
      <c r="AW152">
        <v>0</v>
      </c>
      <c r="AX152">
        <v>0</v>
      </c>
      <c r="AY152">
        <v>0</v>
      </c>
    </row>
    <row r="153" spans="1:51" x14ac:dyDescent="0.3">
      <c r="A153" s="754">
        <v>530</v>
      </c>
      <c r="B153" t="s">
        <v>235</v>
      </c>
      <c r="D153">
        <v>0</v>
      </c>
      <c r="E153">
        <v>0</v>
      </c>
      <c r="F153">
        <v>0</v>
      </c>
      <c r="G153">
        <v>0</v>
      </c>
      <c r="H153">
        <v>0</v>
      </c>
      <c r="I153">
        <v>0</v>
      </c>
      <c r="J153">
        <v>0</v>
      </c>
      <c r="K153">
        <v>14243</v>
      </c>
      <c r="M153">
        <v>0</v>
      </c>
      <c r="N153">
        <v>0</v>
      </c>
      <c r="O153">
        <v>0</v>
      </c>
      <c r="P153">
        <v>0</v>
      </c>
      <c r="Q153">
        <v>0</v>
      </c>
      <c r="R153">
        <v>0</v>
      </c>
      <c r="S153">
        <v>0</v>
      </c>
      <c r="T153">
        <v>0</v>
      </c>
      <c r="U153">
        <v>0</v>
      </c>
      <c r="V153">
        <v>0</v>
      </c>
      <c r="W153">
        <v>0</v>
      </c>
      <c r="X153">
        <v>3299</v>
      </c>
      <c r="Y153">
        <v>0</v>
      </c>
      <c r="Z153">
        <v>0</v>
      </c>
      <c r="AA153">
        <v>0</v>
      </c>
      <c r="AB153">
        <v>0</v>
      </c>
      <c r="AC153">
        <v>0</v>
      </c>
      <c r="AD153">
        <v>0</v>
      </c>
      <c r="AE153">
        <v>0</v>
      </c>
      <c r="AF153">
        <v>0</v>
      </c>
      <c r="AG153">
        <v>0</v>
      </c>
      <c r="AH153">
        <v>0</v>
      </c>
      <c r="AI153">
        <v>0</v>
      </c>
      <c r="AJ153">
        <v>0</v>
      </c>
      <c r="AK153">
        <v>347</v>
      </c>
      <c r="AL153">
        <v>0</v>
      </c>
      <c r="AM153">
        <v>0</v>
      </c>
      <c r="AN153">
        <v>0</v>
      </c>
      <c r="AO153">
        <v>0</v>
      </c>
      <c r="AP153">
        <v>0</v>
      </c>
      <c r="AQ153">
        <v>0</v>
      </c>
      <c r="AR153">
        <v>0</v>
      </c>
      <c r="AT153">
        <v>0</v>
      </c>
      <c r="AU153">
        <v>0</v>
      </c>
      <c r="AW153">
        <v>0</v>
      </c>
      <c r="AX153">
        <v>0</v>
      </c>
      <c r="AY153">
        <v>0</v>
      </c>
    </row>
    <row r="154" spans="1:51" x14ac:dyDescent="0.3">
      <c r="A154" s="754">
        <v>531</v>
      </c>
      <c r="B154" t="s">
        <v>236</v>
      </c>
      <c r="D154">
        <v>0</v>
      </c>
      <c r="E154">
        <v>0</v>
      </c>
      <c r="F154">
        <v>0</v>
      </c>
      <c r="G154">
        <v>0</v>
      </c>
      <c r="H154">
        <v>0</v>
      </c>
      <c r="I154">
        <v>0</v>
      </c>
      <c r="J154">
        <v>0</v>
      </c>
      <c r="K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T154">
        <v>0</v>
      </c>
      <c r="AU154">
        <v>0</v>
      </c>
      <c r="AW154">
        <v>0</v>
      </c>
      <c r="AX154">
        <v>0</v>
      </c>
      <c r="AY154">
        <v>0</v>
      </c>
    </row>
    <row r="155" spans="1:51" x14ac:dyDescent="0.3">
      <c r="A155" s="754">
        <v>532</v>
      </c>
      <c r="B155" t="s">
        <v>852</v>
      </c>
      <c r="D155">
        <v>0</v>
      </c>
      <c r="E155">
        <v>0</v>
      </c>
      <c r="F155">
        <v>0</v>
      </c>
      <c r="G155">
        <v>0</v>
      </c>
      <c r="H155">
        <v>0</v>
      </c>
      <c r="I155">
        <v>0</v>
      </c>
      <c r="J155">
        <v>0</v>
      </c>
      <c r="K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T155">
        <v>0</v>
      </c>
      <c r="AU155">
        <v>0</v>
      </c>
      <c r="AW155">
        <v>0</v>
      </c>
      <c r="AX155">
        <v>0</v>
      </c>
      <c r="AY155">
        <v>0</v>
      </c>
    </row>
    <row r="156" spans="1:51" x14ac:dyDescent="0.3">
      <c r="A156" s="754">
        <v>533</v>
      </c>
      <c r="B156" t="s">
        <v>853</v>
      </c>
      <c r="D156">
        <v>0</v>
      </c>
      <c r="E156">
        <v>0</v>
      </c>
      <c r="F156">
        <v>0</v>
      </c>
      <c r="G156">
        <v>0</v>
      </c>
      <c r="H156">
        <v>0</v>
      </c>
      <c r="I156">
        <v>0</v>
      </c>
      <c r="J156">
        <v>0</v>
      </c>
      <c r="K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T156">
        <v>0</v>
      </c>
      <c r="AU156">
        <v>0</v>
      </c>
      <c r="AW156">
        <v>0</v>
      </c>
      <c r="AX156">
        <v>0</v>
      </c>
      <c r="AY156">
        <v>0</v>
      </c>
    </row>
    <row r="157" spans="1:51" x14ac:dyDescent="0.3">
      <c r="A157" s="754">
        <v>534</v>
      </c>
      <c r="B157" t="s">
        <v>854</v>
      </c>
      <c r="D157">
        <v>0</v>
      </c>
      <c r="E157">
        <v>0</v>
      </c>
      <c r="F157">
        <v>0</v>
      </c>
      <c r="G157">
        <v>0</v>
      </c>
      <c r="H157">
        <v>0</v>
      </c>
      <c r="I157">
        <v>0</v>
      </c>
      <c r="J157">
        <v>0</v>
      </c>
      <c r="K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T157">
        <v>0</v>
      </c>
      <c r="AU157">
        <v>0</v>
      </c>
      <c r="AW157">
        <v>0</v>
      </c>
      <c r="AX157">
        <v>0</v>
      </c>
      <c r="AY157">
        <v>0</v>
      </c>
    </row>
    <row r="158" spans="1:51" x14ac:dyDescent="0.3">
      <c r="A158" s="754">
        <v>535</v>
      </c>
      <c r="B158" t="s">
        <v>220</v>
      </c>
      <c r="D158">
        <v>0</v>
      </c>
      <c r="E158">
        <v>0</v>
      </c>
      <c r="F158">
        <v>0</v>
      </c>
      <c r="G158">
        <v>0</v>
      </c>
      <c r="H158">
        <v>0</v>
      </c>
      <c r="I158">
        <v>0</v>
      </c>
      <c r="J158">
        <v>29062214</v>
      </c>
      <c r="K158">
        <v>0</v>
      </c>
      <c r="M158">
        <v>0</v>
      </c>
      <c r="N158">
        <v>0</v>
      </c>
      <c r="O158">
        <v>0</v>
      </c>
      <c r="P158">
        <v>3449606</v>
      </c>
      <c r="Q158">
        <v>0</v>
      </c>
      <c r="R158">
        <v>0</v>
      </c>
      <c r="S158">
        <v>0</v>
      </c>
      <c r="T158">
        <v>0</v>
      </c>
      <c r="U158">
        <v>5330839</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T158">
        <v>0</v>
      </c>
      <c r="AU158">
        <v>0</v>
      </c>
      <c r="AW158">
        <v>0</v>
      </c>
      <c r="AX158">
        <v>0</v>
      </c>
      <c r="AY158">
        <v>0</v>
      </c>
    </row>
    <row r="159" spans="1:51" x14ac:dyDescent="0.3">
      <c r="A159" s="754">
        <v>536</v>
      </c>
      <c r="B159" t="s">
        <v>166</v>
      </c>
      <c r="D159">
        <v>0</v>
      </c>
      <c r="E159">
        <v>0</v>
      </c>
      <c r="F159">
        <v>0</v>
      </c>
      <c r="G159">
        <v>0</v>
      </c>
      <c r="H159">
        <v>0</v>
      </c>
      <c r="I159">
        <v>0</v>
      </c>
      <c r="J159">
        <v>0</v>
      </c>
      <c r="K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T159">
        <v>0</v>
      </c>
      <c r="AU159">
        <v>0</v>
      </c>
      <c r="AW159">
        <v>0</v>
      </c>
      <c r="AX159">
        <v>0</v>
      </c>
      <c r="AY159">
        <v>0</v>
      </c>
    </row>
    <row r="160" spans="1:51" x14ac:dyDescent="0.3">
      <c r="A160" s="754">
        <v>537</v>
      </c>
      <c r="B160" t="s">
        <v>256</v>
      </c>
      <c r="D160">
        <v>2</v>
      </c>
      <c r="E160">
        <v>1</v>
      </c>
      <c r="F160">
        <v>1</v>
      </c>
      <c r="G160">
        <v>2</v>
      </c>
      <c r="H160">
        <v>1</v>
      </c>
      <c r="I160">
        <v>1</v>
      </c>
      <c r="J160">
        <v>2</v>
      </c>
      <c r="K160">
        <v>1</v>
      </c>
      <c r="M160">
        <v>2</v>
      </c>
      <c r="N160">
        <v>1</v>
      </c>
      <c r="O160">
        <v>2</v>
      </c>
      <c r="P160">
        <v>1</v>
      </c>
      <c r="Q160">
        <v>2</v>
      </c>
      <c r="R160">
        <v>0</v>
      </c>
      <c r="S160">
        <v>2</v>
      </c>
      <c r="T160">
        <v>2</v>
      </c>
      <c r="U160">
        <v>2</v>
      </c>
      <c r="V160">
        <v>2</v>
      </c>
      <c r="W160">
        <v>2</v>
      </c>
      <c r="X160">
        <v>1</v>
      </c>
      <c r="Y160">
        <v>0</v>
      </c>
      <c r="Z160">
        <v>1</v>
      </c>
      <c r="AA160">
        <v>1</v>
      </c>
      <c r="AB160">
        <v>2</v>
      </c>
      <c r="AC160">
        <v>2</v>
      </c>
      <c r="AD160">
        <v>1</v>
      </c>
      <c r="AE160">
        <v>2</v>
      </c>
      <c r="AF160">
        <v>2</v>
      </c>
      <c r="AG160">
        <v>1</v>
      </c>
      <c r="AH160">
        <v>2</v>
      </c>
      <c r="AI160">
        <v>1</v>
      </c>
      <c r="AJ160">
        <v>2</v>
      </c>
      <c r="AK160">
        <v>2</v>
      </c>
      <c r="AL160">
        <v>1</v>
      </c>
      <c r="AM160">
        <v>2</v>
      </c>
      <c r="AN160">
        <v>1</v>
      </c>
      <c r="AO160">
        <v>2</v>
      </c>
      <c r="AP160">
        <v>1</v>
      </c>
      <c r="AQ160">
        <v>2</v>
      </c>
      <c r="AR160">
        <v>2</v>
      </c>
      <c r="AT160">
        <v>2</v>
      </c>
      <c r="AU160">
        <v>2</v>
      </c>
      <c r="AW160">
        <v>2</v>
      </c>
      <c r="AX160">
        <v>1</v>
      </c>
      <c r="AY160">
        <v>2</v>
      </c>
    </row>
    <row r="161" spans="1:51" x14ac:dyDescent="0.3">
      <c r="A161" s="754">
        <v>538</v>
      </c>
      <c r="B161" t="s">
        <v>255</v>
      </c>
      <c r="D161">
        <v>2</v>
      </c>
      <c r="E161">
        <v>1</v>
      </c>
      <c r="F161">
        <v>1</v>
      </c>
      <c r="G161">
        <v>2</v>
      </c>
      <c r="H161">
        <v>2</v>
      </c>
      <c r="I161">
        <v>1</v>
      </c>
      <c r="J161">
        <v>2</v>
      </c>
      <c r="K161">
        <v>2</v>
      </c>
      <c r="M161">
        <v>2</v>
      </c>
      <c r="N161">
        <v>1</v>
      </c>
      <c r="O161">
        <v>2</v>
      </c>
      <c r="P161">
        <v>1</v>
      </c>
      <c r="Q161">
        <v>2</v>
      </c>
      <c r="R161">
        <v>2</v>
      </c>
      <c r="S161">
        <v>1</v>
      </c>
      <c r="T161">
        <v>2</v>
      </c>
      <c r="U161">
        <v>2</v>
      </c>
      <c r="V161">
        <v>2</v>
      </c>
      <c r="W161">
        <v>2</v>
      </c>
      <c r="X161">
        <v>1</v>
      </c>
      <c r="Y161">
        <v>0</v>
      </c>
      <c r="Z161">
        <v>1</v>
      </c>
      <c r="AA161">
        <v>2</v>
      </c>
      <c r="AB161">
        <v>2</v>
      </c>
      <c r="AC161">
        <v>2</v>
      </c>
      <c r="AD161">
        <v>1</v>
      </c>
      <c r="AE161">
        <v>2</v>
      </c>
      <c r="AF161">
        <v>2</v>
      </c>
      <c r="AG161">
        <v>1</v>
      </c>
      <c r="AH161">
        <v>2</v>
      </c>
      <c r="AI161">
        <v>1</v>
      </c>
      <c r="AJ161">
        <v>2</v>
      </c>
      <c r="AK161">
        <v>1</v>
      </c>
      <c r="AL161">
        <v>2</v>
      </c>
      <c r="AM161">
        <v>2</v>
      </c>
      <c r="AN161">
        <v>1</v>
      </c>
      <c r="AO161">
        <v>1</v>
      </c>
      <c r="AP161">
        <v>1</v>
      </c>
      <c r="AQ161">
        <v>1</v>
      </c>
      <c r="AR161">
        <v>2</v>
      </c>
      <c r="AT161">
        <v>2</v>
      </c>
      <c r="AU161">
        <v>2</v>
      </c>
      <c r="AW161">
        <v>2</v>
      </c>
      <c r="AX161">
        <v>0</v>
      </c>
      <c r="AY161">
        <v>2</v>
      </c>
    </row>
    <row r="162" spans="1:51" x14ac:dyDescent="0.3">
      <c r="A162" s="754">
        <v>540</v>
      </c>
      <c r="B162" t="s">
        <v>229</v>
      </c>
      <c r="D162">
        <v>0</v>
      </c>
      <c r="E162">
        <v>0</v>
      </c>
      <c r="F162">
        <v>0</v>
      </c>
      <c r="G162">
        <v>0</v>
      </c>
      <c r="H162">
        <v>0</v>
      </c>
      <c r="I162">
        <v>0</v>
      </c>
      <c r="J162">
        <v>0</v>
      </c>
      <c r="K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T162">
        <v>0</v>
      </c>
      <c r="AU162">
        <v>0</v>
      </c>
      <c r="AW162">
        <v>0</v>
      </c>
      <c r="AX162">
        <v>0</v>
      </c>
      <c r="AY162">
        <v>0</v>
      </c>
    </row>
    <row r="163" spans="1:51" x14ac:dyDescent="0.3">
      <c r="A163" s="754">
        <v>541</v>
      </c>
      <c r="B163" t="s">
        <v>286</v>
      </c>
      <c r="D163">
        <v>-133559</v>
      </c>
      <c r="E163">
        <v>533923</v>
      </c>
      <c r="F163">
        <v>606248</v>
      </c>
      <c r="G163">
        <v>5850360</v>
      </c>
      <c r="H163">
        <v>1808089</v>
      </c>
      <c r="I163">
        <v>1644297</v>
      </c>
      <c r="J163">
        <v>1633320</v>
      </c>
      <c r="K163">
        <v>884285</v>
      </c>
      <c r="M163">
        <v>126604</v>
      </c>
      <c r="N163">
        <v>766789</v>
      </c>
      <c r="O163">
        <v>13083</v>
      </c>
      <c r="P163">
        <v>114941369</v>
      </c>
      <c r="Q163">
        <v>67439</v>
      </c>
      <c r="R163">
        <v>-10409</v>
      </c>
      <c r="S163">
        <v>0</v>
      </c>
      <c r="T163">
        <v>372870</v>
      </c>
      <c r="U163">
        <v>1367885</v>
      </c>
      <c r="V163">
        <v>0</v>
      </c>
      <c r="W163">
        <v>161087</v>
      </c>
      <c r="X163">
        <v>-38652</v>
      </c>
      <c r="Y163">
        <v>307827</v>
      </c>
      <c r="Z163">
        <v>1177290</v>
      </c>
      <c r="AA163">
        <v>45448</v>
      </c>
      <c r="AB163">
        <v>91684</v>
      </c>
      <c r="AC163">
        <v>869797</v>
      </c>
      <c r="AD163">
        <v>253385</v>
      </c>
      <c r="AE163">
        <v>-333649</v>
      </c>
      <c r="AF163">
        <v>5844453</v>
      </c>
      <c r="AG163">
        <v>11762728</v>
      </c>
      <c r="AH163">
        <v>1719168</v>
      </c>
      <c r="AI163">
        <v>7102</v>
      </c>
      <c r="AJ163">
        <v>-9704</v>
      </c>
      <c r="AK163">
        <v>-36852</v>
      </c>
      <c r="AL163">
        <v>-7937348</v>
      </c>
      <c r="AM163">
        <v>335309</v>
      </c>
      <c r="AN163">
        <v>746240</v>
      </c>
      <c r="AO163">
        <v>207145</v>
      </c>
      <c r="AP163">
        <v>308323</v>
      </c>
      <c r="AQ163">
        <v>153981</v>
      </c>
      <c r="AR163">
        <v>58866</v>
      </c>
      <c r="AT163">
        <v>1138420</v>
      </c>
      <c r="AU163">
        <v>0</v>
      </c>
      <c r="AW163">
        <v>0</v>
      </c>
      <c r="AX163">
        <v>347717</v>
      </c>
      <c r="AY163">
        <v>420726</v>
      </c>
    </row>
    <row r="164" spans="1:51" x14ac:dyDescent="0.3">
      <c r="A164" s="754">
        <v>542</v>
      </c>
      <c r="B164" t="s">
        <v>855</v>
      </c>
      <c r="D164">
        <v>0</v>
      </c>
      <c r="E164">
        <v>0</v>
      </c>
      <c r="F164">
        <v>0</v>
      </c>
      <c r="G164">
        <v>0</v>
      </c>
      <c r="H164">
        <v>17006411</v>
      </c>
      <c r="I164">
        <v>5313655</v>
      </c>
      <c r="J164">
        <v>0</v>
      </c>
      <c r="K164">
        <v>0</v>
      </c>
      <c r="M164">
        <v>0</v>
      </c>
      <c r="N164">
        <v>0</v>
      </c>
      <c r="O164">
        <v>0</v>
      </c>
      <c r="P164">
        <v>19339800</v>
      </c>
      <c r="Q164">
        <v>0</v>
      </c>
      <c r="R164">
        <v>0</v>
      </c>
      <c r="S164">
        <v>0</v>
      </c>
      <c r="T164">
        <v>0</v>
      </c>
      <c r="U164">
        <v>0</v>
      </c>
      <c r="V164">
        <v>0</v>
      </c>
      <c r="W164">
        <v>0</v>
      </c>
      <c r="X164">
        <v>296500</v>
      </c>
      <c r="Y164">
        <v>0</v>
      </c>
      <c r="Z164">
        <v>0</v>
      </c>
      <c r="AA164">
        <v>0</v>
      </c>
      <c r="AB164">
        <v>0</v>
      </c>
      <c r="AC164">
        <v>0</v>
      </c>
      <c r="AD164">
        <v>0</v>
      </c>
      <c r="AE164">
        <v>0</v>
      </c>
      <c r="AF164">
        <v>2542416</v>
      </c>
      <c r="AG164">
        <v>0</v>
      </c>
      <c r="AH164">
        <v>0</v>
      </c>
      <c r="AI164">
        <v>0</v>
      </c>
      <c r="AJ164">
        <v>0</v>
      </c>
      <c r="AK164">
        <v>0</v>
      </c>
      <c r="AL164">
        <v>218543</v>
      </c>
      <c r="AM164">
        <v>0</v>
      </c>
      <c r="AN164">
        <v>0</v>
      </c>
      <c r="AO164">
        <v>731800</v>
      </c>
      <c r="AP164">
        <v>0</v>
      </c>
      <c r="AQ164">
        <v>0</v>
      </c>
      <c r="AR164">
        <v>0</v>
      </c>
      <c r="AT164">
        <v>0</v>
      </c>
      <c r="AU164">
        <v>0</v>
      </c>
      <c r="AW164">
        <v>0</v>
      </c>
      <c r="AX164">
        <v>0</v>
      </c>
      <c r="AY164">
        <v>0</v>
      </c>
    </row>
    <row r="165" spans="1:51" x14ac:dyDescent="0.3">
      <c r="A165" s="754">
        <v>544</v>
      </c>
      <c r="B165" t="s">
        <v>52</v>
      </c>
      <c r="D165">
        <v>0</v>
      </c>
      <c r="E165">
        <v>0</v>
      </c>
      <c r="F165">
        <v>0</v>
      </c>
      <c r="G165">
        <v>0</v>
      </c>
      <c r="H165">
        <v>0</v>
      </c>
      <c r="I165">
        <v>0</v>
      </c>
      <c r="J165">
        <v>0</v>
      </c>
      <c r="K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T165">
        <v>0</v>
      </c>
      <c r="AU165">
        <v>0</v>
      </c>
      <c r="AW165">
        <v>0</v>
      </c>
      <c r="AX165">
        <v>0</v>
      </c>
      <c r="AY165">
        <v>0</v>
      </c>
    </row>
    <row r="166" spans="1:51" x14ac:dyDescent="0.3">
      <c r="A166" s="754">
        <v>545</v>
      </c>
      <c r="B166" t="s">
        <v>53</v>
      </c>
      <c r="D166">
        <v>0</v>
      </c>
      <c r="E166">
        <v>0</v>
      </c>
      <c r="F166">
        <v>0</v>
      </c>
      <c r="G166">
        <v>0</v>
      </c>
      <c r="H166">
        <v>0</v>
      </c>
      <c r="I166">
        <v>0</v>
      </c>
      <c r="J166">
        <v>0</v>
      </c>
      <c r="K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1.6999999999999999E-3</v>
      </c>
      <c r="AL166">
        <v>0</v>
      </c>
      <c r="AM166">
        <v>0</v>
      </c>
      <c r="AN166">
        <v>0</v>
      </c>
      <c r="AO166">
        <v>0</v>
      </c>
      <c r="AP166">
        <v>0</v>
      </c>
      <c r="AQ166">
        <v>0</v>
      </c>
      <c r="AR166">
        <v>0</v>
      </c>
      <c r="AT166">
        <v>0</v>
      </c>
      <c r="AU166">
        <v>0</v>
      </c>
      <c r="AW166">
        <v>0</v>
      </c>
      <c r="AX166">
        <v>0</v>
      </c>
      <c r="AY166">
        <v>0</v>
      </c>
    </row>
    <row r="167" spans="1:51" x14ac:dyDescent="0.3">
      <c r="A167" s="754">
        <v>546</v>
      </c>
      <c r="B167" t="s">
        <v>856</v>
      </c>
      <c r="D167">
        <v>0</v>
      </c>
      <c r="E167">
        <v>0</v>
      </c>
      <c r="F167">
        <v>0</v>
      </c>
      <c r="G167">
        <v>0</v>
      </c>
      <c r="H167">
        <v>0</v>
      </c>
      <c r="I167">
        <v>0</v>
      </c>
      <c r="J167">
        <v>0</v>
      </c>
      <c r="K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T167">
        <v>0</v>
      </c>
      <c r="AU167">
        <v>0</v>
      </c>
      <c r="AW167">
        <v>0</v>
      </c>
      <c r="AX167">
        <v>0</v>
      </c>
      <c r="AY167">
        <v>0</v>
      </c>
    </row>
    <row r="168" spans="1:51" x14ac:dyDescent="0.3">
      <c r="A168" s="754">
        <v>547</v>
      </c>
      <c r="B168" t="s">
        <v>857</v>
      </c>
      <c r="D168">
        <v>2</v>
      </c>
      <c r="E168">
        <v>2</v>
      </c>
      <c r="F168">
        <v>2</v>
      </c>
      <c r="G168">
        <v>2</v>
      </c>
      <c r="H168">
        <v>3</v>
      </c>
      <c r="I168">
        <v>3</v>
      </c>
      <c r="J168">
        <v>3</v>
      </c>
      <c r="K168">
        <v>3</v>
      </c>
      <c r="M168">
        <v>3</v>
      </c>
      <c r="N168">
        <v>3</v>
      </c>
      <c r="O168">
        <v>0</v>
      </c>
      <c r="P168">
        <v>3</v>
      </c>
      <c r="Q168">
        <v>2</v>
      </c>
      <c r="R168">
        <v>2</v>
      </c>
      <c r="S168">
        <v>2</v>
      </c>
      <c r="T168">
        <v>2</v>
      </c>
      <c r="U168">
        <v>3</v>
      </c>
      <c r="V168">
        <v>2</v>
      </c>
      <c r="W168">
        <v>2</v>
      </c>
      <c r="X168">
        <v>2</v>
      </c>
      <c r="Y168">
        <v>2</v>
      </c>
      <c r="Z168">
        <v>3</v>
      </c>
      <c r="AA168">
        <v>2</v>
      </c>
      <c r="AB168">
        <v>2</v>
      </c>
      <c r="AC168">
        <v>2</v>
      </c>
      <c r="AD168">
        <v>2</v>
      </c>
      <c r="AE168">
        <v>2</v>
      </c>
      <c r="AF168">
        <v>3</v>
      </c>
      <c r="AG168">
        <v>3</v>
      </c>
      <c r="AH168">
        <v>2</v>
      </c>
      <c r="AI168">
        <v>1</v>
      </c>
      <c r="AJ168">
        <v>2</v>
      </c>
      <c r="AK168">
        <v>2</v>
      </c>
      <c r="AL168">
        <v>0</v>
      </c>
      <c r="AM168">
        <v>2</v>
      </c>
      <c r="AN168">
        <v>2</v>
      </c>
      <c r="AO168">
        <v>0</v>
      </c>
      <c r="AP168">
        <v>2</v>
      </c>
      <c r="AQ168">
        <v>2</v>
      </c>
      <c r="AR168">
        <v>2</v>
      </c>
      <c r="AT168">
        <v>3</v>
      </c>
      <c r="AU168">
        <v>2</v>
      </c>
      <c r="AW168">
        <v>2</v>
      </c>
      <c r="AX168">
        <v>2</v>
      </c>
      <c r="AY168">
        <v>2</v>
      </c>
    </row>
    <row r="169" spans="1:51" x14ac:dyDescent="0.3">
      <c r="A169" s="754">
        <v>554</v>
      </c>
      <c r="B169" t="s">
        <v>297</v>
      </c>
      <c r="J169">
        <v>478245</v>
      </c>
      <c r="X169">
        <v>2695231</v>
      </c>
      <c r="AG169">
        <v>697416</v>
      </c>
      <c r="AY169">
        <v>1150056</v>
      </c>
    </row>
    <row r="170" spans="1:51" x14ac:dyDescent="0.3">
      <c r="A170" s="754">
        <v>555</v>
      </c>
      <c r="B170" t="s">
        <v>298</v>
      </c>
      <c r="J170">
        <v>0</v>
      </c>
      <c r="X170">
        <v>2297963</v>
      </c>
      <c r="AG170">
        <v>0</v>
      </c>
      <c r="AY170">
        <v>1087540</v>
      </c>
    </row>
    <row r="171" spans="1:51" x14ac:dyDescent="0.3">
      <c r="A171" s="754">
        <v>556</v>
      </c>
      <c r="B171" t="s">
        <v>299</v>
      </c>
      <c r="J171">
        <v>2636137</v>
      </c>
      <c r="X171">
        <v>0</v>
      </c>
      <c r="AG171">
        <v>1940442</v>
      </c>
      <c r="AY171">
        <v>978635</v>
      </c>
    </row>
    <row r="172" spans="1:51" x14ac:dyDescent="0.3">
      <c r="A172" s="754">
        <v>557</v>
      </c>
      <c r="B172" t="s">
        <v>300</v>
      </c>
      <c r="J172">
        <v>2636137</v>
      </c>
      <c r="X172">
        <v>0</v>
      </c>
      <c r="AG172">
        <v>1940442</v>
      </c>
      <c r="AY172">
        <v>957796</v>
      </c>
    </row>
    <row r="173" spans="1:51" x14ac:dyDescent="0.3">
      <c r="A173" s="754">
        <v>558</v>
      </c>
      <c r="B173" t="s">
        <v>858</v>
      </c>
      <c r="D173">
        <v>0</v>
      </c>
      <c r="E173">
        <v>0</v>
      </c>
      <c r="F173">
        <v>0</v>
      </c>
      <c r="G173">
        <v>0</v>
      </c>
      <c r="H173">
        <v>0</v>
      </c>
      <c r="I173">
        <v>0</v>
      </c>
      <c r="J173">
        <v>0</v>
      </c>
      <c r="K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T173">
        <v>0</v>
      </c>
      <c r="AU173">
        <v>0</v>
      </c>
      <c r="AW173">
        <v>0</v>
      </c>
      <c r="AX173">
        <v>0</v>
      </c>
      <c r="AY173">
        <v>0</v>
      </c>
    </row>
    <row r="174" spans="1:51" x14ac:dyDescent="0.3">
      <c r="A174" s="754">
        <v>559</v>
      </c>
      <c r="B174" t="s">
        <v>859</v>
      </c>
      <c r="D174">
        <v>0</v>
      </c>
      <c r="E174">
        <v>0</v>
      </c>
      <c r="F174">
        <v>0</v>
      </c>
      <c r="G174">
        <v>0</v>
      </c>
      <c r="H174">
        <v>0</v>
      </c>
      <c r="I174">
        <v>0</v>
      </c>
      <c r="J174">
        <v>0</v>
      </c>
      <c r="K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T174">
        <v>0</v>
      </c>
      <c r="AU174">
        <v>0</v>
      </c>
      <c r="AW174">
        <v>0</v>
      </c>
      <c r="AX174">
        <v>0</v>
      </c>
      <c r="AY174">
        <v>0</v>
      </c>
    </row>
    <row r="175" spans="1:51" x14ac:dyDescent="0.3">
      <c r="A175" s="754">
        <v>560</v>
      </c>
      <c r="B175" t="s">
        <v>860</v>
      </c>
      <c r="D175">
        <v>0</v>
      </c>
      <c r="E175">
        <v>0</v>
      </c>
      <c r="F175">
        <v>0</v>
      </c>
      <c r="G175">
        <v>0</v>
      </c>
      <c r="H175">
        <v>0</v>
      </c>
      <c r="I175">
        <v>0</v>
      </c>
      <c r="J175">
        <v>0</v>
      </c>
      <c r="K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T175">
        <v>0</v>
      </c>
      <c r="AU175">
        <v>0</v>
      </c>
      <c r="AW175">
        <v>0</v>
      </c>
      <c r="AX175">
        <v>0</v>
      </c>
      <c r="AY175">
        <v>0</v>
      </c>
    </row>
    <row r="176" spans="1:51" x14ac:dyDescent="0.3">
      <c r="A176" s="754">
        <v>561</v>
      </c>
      <c r="B176" t="s">
        <v>861</v>
      </c>
      <c r="D176">
        <v>0</v>
      </c>
      <c r="E176">
        <v>0</v>
      </c>
      <c r="F176">
        <v>0</v>
      </c>
      <c r="G176">
        <v>0</v>
      </c>
      <c r="H176">
        <v>0</v>
      </c>
      <c r="I176">
        <v>0</v>
      </c>
      <c r="J176">
        <v>0</v>
      </c>
      <c r="K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T176">
        <v>0</v>
      </c>
      <c r="AU176">
        <v>0</v>
      </c>
      <c r="AW176">
        <v>0</v>
      </c>
      <c r="AX176">
        <v>0</v>
      </c>
      <c r="AY176">
        <v>0</v>
      </c>
    </row>
    <row r="177" spans="1:51" x14ac:dyDescent="0.3">
      <c r="A177" s="754">
        <v>562</v>
      </c>
      <c r="B177" t="s">
        <v>862</v>
      </c>
      <c r="D177">
        <v>0</v>
      </c>
      <c r="E177">
        <v>0</v>
      </c>
      <c r="F177">
        <v>0</v>
      </c>
      <c r="G177">
        <v>0</v>
      </c>
      <c r="H177">
        <v>0</v>
      </c>
      <c r="I177">
        <v>0</v>
      </c>
      <c r="J177">
        <v>0</v>
      </c>
      <c r="K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T177">
        <v>0</v>
      </c>
      <c r="AU177">
        <v>0</v>
      </c>
      <c r="AW177">
        <v>0</v>
      </c>
      <c r="AX177">
        <v>0</v>
      </c>
      <c r="AY177">
        <v>0</v>
      </c>
    </row>
    <row r="178" spans="1:51" x14ac:dyDescent="0.3">
      <c r="A178" s="754">
        <v>563</v>
      </c>
      <c r="B178" t="s">
        <v>863</v>
      </c>
      <c r="D178">
        <v>0</v>
      </c>
      <c r="E178">
        <v>0</v>
      </c>
      <c r="F178">
        <v>0</v>
      </c>
      <c r="G178">
        <v>0</v>
      </c>
      <c r="H178">
        <v>0</v>
      </c>
      <c r="I178">
        <v>0</v>
      </c>
      <c r="J178">
        <v>0</v>
      </c>
      <c r="K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T178">
        <v>0</v>
      </c>
      <c r="AU178">
        <v>0</v>
      </c>
      <c r="AW178">
        <v>0</v>
      </c>
      <c r="AX178">
        <v>0</v>
      </c>
      <c r="AY178">
        <v>0</v>
      </c>
    </row>
    <row r="179" spans="1:51" x14ac:dyDescent="0.3">
      <c r="A179" s="754">
        <v>564</v>
      </c>
      <c r="B179" t="s">
        <v>864</v>
      </c>
      <c r="D179">
        <v>0</v>
      </c>
      <c r="E179">
        <v>0</v>
      </c>
      <c r="F179">
        <v>0</v>
      </c>
      <c r="G179">
        <v>0</v>
      </c>
      <c r="H179">
        <v>0</v>
      </c>
      <c r="I179">
        <v>0</v>
      </c>
      <c r="J179">
        <v>0</v>
      </c>
      <c r="K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T179">
        <v>0</v>
      </c>
      <c r="AU179">
        <v>0</v>
      </c>
      <c r="AW179">
        <v>0</v>
      </c>
      <c r="AX179">
        <v>0</v>
      </c>
      <c r="AY179">
        <v>0</v>
      </c>
    </row>
    <row r="180" spans="1:51" x14ac:dyDescent="0.3">
      <c r="A180" s="754">
        <v>565</v>
      </c>
      <c r="B180" t="s">
        <v>865</v>
      </c>
      <c r="D180">
        <v>0</v>
      </c>
      <c r="E180">
        <v>0</v>
      </c>
      <c r="F180">
        <v>0</v>
      </c>
      <c r="G180">
        <v>0</v>
      </c>
      <c r="H180">
        <v>0</v>
      </c>
      <c r="I180">
        <v>0</v>
      </c>
      <c r="J180">
        <v>0</v>
      </c>
      <c r="K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T180">
        <v>0</v>
      </c>
      <c r="AU180">
        <v>0</v>
      </c>
      <c r="AW180">
        <v>0</v>
      </c>
      <c r="AX180">
        <v>0</v>
      </c>
      <c r="AY180">
        <v>0</v>
      </c>
    </row>
    <row r="181" spans="1:51" x14ac:dyDescent="0.3">
      <c r="A181" s="754">
        <v>566</v>
      </c>
      <c r="B181" t="s">
        <v>866</v>
      </c>
      <c r="D181">
        <v>0</v>
      </c>
      <c r="E181">
        <v>0</v>
      </c>
      <c r="F181">
        <v>0</v>
      </c>
      <c r="G181">
        <v>0</v>
      </c>
      <c r="H181">
        <v>0</v>
      </c>
      <c r="I181">
        <v>0</v>
      </c>
      <c r="J181">
        <v>0</v>
      </c>
      <c r="K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T181">
        <v>0</v>
      </c>
      <c r="AU181">
        <v>0</v>
      </c>
      <c r="AW181">
        <v>0</v>
      </c>
      <c r="AX181">
        <v>0</v>
      </c>
      <c r="AY181">
        <v>0</v>
      </c>
    </row>
    <row r="182" spans="1:51" x14ac:dyDescent="0.3">
      <c r="A182" s="754">
        <v>567</v>
      </c>
      <c r="B182" t="s">
        <v>867</v>
      </c>
      <c r="D182">
        <v>0</v>
      </c>
      <c r="E182">
        <v>0</v>
      </c>
      <c r="F182">
        <v>0</v>
      </c>
      <c r="G182">
        <v>0</v>
      </c>
      <c r="H182">
        <v>0</v>
      </c>
      <c r="I182">
        <v>0</v>
      </c>
      <c r="J182">
        <v>0</v>
      </c>
      <c r="K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T182">
        <v>0</v>
      </c>
      <c r="AU182">
        <v>0</v>
      </c>
      <c r="AW182">
        <v>0</v>
      </c>
      <c r="AX182">
        <v>0</v>
      </c>
      <c r="AY182">
        <v>0</v>
      </c>
    </row>
    <row r="183" spans="1:51" x14ac:dyDescent="0.3">
      <c r="A183" s="754">
        <v>568</v>
      </c>
      <c r="B183" t="s">
        <v>868</v>
      </c>
      <c r="D183">
        <v>0</v>
      </c>
      <c r="E183">
        <v>0</v>
      </c>
      <c r="F183">
        <v>0</v>
      </c>
      <c r="G183">
        <v>0</v>
      </c>
      <c r="H183">
        <v>0</v>
      </c>
      <c r="I183">
        <v>0</v>
      </c>
      <c r="J183">
        <v>0</v>
      </c>
      <c r="K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T183">
        <v>0</v>
      </c>
      <c r="AU183">
        <v>0</v>
      </c>
      <c r="AW183">
        <v>0</v>
      </c>
      <c r="AX183">
        <v>0</v>
      </c>
      <c r="AY183">
        <v>0</v>
      </c>
    </row>
    <row r="184" spans="1:51" x14ac:dyDescent="0.3">
      <c r="A184" s="754">
        <v>569</v>
      </c>
      <c r="B184" t="s">
        <v>869</v>
      </c>
      <c r="D184">
        <v>0</v>
      </c>
      <c r="E184">
        <v>0</v>
      </c>
      <c r="F184">
        <v>0</v>
      </c>
      <c r="G184">
        <v>0</v>
      </c>
      <c r="H184">
        <v>0</v>
      </c>
      <c r="I184">
        <v>0</v>
      </c>
      <c r="J184">
        <v>0</v>
      </c>
      <c r="K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T184">
        <v>0</v>
      </c>
      <c r="AU184">
        <v>0</v>
      </c>
      <c r="AW184">
        <v>0</v>
      </c>
      <c r="AX184">
        <v>0</v>
      </c>
      <c r="AY184">
        <v>0</v>
      </c>
    </row>
    <row r="185" spans="1:51" x14ac:dyDescent="0.3">
      <c r="A185" s="754">
        <v>571</v>
      </c>
      <c r="B185" t="s">
        <v>599</v>
      </c>
      <c r="D185">
        <v>0</v>
      </c>
      <c r="E185">
        <v>0</v>
      </c>
      <c r="F185">
        <v>0</v>
      </c>
      <c r="G185">
        <v>0</v>
      </c>
      <c r="H185">
        <v>0</v>
      </c>
      <c r="I185">
        <v>0</v>
      </c>
      <c r="J185">
        <v>0</v>
      </c>
      <c r="K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T185">
        <v>0</v>
      </c>
      <c r="AU185">
        <v>0</v>
      </c>
      <c r="AW185">
        <v>0</v>
      </c>
      <c r="AX185">
        <v>0</v>
      </c>
      <c r="AY185">
        <v>0</v>
      </c>
    </row>
    <row r="186" spans="1:51" x14ac:dyDescent="0.3">
      <c r="A186" s="754">
        <v>572</v>
      </c>
      <c r="B186" t="s">
        <v>600</v>
      </c>
      <c r="D186">
        <v>0</v>
      </c>
      <c r="E186">
        <v>0</v>
      </c>
      <c r="F186">
        <v>0</v>
      </c>
      <c r="G186">
        <v>0</v>
      </c>
      <c r="H186">
        <v>0</v>
      </c>
      <c r="I186">
        <v>0</v>
      </c>
      <c r="J186">
        <v>0</v>
      </c>
      <c r="K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T186">
        <v>0</v>
      </c>
      <c r="AU186">
        <v>0</v>
      </c>
      <c r="AW186">
        <v>0</v>
      </c>
      <c r="AX186">
        <v>0</v>
      </c>
      <c r="AY186">
        <v>0</v>
      </c>
    </row>
    <row r="187" spans="1:51" x14ac:dyDescent="0.3">
      <c r="A187" s="754">
        <v>573</v>
      </c>
      <c r="B187" t="s">
        <v>716</v>
      </c>
      <c r="D187">
        <v>0</v>
      </c>
      <c r="E187">
        <v>0</v>
      </c>
      <c r="F187">
        <v>0</v>
      </c>
      <c r="G187">
        <v>0</v>
      </c>
      <c r="H187">
        <v>0</v>
      </c>
      <c r="I187">
        <v>0</v>
      </c>
      <c r="J187">
        <v>0</v>
      </c>
      <c r="K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T187">
        <v>0</v>
      </c>
      <c r="AU187">
        <v>0</v>
      </c>
      <c r="AW187">
        <v>0</v>
      </c>
      <c r="AX187">
        <v>0</v>
      </c>
      <c r="AY187">
        <v>0</v>
      </c>
    </row>
    <row r="188" spans="1:51" x14ac:dyDescent="0.3">
      <c r="A188" s="754">
        <v>575</v>
      </c>
      <c r="B188" t="s">
        <v>278</v>
      </c>
      <c r="D188">
        <v>0</v>
      </c>
      <c r="E188">
        <v>0</v>
      </c>
      <c r="F188">
        <v>0</v>
      </c>
      <c r="G188">
        <v>0</v>
      </c>
      <c r="H188">
        <v>0</v>
      </c>
      <c r="I188">
        <v>0</v>
      </c>
      <c r="J188">
        <v>0</v>
      </c>
      <c r="K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T188">
        <v>0</v>
      </c>
      <c r="AU188">
        <v>0</v>
      </c>
      <c r="AW188">
        <v>0</v>
      </c>
      <c r="AX188">
        <v>0</v>
      </c>
      <c r="AY188">
        <v>0</v>
      </c>
    </row>
    <row r="189" spans="1:51" x14ac:dyDescent="0.3">
      <c r="A189" s="754">
        <v>576</v>
      </c>
      <c r="B189" t="s">
        <v>279</v>
      </c>
      <c r="D189">
        <v>0</v>
      </c>
      <c r="E189">
        <v>0</v>
      </c>
      <c r="F189">
        <v>0</v>
      </c>
      <c r="G189">
        <v>0</v>
      </c>
      <c r="H189">
        <v>0</v>
      </c>
      <c r="I189">
        <v>0</v>
      </c>
      <c r="J189">
        <v>0</v>
      </c>
      <c r="K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T189">
        <v>0</v>
      </c>
      <c r="AU189">
        <v>0</v>
      </c>
      <c r="AW189">
        <v>0</v>
      </c>
      <c r="AX189">
        <v>0</v>
      </c>
      <c r="AY189">
        <v>0</v>
      </c>
    </row>
    <row r="190" spans="1:51" x14ac:dyDescent="0.3">
      <c r="A190" s="754">
        <v>577</v>
      </c>
      <c r="B190" t="s">
        <v>870</v>
      </c>
      <c r="D190">
        <v>2</v>
      </c>
      <c r="E190">
        <v>2</v>
      </c>
      <c r="F190">
        <v>2</v>
      </c>
      <c r="G190">
        <v>2</v>
      </c>
      <c r="I190">
        <v>2</v>
      </c>
      <c r="M190">
        <v>2</v>
      </c>
      <c r="N190">
        <v>2</v>
      </c>
      <c r="P190">
        <v>2</v>
      </c>
      <c r="Q190">
        <v>2</v>
      </c>
      <c r="S190">
        <v>2</v>
      </c>
      <c r="U190">
        <v>2</v>
      </c>
      <c r="V190">
        <v>1</v>
      </c>
      <c r="X190">
        <v>2</v>
      </c>
      <c r="Y190">
        <v>1</v>
      </c>
      <c r="Z190">
        <v>2</v>
      </c>
      <c r="AA190">
        <v>2</v>
      </c>
      <c r="AB190">
        <v>2</v>
      </c>
      <c r="AD190">
        <v>2</v>
      </c>
      <c r="AG190">
        <v>2</v>
      </c>
      <c r="AH190">
        <v>2</v>
      </c>
      <c r="AK190">
        <v>2</v>
      </c>
      <c r="AL190">
        <v>2</v>
      </c>
      <c r="AN190">
        <v>2</v>
      </c>
      <c r="AO190">
        <v>2</v>
      </c>
      <c r="AP190">
        <v>2</v>
      </c>
      <c r="AR190">
        <v>2</v>
      </c>
      <c r="AT190">
        <v>2</v>
      </c>
      <c r="AY190">
        <v>2</v>
      </c>
    </row>
    <row r="191" spans="1:51" x14ac:dyDescent="0.3">
      <c r="A191" s="754">
        <v>578</v>
      </c>
      <c r="B191" t="s">
        <v>871</v>
      </c>
      <c r="D191">
        <v>0</v>
      </c>
      <c r="E191">
        <v>0</v>
      </c>
      <c r="F191">
        <v>0</v>
      </c>
      <c r="G191">
        <v>0</v>
      </c>
      <c r="H191">
        <v>0</v>
      </c>
      <c r="I191">
        <v>0</v>
      </c>
      <c r="J191">
        <v>0</v>
      </c>
      <c r="K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T191">
        <v>0</v>
      </c>
      <c r="AU191">
        <v>0</v>
      </c>
      <c r="AW191">
        <v>0</v>
      </c>
      <c r="AX191">
        <v>0</v>
      </c>
      <c r="AY191">
        <v>0</v>
      </c>
    </row>
    <row r="192" spans="1:51" x14ac:dyDescent="0.3">
      <c r="A192" s="754">
        <v>579</v>
      </c>
      <c r="B192" t="s">
        <v>872</v>
      </c>
      <c r="D192">
        <v>0</v>
      </c>
      <c r="E192">
        <v>0</v>
      </c>
      <c r="F192">
        <v>0</v>
      </c>
      <c r="G192">
        <v>0</v>
      </c>
      <c r="H192">
        <v>0</v>
      </c>
      <c r="I192">
        <v>0</v>
      </c>
      <c r="J192">
        <v>0</v>
      </c>
      <c r="K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T192">
        <v>0</v>
      </c>
      <c r="AU192">
        <v>0</v>
      </c>
      <c r="AW192">
        <v>0</v>
      </c>
      <c r="AX192">
        <v>0</v>
      </c>
      <c r="AY192">
        <v>0</v>
      </c>
    </row>
    <row r="193" spans="1:51" x14ac:dyDescent="0.3">
      <c r="A193" s="754">
        <v>580</v>
      </c>
      <c r="B193" t="s">
        <v>873</v>
      </c>
      <c r="D193">
        <v>0</v>
      </c>
      <c r="E193">
        <v>0</v>
      </c>
      <c r="F193">
        <v>0</v>
      </c>
      <c r="G193">
        <v>0</v>
      </c>
      <c r="H193">
        <v>0</v>
      </c>
      <c r="I193">
        <v>0</v>
      </c>
      <c r="J193">
        <v>0</v>
      </c>
      <c r="K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T193">
        <v>0</v>
      </c>
      <c r="AU193">
        <v>0</v>
      </c>
      <c r="AW193">
        <v>0</v>
      </c>
      <c r="AX193">
        <v>0</v>
      </c>
      <c r="AY193">
        <v>0</v>
      </c>
    </row>
    <row r="194" spans="1:51" x14ac:dyDescent="0.3">
      <c r="A194" s="754">
        <v>581</v>
      </c>
      <c r="B194" t="s">
        <v>874</v>
      </c>
      <c r="D194">
        <v>0</v>
      </c>
      <c r="E194">
        <v>0</v>
      </c>
      <c r="F194">
        <v>0</v>
      </c>
      <c r="G194">
        <v>0</v>
      </c>
      <c r="H194">
        <v>0</v>
      </c>
      <c r="I194">
        <v>0</v>
      </c>
      <c r="J194">
        <v>0</v>
      </c>
      <c r="K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T194">
        <v>0</v>
      </c>
      <c r="AU194">
        <v>0</v>
      </c>
      <c r="AW194">
        <v>0</v>
      </c>
      <c r="AX194">
        <v>0</v>
      </c>
      <c r="AY194">
        <v>0</v>
      </c>
    </row>
    <row r="195" spans="1:51" x14ac:dyDescent="0.3">
      <c r="A195" s="754">
        <v>585</v>
      </c>
      <c r="B195" t="s">
        <v>875</v>
      </c>
      <c r="D195">
        <v>0</v>
      </c>
      <c r="E195">
        <v>0</v>
      </c>
      <c r="F195">
        <v>0</v>
      </c>
      <c r="G195">
        <v>0</v>
      </c>
      <c r="H195">
        <v>0</v>
      </c>
      <c r="I195">
        <v>0</v>
      </c>
      <c r="J195">
        <v>0</v>
      </c>
      <c r="K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T195">
        <v>0</v>
      </c>
      <c r="AU195">
        <v>0</v>
      </c>
      <c r="AW195">
        <v>0</v>
      </c>
      <c r="AX195">
        <v>0</v>
      </c>
      <c r="AY195">
        <v>0</v>
      </c>
    </row>
    <row r="196" spans="1:51" x14ac:dyDescent="0.3">
      <c r="A196" s="754">
        <v>586</v>
      </c>
      <c r="B196" t="s">
        <v>876</v>
      </c>
      <c r="D196">
        <v>0</v>
      </c>
      <c r="E196">
        <v>0</v>
      </c>
      <c r="F196">
        <v>0</v>
      </c>
      <c r="G196">
        <v>0</v>
      </c>
      <c r="H196">
        <v>0</v>
      </c>
      <c r="I196">
        <v>0</v>
      </c>
      <c r="J196">
        <v>0</v>
      </c>
      <c r="K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T196">
        <v>0</v>
      </c>
      <c r="AU196">
        <v>0</v>
      </c>
      <c r="AW196">
        <v>0</v>
      </c>
      <c r="AX196">
        <v>0</v>
      </c>
      <c r="AY196">
        <v>0</v>
      </c>
    </row>
    <row r="197" spans="1:51" x14ac:dyDescent="0.3">
      <c r="A197" s="754">
        <v>587</v>
      </c>
      <c r="B197" t="s">
        <v>877</v>
      </c>
      <c r="D197">
        <v>0</v>
      </c>
      <c r="E197">
        <v>0</v>
      </c>
      <c r="F197">
        <v>0</v>
      </c>
      <c r="G197">
        <v>0</v>
      </c>
      <c r="H197">
        <v>0</v>
      </c>
      <c r="I197">
        <v>0</v>
      </c>
      <c r="J197">
        <v>0</v>
      </c>
      <c r="K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T197">
        <v>0</v>
      </c>
      <c r="AU197">
        <v>0</v>
      </c>
      <c r="AW197">
        <v>0</v>
      </c>
      <c r="AX197">
        <v>0</v>
      </c>
      <c r="AY197">
        <v>0</v>
      </c>
    </row>
    <row r="198" spans="1:51" x14ac:dyDescent="0.3">
      <c r="A198" s="754">
        <v>588</v>
      </c>
      <c r="B198" t="s">
        <v>878</v>
      </c>
      <c r="D198">
        <v>0</v>
      </c>
      <c r="E198">
        <v>0</v>
      </c>
      <c r="F198">
        <v>0</v>
      </c>
      <c r="G198">
        <v>0</v>
      </c>
      <c r="H198">
        <v>0</v>
      </c>
      <c r="I198">
        <v>0</v>
      </c>
      <c r="J198">
        <v>0</v>
      </c>
      <c r="K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T198">
        <v>0</v>
      </c>
      <c r="AU198">
        <v>0</v>
      </c>
      <c r="AW198">
        <v>0</v>
      </c>
      <c r="AX198">
        <v>0</v>
      </c>
      <c r="AY198">
        <v>0</v>
      </c>
    </row>
    <row r="199" spans="1:51" x14ac:dyDescent="0.3">
      <c r="A199" s="754">
        <v>589</v>
      </c>
      <c r="B199" t="s">
        <v>879</v>
      </c>
      <c r="D199">
        <v>0</v>
      </c>
      <c r="E199">
        <v>0</v>
      </c>
      <c r="F199">
        <v>0</v>
      </c>
      <c r="G199">
        <v>0</v>
      </c>
      <c r="H199">
        <v>0</v>
      </c>
      <c r="I199">
        <v>0</v>
      </c>
      <c r="J199">
        <v>0</v>
      </c>
      <c r="K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T199">
        <v>0</v>
      </c>
      <c r="AU199">
        <v>0</v>
      </c>
      <c r="AW199">
        <v>0</v>
      </c>
      <c r="AX199">
        <v>0</v>
      </c>
      <c r="AY199">
        <v>0</v>
      </c>
    </row>
    <row r="200" spans="1:51" x14ac:dyDescent="0.3">
      <c r="A200" s="754">
        <v>591</v>
      </c>
      <c r="B200" t="s">
        <v>307</v>
      </c>
      <c r="D200">
        <v>2368691</v>
      </c>
      <c r="E200">
        <v>2518367</v>
      </c>
      <c r="F200">
        <v>5577437</v>
      </c>
      <c r="G200">
        <v>0</v>
      </c>
      <c r="H200">
        <v>32034779</v>
      </c>
      <c r="I200">
        <v>0</v>
      </c>
      <c r="J200">
        <v>98210509</v>
      </c>
      <c r="K200">
        <v>8949434</v>
      </c>
      <c r="M200">
        <v>3271986</v>
      </c>
      <c r="N200">
        <v>3197293</v>
      </c>
      <c r="O200">
        <v>0</v>
      </c>
      <c r="P200">
        <v>329952909</v>
      </c>
      <c r="Q200">
        <v>866693</v>
      </c>
      <c r="R200">
        <v>392743</v>
      </c>
      <c r="S200">
        <v>2333044</v>
      </c>
      <c r="T200">
        <v>0</v>
      </c>
      <c r="U200">
        <v>248110444</v>
      </c>
      <c r="V200">
        <v>2981128</v>
      </c>
      <c r="W200">
        <v>397878</v>
      </c>
      <c r="X200">
        <v>2739009</v>
      </c>
      <c r="Y200">
        <v>5023327</v>
      </c>
      <c r="Z200">
        <v>0</v>
      </c>
      <c r="AA200">
        <v>2483086</v>
      </c>
      <c r="AB200">
        <v>464647</v>
      </c>
      <c r="AC200">
        <v>9799717</v>
      </c>
      <c r="AD200">
        <v>1069289</v>
      </c>
      <c r="AE200">
        <v>0</v>
      </c>
      <c r="AF200">
        <v>24983106</v>
      </c>
      <c r="AG200">
        <v>36397777</v>
      </c>
      <c r="AH200">
        <v>7841634</v>
      </c>
      <c r="AI200">
        <v>7972393</v>
      </c>
      <c r="AJ200">
        <v>804940</v>
      </c>
      <c r="AK200">
        <v>348230</v>
      </c>
      <c r="AL200">
        <v>10373141</v>
      </c>
      <c r="AM200">
        <v>2141079</v>
      </c>
      <c r="AN200">
        <v>2404808</v>
      </c>
      <c r="AO200">
        <v>0</v>
      </c>
      <c r="AP200">
        <v>522965</v>
      </c>
      <c r="AQ200">
        <v>695095</v>
      </c>
      <c r="AR200">
        <v>156745</v>
      </c>
      <c r="AT200">
        <v>5661789</v>
      </c>
      <c r="AU200">
        <v>55622</v>
      </c>
      <c r="AW200">
        <v>38803</v>
      </c>
      <c r="AX200">
        <v>2165314</v>
      </c>
      <c r="AY200">
        <v>2570474</v>
      </c>
    </row>
    <row r="201" spans="1:51" x14ac:dyDescent="0.3">
      <c r="A201" s="754">
        <v>592</v>
      </c>
      <c r="B201" t="s">
        <v>308</v>
      </c>
      <c r="D201">
        <v>-424672</v>
      </c>
      <c r="E201">
        <v>699082</v>
      </c>
      <c r="F201">
        <v>2153876</v>
      </c>
      <c r="G201">
        <v>0</v>
      </c>
      <c r="H201">
        <v>41267622</v>
      </c>
      <c r="I201">
        <v>0</v>
      </c>
      <c r="J201">
        <v>25390601</v>
      </c>
      <c r="K201">
        <v>948997</v>
      </c>
      <c r="M201">
        <v>-95000</v>
      </c>
      <c r="N201">
        <v>435004</v>
      </c>
      <c r="O201">
        <v>0</v>
      </c>
      <c r="P201">
        <v>55031541</v>
      </c>
      <c r="Q201">
        <v>190881</v>
      </c>
      <c r="R201">
        <v>-129573</v>
      </c>
      <c r="S201">
        <v>1038568</v>
      </c>
      <c r="T201">
        <v>0</v>
      </c>
      <c r="U201">
        <v>8595631</v>
      </c>
      <c r="V201">
        <v>771198</v>
      </c>
      <c r="W201">
        <v>169776</v>
      </c>
      <c r="X201">
        <v>265052</v>
      </c>
      <c r="Y201">
        <v>669358</v>
      </c>
      <c r="Z201">
        <v>0</v>
      </c>
      <c r="AA201">
        <v>-702571</v>
      </c>
      <c r="AB201">
        <v>2230</v>
      </c>
      <c r="AC201">
        <v>748751</v>
      </c>
      <c r="AD201">
        <v>334050</v>
      </c>
      <c r="AE201">
        <v>0</v>
      </c>
      <c r="AF201">
        <v>9669245</v>
      </c>
      <c r="AG201">
        <v>3350345</v>
      </c>
      <c r="AH201">
        <v>914695</v>
      </c>
      <c r="AI201">
        <v>956913</v>
      </c>
      <c r="AJ201">
        <v>-92259</v>
      </c>
      <c r="AK201">
        <v>-88605</v>
      </c>
      <c r="AL201">
        <v>3227418</v>
      </c>
      <c r="AM201">
        <v>181637</v>
      </c>
      <c r="AN201">
        <v>813409</v>
      </c>
      <c r="AO201">
        <v>0</v>
      </c>
      <c r="AP201">
        <v>254161</v>
      </c>
      <c r="AQ201">
        <v>1227875</v>
      </c>
      <c r="AR201">
        <v>27265</v>
      </c>
      <c r="AT201">
        <v>-132014</v>
      </c>
      <c r="AU201">
        <v>-55622</v>
      </c>
      <c r="AW201">
        <v>3366</v>
      </c>
      <c r="AX201">
        <v>387757</v>
      </c>
      <c r="AY201">
        <v>2659824</v>
      </c>
    </row>
    <row r="202" spans="1:51" x14ac:dyDescent="0.3">
      <c r="A202" s="754">
        <v>593</v>
      </c>
      <c r="B202" t="s">
        <v>880</v>
      </c>
      <c r="D202">
        <v>0</v>
      </c>
      <c r="E202">
        <v>0</v>
      </c>
      <c r="F202">
        <v>0</v>
      </c>
      <c r="G202">
        <v>0</v>
      </c>
      <c r="H202">
        <v>0</v>
      </c>
      <c r="I202">
        <v>0</v>
      </c>
      <c r="J202">
        <v>0</v>
      </c>
      <c r="K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T202">
        <v>0</v>
      </c>
      <c r="AU202">
        <v>0</v>
      </c>
      <c r="AW202">
        <v>0</v>
      </c>
      <c r="AX202">
        <v>0</v>
      </c>
      <c r="AY202">
        <v>0</v>
      </c>
    </row>
    <row r="203" spans="1:51" x14ac:dyDescent="0.3">
      <c r="A203" s="754">
        <v>594</v>
      </c>
      <c r="B203" t="s">
        <v>881</v>
      </c>
      <c r="D203">
        <v>0</v>
      </c>
      <c r="E203">
        <v>0</v>
      </c>
      <c r="F203">
        <v>0</v>
      </c>
      <c r="G203">
        <v>0</v>
      </c>
      <c r="H203">
        <v>0</v>
      </c>
      <c r="I203">
        <v>0</v>
      </c>
      <c r="J203">
        <v>0</v>
      </c>
      <c r="K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T203">
        <v>0</v>
      </c>
      <c r="AU203">
        <v>0</v>
      </c>
      <c r="AW203">
        <v>0</v>
      </c>
      <c r="AX203">
        <v>0</v>
      </c>
      <c r="AY203">
        <v>0</v>
      </c>
    </row>
    <row r="204" spans="1:51" x14ac:dyDescent="0.3">
      <c r="A204" s="754">
        <v>596</v>
      </c>
      <c r="B204" t="s">
        <v>310</v>
      </c>
      <c r="D204">
        <v>52</v>
      </c>
      <c r="E204">
        <v>52</v>
      </c>
      <c r="F204">
        <v>52</v>
      </c>
      <c r="G204">
        <v>52</v>
      </c>
      <c r="H204">
        <v>52</v>
      </c>
      <c r="I204">
        <v>0</v>
      </c>
      <c r="J204">
        <v>52</v>
      </c>
      <c r="K204">
        <v>52</v>
      </c>
      <c r="M204">
        <v>52</v>
      </c>
      <c r="N204">
        <v>52</v>
      </c>
      <c r="O204">
        <v>52</v>
      </c>
      <c r="P204">
        <v>52</v>
      </c>
      <c r="Q204">
        <v>52</v>
      </c>
      <c r="R204">
        <v>52</v>
      </c>
      <c r="S204">
        <v>52</v>
      </c>
      <c r="T204">
        <v>52</v>
      </c>
      <c r="U204">
        <v>52</v>
      </c>
      <c r="V204">
        <v>52</v>
      </c>
      <c r="W204">
        <v>52</v>
      </c>
      <c r="X204">
        <v>52</v>
      </c>
      <c r="Y204">
        <v>52</v>
      </c>
      <c r="Z204">
        <v>52</v>
      </c>
      <c r="AA204">
        <v>52</v>
      </c>
      <c r="AB204">
        <v>52</v>
      </c>
      <c r="AC204">
        <v>52</v>
      </c>
      <c r="AD204">
        <v>52</v>
      </c>
      <c r="AE204">
        <v>52</v>
      </c>
      <c r="AF204">
        <v>52</v>
      </c>
      <c r="AG204">
        <v>52</v>
      </c>
      <c r="AH204">
        <v>52</v>
      </c>
      <c r="AI204">
        <v>52</v>
      </c>
      <c r="AJ204">
        <v>52</v>
      </c>
      <c r="AK204">
        <v>52</v>
      </c>
      <c r="AL204">
        <v>52</v>
      </c>
      <c r="AM204">
        <v>52</v>
      </c>
      <c r="AN204">
        <v>52</v>
      </c>
      <c r="AO204">
        <v>52</v>
      </c>
      <c r="AP204">
        <v>52</v>
      </c>
      <c r="AQ204">
        <v>52</v>
      </c>
      <c r="AR204">
        <v>52</v>
      </c>
      <c r="AT204">
        <v>52</v>
      </c>
      <c r="AU204">
        <v>52</v>
      </c>
      <c r="AW204">
        <v>52</v>
      </c>
      <c r="AX204">
        <v>52</v>
      </c>
      <c r="AY204">
        <v>52</v>
      </c>
    </row>
    <row r="205" spans="1:51" x14ac:dyDescent="0.3">
      <c r="A205" s="754">
        <v>597</v>
      </c>
      <c r="B205" t="s">
        <v>313</v>
      </c>
      <c r="D205">
        <v>1585</v>
      </c>
      <c r="E205">
        <v>2576</v>
      </c>
      <c r="F205">
        <v>0</v>
      </c>
      <c r="G205">
        <v>0</v>
      </c>
      <c r="H205">
        <v>30582</v>
      </c>
      <c r="I205">
        <v>0</v>
      </c>
      <c r="J205">
        <v>0</v>
      </c>
      <c r="K205">
        <v>20752</v>
      </c>
      <c r="M205">
        <v>0</v>
      </c>
      <c r="N205">
        <v>2483</v>
      </c>
      <c r="O205">
        <v>0</v>
      </c>
      <c r="P205">
        <v>0</v>
      </c>
      <c r="Q205">
        <v>17408</v>
      </c>
      <c r="R205">
        <v>0</v>
      </c>
      <c r="S205">
        <v>0</v>
      </c>
      <c r="T205">
        <v>0</v>
      </c>
      <c r="U205">
        <v>473948</v>
      </c>
      <c r="V205">
        <v>6268</v>
      </c>
      <c r="W205">
        <v>575</v>
      </c>
      <c r="X205">
        <v>0</v>
      </c>
      <c r="Y205">
        <v>2696</v>
      </c>
      <c r="Z205">
        <v>0</v>
      </c>
      <c r="AA205">
        <v>0</v>
      </c>
      <c r="AB205">
        <v>381</v>
      </c>
      <c r="AC205">
        <v>43261</v>
      </c>
      <c r="AD205">
        <v>880</v>
      </c>
      <c r="AE205">
        <v>0</v>
      </c>
      <c r="AF205">
        <v>8384</v>
      </c>
      <c r="AG205">
        <v>0</v>
      </c>
      <c r="AH205">
        <v>45964</v>
      </c>
      <c r="AI205">
        <v>0</v>
      </c>
      <c r="AJ205">
        <v>272</v>
      </c>
      <c r="AK205">
        <v>0</v>
      </c>
      <c r="AL205">
        <v>5449</v>
      </c>
      <c r="AM205">
        <v>0</v>
      </c>
      <c r="AN205">
        <v>48567</v>
      </c>
      <c r="AO205">
        <v>0</v>
      </c>
      <c r="AP205">
        <v>560</v>
      </c>
      <c r="AQ205">
        <v>0</v>
      </c>
      <c r="AR205">
        <v>295</v>
      </c>
      <c r="AT205">
        <v>0</v>
      </c>
      <c r="AU205">
        <v>0</v>
      </c>
      <c r="AW205">
        <v>0</v>
      </c>
      <c r="AX205">
        <v>13611</v>
      </c>
      <c r="AY205">
        <v>0</v>
      </c>
    </row>
    <row r="206" spans="1:51" x14ac:dyDescent="0.3">
      <c r="A206" s="754">
        <v>598</v>
      </c>
      <c r="B206" t="s">
        <v>318</v>
      </c>
      <c r="D206">
        <v>0</v>
      </c>
      <c r="E206">
        <v>0</v>
      </c>
      <c r="F206">
        <v>0</v>
      </c>
      <c r="G206">
        <v>0</v>
      </c>
      <c r="H206">
        <v>0</v>
      </c>
      <c r="I206">
        <v>0</v>
      </c>
      <c r="J206">
        <v>0</v>
      </c>
      <c r="K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T206">
        <v>0</v>
      </c>
      <c r="AU206">
        <v>0</v>
      </c>
      <c r="AW206">
        <v>0</v>
      </c>
      <c r="AX206">
        <v>0</v>
      </c>
      <c r="AY206">
        <v>0</v>
      </c>
    </row>
    <row r="207" spans="1:51" x14ac:dyDescent="0.3">
      <c r="A207" s="754">
        <v>599</v>
      </c>
      <c r="B207" t="s">
        <v>317</v>
      </c>
      <c r="D207">
        <v>0</v>
      </c>
      <c r="E207">
        <v>0</v>
      </c>
      <c r="F207">
        <v>0</v>
      </c>
      <c r="G207">
        <v>0</v>
      </c>
      <c r="H207">
        <v>0</v>
      </c>
      <c r="I207">
        <v>0</v>
      </c>
      <c r="J207">
        <v>0</v>
      </c>
      <c r="K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T207">
        <v>0</v>
      </c>
      <c r="AU207">
        <v>0</v>
      </c>
      <c r="AW207">
        <v>0</v>
      </c>
      <c r="AX207">
        <v>0</v>
      </c>
      <c r="AY207">
        <v>0</v>
      </c>
    </row>
    <row r="208" spans="1:51" x14ac:dyDescent="0.3">
      <c r="A208" s="754">
        <v>602</v>
      </c>
      <c r="B208" t="s">
        <v>319</v>
      </c>
      <c r="D208">
        <v>0</v>
      </c>
      <c r="E208">
        <v>0</v>
      </c>
      <c r="F208">
        <v>0</v>
      </c>
      <c r="G208">
        <v>0</v>
      </c>
      <c r="H208">
        <v>0</v>
      </c>
      <c r="I208">
        <v>0</v>
      </c>
      <c r="J208">
        <v>0</v>
      </c>
      <c r="K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T208">
        <v>0</v>
      </c>
      <c r="AU208">
        <v>0</v>
      </c>
      <c r="AW208">
        <v>0</v>
      </c>
      <c r="AX208">
        <v>0</v>
      </c>
      <c r="AY208">
        <v>0</v>
      </c>
    </row>
    <row r="209" spans="1:51" x14ac:dyDescent="0.3">
      <c r="A209" s="754">
        <v>606</v>
      </c>
      <c r="B209" t="s">
        <v>882</v>
      </c>
      <c r="J209">
        <v>1</v>
      </c>
      <c r="X209">
        <v>2</v>
      </c>
      <c r="AG209">
        <v>1</v>
      </c>
      <c r="AY209">
        <v>1</v>
      </c>
    </row>
    <row r="210" spans="1:51" x14ac:dyDescent="0.3">
      <c r="A210" s="754">
        <v>619</v>
      </c>
      <c r="B210" t="s">
        <v>883</v>
      </c>
      <c r="D210">
        <v>0</v>
      </c>
      <c r="E210">
        <v>0</v>
      </c>
      <c r="F210">
        <v>0</v>
      </c>
      <c r="G210">
        <v>0</v>
      </c>
      <c r="H210">
        <v>0</v>
      </c>
      <c r="I210">
        <v>0</v>
      </c>
      <c r="J210">
        <v>0</v>
      </c>
      <c r="K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T210">
        <v>0</v>
      </c>
      <c r="AU210">
        <v>0</v>
      </c>
      <c r="AW210">
        <v>0</v>
      </c>
      <c r="AX210">
        <v>0</v>
      </c>
      <c r="AY210">
        <v>0</v>
      </c>
    </row>
    <row r="211" spans="1:51" x14ac:dyDescent="0.3">
      <c r="A211" s="754">
        <v>620</v>
      </c>
      <c r="B211" t="s">
        <v>884</v>
      </c>
      <c r="D211">
        <v>2</v>
      </c>
      <c r="E211">
        <v>2</v>
      </c>
      <c r="F211">
        <v>2</v>
      </c>
      <c r="G211">
        <v>2</v>
      </c>
      <c r="H211">
        <v>2</v>
      </c>
      <c r="I211">
        <v>1</v>
      </c>
      <c r="J211">
        <v>2</v>
      </c>
      <c r="K211">
        <v>1</v>
      </c>
      <c r="M211">
        <v>2</v>
      </c>
      <c r="N211">
        <v>2</v>
      </c>
      <c r="O211">
        <v>2</v>
      </c>
      <c r="P211">
        <v>1</v>
      </c>
      <c r="Q211">
        <v>2</v>
      </c>
      <c r="R211">
        <v>2</v>
      </c>
      <c r="S211">
        <v>2</v>
      </c>
      <c r="T211">
        <v>2</v>
      </c>
      <c r="U211">
        <v>1</v>
      </c>
      <c r="V211">
        <v>2</v>
      </c>
      <c r="W211">
        <v>2</v>
      </c>
      <c r="X211">
        <v>2</v>
      </c>
      <c r="Y211">
        <v>1</v>
      </c>
      <c r="Z211">
        <v>2</v>
      </c>
      <c r="AA211">
        <v>2</v>
      </c>
      <c r="AB211">
        <v>2</v>
      </c>
      <c r="AC211">
        <v>2</v>
      </c>
      <c r="AD211">
        <v>2</v>
      </c>
      <c r="AE211">
        <v>2</v>
      </c>
      <c r="AF211">
        <v>1</v>
      </c>
      <c r="AG211">
        <v>1</v>
      </c>
      <c r="AH211">
        <v>1</v>
      </c>
      <c r="AI211">
        <v>2</v>
      </c>
      <c r="AJ211">
        <v>0</v>
      </c>
      <c r="AK211">
        <v>2</v>
      </c>
      <c r="AL211">
        <v>2</v>
      </c>
      <c r="AM211">
        <v>2</v>
      </c>
      <c r="AN211">
        <v>2</v>
      </c>
      <c r="AO211">
        <v>2</v>
      </c>
      <c r="AP211">
        <v>2</v>
      </c>
      <c r="AQ211">
        <v>1</v>
      </c>
      <c r="AR211">
        <v>2</v>
      </c>
      <c r="AT211">
        <v>1</v>
      </c>
      <c r="AU211">
        <v>2</v>
      </c>
      <c r="AW211">
        <v>2</v>
      </c>
      <c r="AX211">
        <v>2</v>
      </c>
      <c r="AY211">
        <v>2</v>
      </c>
    </row>
    <row r="212" spans="1:51" x14ac:dyDescent="0.3">
      <c r="A212" s="754">
        <v>621</v>
      </c>
      <c r="B212" t="s">
        <v>885</v>
      </c>
      <c r="D212">
        <v>0</v>
      </c>
      <c r="E212">
        <v>0</v>
      </c>
      <c r="F212">
        <v>0</v>
      </c>
      <c r="G212">
        <v>0</v>
      </c>
      <c r="H212">
        <v>0</v>
      </c>
      <c r="I212">
        <v>0</v>
      </c>
      <c r="J212">
        <v>0</v>
      </c>
      <c r="K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T212">
        <v>0</v>
      </c>
      <c r="AU212">
        <v>0</v>
      </c>
      <c r="AW212">
        <v>0</v>
      </c>
      <c r="AX212">
        <v>0</v>
      </c>
      <c r="AY212">
        <v>0</v>
      </c>
    </row>
    <row r="213" spans="1:51" x14ac:dyDescent="0.3">
      <c r="A213" s="754">
        <v>622</v>
      </c>
      <c r="B213" t="s">
        <v>886</v>
      </c>
      <c r="D213">
        <v>111848</v>
      </c>
      <c r="E213">
        <v>0</v>
      </c>
      <c r="F213">
        <v>557454</v>
      </c>
      <c r="G213">
        <v>983049</v>
      </c>
      <c r="H213">
        <v>0</v>
      </c>
      <c r="I213">
        <v>1793860</v>
      </c>
      <c r="J213">
        <v>8164921</v>
      </c>
      <c r="K213">
        <v>1071670</v>
      </c>
      <c r="M213">
        <v>149369</v>
      </c>
      <c r="N213">
        <v>599264</v>
      </c>
      <c r="O213">
        <v>13083</v>
      </c>
      <c r="P213">
        <v>20462876</v>
      </c>
      <c r="Q213">
        <v>76113</v>
      </c>
      <c r="R213">
        <v>0</v>
      </c>
      <c r="S213">
        <v>0</v>
      </c>
      <c r="T213">
        <v>0</v>
      </c>
      <c r="U213">
        <v>15719500</v>
      </c>
      <c r="V213">
        <v>0</v>
      </c>
      <c r="W213">
        <v>0</v>
      </c>
      <c r="X213">
        <v>194394</v>
      </c>
      <c r="Y213">
        <v>8576</v>
      </c>
      <c r="Z213">
        <v>258359</v>
      </c>
      <c r="AA213">
        <v>0</v>
      </c>
      <c r="AB213">
        <v>16080</v>
      </c>
      <c r="AC213">
        <v>0</v>
      </c>
      <c r="AD213">
        <v>0</v>
      </c>
      <c r="AE213">
        <v>101485</v>
      </c>
      <c r="AF213">
        <v>3064570</v>
      </c>
      <c r="AG213">
        <v>4542897</v>
      </c>
      <c r="AH213">
        <v>535299</v>
      </c>
      <c r="AI213">
        <v>0</v>
      </c>
      <c r="AJ213">
        <v>0</v>
      </c>
      <c r="AK213">
        <v>0</v>
      </c>
      <c r="AL213">
        <v>945529</v>
      </c>
      <c r="AM213">
        <v>132931</v>
      </c>
      <c r="AN213">
        <v>0</v>
      </c>
      <c r="AO213">
        <v>105416</v>
      </c>
      <c r="AP213">
        <v>0</v>
      </c>
      <c r="AQ213">
        <v>0</v>
      </c>
      <c r="AR213">
        <v>0</v>
      </c>
      <c r="AT213">
        <v>598906</v>
      </c>
      <c r="AU213">
        <v>0</v>
      </c>
      <c r="AW213">
        <v>0</v>
      </c>
      <c r="AX213">
        <v>352340</v>
      </c>
      <c r="AY213">
        <v>228342</v>
      </c>
    </row>
    <row r="214" spans="1:51" x14ac:dyDescent="0.3">
      <c r="A214" s="754">
        <v>624</v>
      </c>
      <c r="B214" t="s">
        <v>333</v>
      </c>
      <c r="D214">
        <v>0</v>
      </c>
      <c r="E214">
        <v>0</v>
      </c>
      <c r="F214">
        <v>0</v>
      </c>
      <c r="G214">
        <v>0</v>
      </c>
      <c r="H214">
        <v>0</v>
      </c>
      <c r="I214">
        <v>0</v>
      </c>
      <c r="J214">
        <v>0</v>
      </c>
      <c r="K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T214">
        <v>0</v>
      </c>
      <c r="AU214">
        <v>0</v>
      </c>
      <c r="AW214">
        <v>0</v>
      </c>
      <c r="AX214">
        <v>0</v>
      </c>
      <c r="AY214">
        <v>0</v>
      </c>
    </row>
    <row r="215" spans="1:51" x14ac:dyDescent="0.3">
      <c r="A215" s="754">
        <v>626</v>
      </c>
      <c r="B215" t="s">
        <v>887</v>
      </c>
      <c r="D215">
        <v>0</v>
      </c>
      <c r="E215">
        <v>0</v>
      </c>
      <c r="F215">
        <v>0</v>
      </c>
      <c r="G215">
        <v>0</v>
      </c>
      <c r="H215">
        <v>0</v>
      </c>
      <c r="I215">
        <v>0</v>
      </c>
      <c r="J215">
        <v>0</v>
      </c>
      <c r="K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48905</v>
      </c>
      <c r="AL215">
        <v>0</v>
      </c>
      <c r="AM215">
        <v>0</v>
      </c>
      <c r="AN215">
        <v>0</v>
      </c>
      <c r="AO215">
        <v>0</v>
      </c>
      <c r="AP215">
        <v>0</v>
      </c>
      <c r="AQ215">
        <v>0</v>
      </c>
      <c r="AR215">
        <v>0</v>
      </c>
      <c r="AT215">
        <v>0</v>
      </c>
      <c r="AU215">
        <v>0</v>
      </c>
      <c r="AW215">
        <v>0</v>
      </c>
      <c r="AX215">
        <v>0</v>
      </c>
      <c r="AY215">
        <v>0</v>
      </c>
    </row>
    <row r="216" spans="1:51" x14ac:dyDescent="0.3">
      <c r="A216" s="754">
        <v>627</v>
      </c>
      <c r="B216" t="s">
        <v>888</v>
      </c>
      <c r="D216">
        <v>0</v>
      </c>
      <c r="E216">
        <v>0</v>
      </c>
      <c r="F216">
        <v>0</v>
      </c>
      <c r="G216">
        <v>0</v>
      </c>
      <c r="H216">
        <v>0</v>
      </c>
      <c r="I216">
        <v>0</v>
      </c>
      <c r="J216">
        <v>0</v>
      </c>
      <c r="K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T216">
        <v>0</v>
      </c>
      <c r="AU216">
        <v>0</v>
      </c>
      <c r="AW216">
        <v>0</v>
      </c>
      <c r="AX216">
        <v>0</v>
      </c>
      <c r="AY216">
        <v>0</v>
      </c>
    </row>
    <row r="217" spans="1:51" x14ac:dyDescent="0.3">
      <c r="A217" s="754">
        <v>628</v>
      </c>
      <c r="B217" t="s">
        <v>889</v>
      </c>
      <c r="D217">
        <v>0</v>
      </c>
      <c r="E217">
        <v>0</v>
      </c>
      <c r="F217">
        <v>0</v>
      </c>
      <c r="G217">
        <v>0</v>
      </c>
      <c r="H217">
        <v>0</v>
      </c>
      <c r="I217">
        <v>0</v>
      </c>
      <c r="J217">
        <v>0</v>
      </c>
      <c r="K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T217">
        <v>0</v>
      </c>
      <c r="AU217">
        <v>0</v>
      </c>
      <c r="AW217">
        <v>0</v>
      </c>
      <c r="AX217">
        <v>0</v>
      </c>
      <c r="AY217">
        <v>0</v>
      </c>
    </row>
    <row r="218" spans="1:51" x14ac:dyDescent="0.3">
      <c r="A218" s="754">
        <v>629</v>
      </c>
      <c r="B218" t="s">
        <v>890</v>
      </c>
      <c r="D218">
        <v>0</v>
      </c>
      <c r="E218">
        <v>0</v>
      </c>
      <c r="F218">
        <v>0</v>
      </c>
      <c r="G218">
        <v>0</v>
      </c>
      <c r="H218">
        <v>0</v>
      </c>
      <c r="I218">
        <v>0</v>
      </c>
      <c r="J218">
        <v>0</v>
      </c>
      <c r="K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T218">
        <v>0</v>
      </c>
      <c r="AU218">
        <v>0</v>
      </c>
      <c r="AW218">
        <v>0</v>
      </c>
      <c r="AX218">
        <v>0</v>
      </c>
      <c r="AY218">
        <v>0</v>
      </c>
    </row>
    <row r="219" spans="1:51" x14ac:dyDescent="0.3">
      <c r="A219" s="754">
        <v>630</v>
      </c>
      <c r="B219" t="s">
        <v>891</v>
      </c>
      <c r="D219">
        <v>0</v>
      </c>
      <c r="E219">
        <v>0</v>
      </c>
      <c r="F219">
        <v>0</v>
      </c>
      <c r="G219">
        <v>0</v>
      </c>
      <c r="H219">
        <v>0</v>
      </c>
      <c r="I219">
        <v>0</v>
      </c>
      <c r="J219">
        <v>0</v>
      </c>
      <c r="K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T219">
        <v>0</v>
      </c>
      <c r="AU219">
        <v>0</v>
      </c>
      <c r="AW219">
        <v>0</v>
      </c>
      <c r="AX219">
        <v>0</v>
      </c>
      <c r="AY219">
        <v>0</v>
      </c>
    </row>
    <row r="220" spans="1:51" x14ac:dyDescent="0.3">
      <c r="A220" s="754">
        <v>631</v>
      </c>
      <c r="B220" t="s">
        <v>892</v>
      </c>
      <c r="D220">
        <v>0</v>
      </c>
      <c r="E220">
        <v>0</v>
      </c>
      <c r="F220">
        <v>0</v>
      </c>
      <c r="G220">
        <v>0</v>
      </c>
      <c r="H220">
        <v>0</v>
      </c>
      <c r="I220">
        <v>0</v>
      </c>
      <c r="J220">
        <v>0</v>
      </c>
      <c r="K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T220">
        <v>0</v>
      </c>
      <c r="AU220">
        <v>0</v>
      </c>
      <c r="AW220">
        <v>0</v>
      </c>
      <c r="AX220">
        <v>0</v>
      </c>
      <c r="AY220">
        <v>0</v>
      </c>
    </row>
    <row r="221" spans="1:51" x14ac:dyDescent="0.3">
      <c r="A221" s="754">
        <v>632</v>
      </c>
      <c r="B221" t="s">
        <v>893</v>
      </c>
      <c r="D221">
        <v>0</v>
      </c>
      <c r="E221">
        <v>0</v>
      </c>
      <c r="F221">
        <v>0</v>
      </c>
      <c r="G221">
        <v>0</v>
      </c>
      <c r="H221">
        <v>0</v>
      </c>
      <c r="I221">
        <v>0</v>
      </c>
      <c r="J221">
        <v>0</v>
      </c>
      <c r="K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T221">
        <v>0</v>
      </c>
      <c r="AU221">
        <v>0</v>
      </c>
      <c r="AW221">
        <v>0</v>
      </c>
      <c r="AX221">
        <v>0</v>
      </c>
      <c r="AY221">
        <v>0</v>
      </c>
    </row>
    <row r="222" spans="1:51" x14ac:dyDescent="0.3">
      <c r="A222" s="754">
        <v>633</v>
      </c>
      <c r="B222" t="s">
        <v>350</v>
      </c>
      <c r="D222">
        <v>400250</v>
      </c>
      <c r="E222">
        <v>1073325</v>
      </c>
      <c r="F222">
        <v>2960404</v>
      </c>
      <c r="G222">
        <v>5575666</v>
      </c>
      <c r="H222">
        <v>11636880</v>
      </c>
      <c r="I222">
        <v>4059635</v>
      </c>
      <c r="J222">
        <v>41309395</v>
      </c>
      <c r="K222">
        <v>1505938</v>
      </c>
      <c r="M222">
        <v>1440609</v>
      </c>
      <c r="N222">
        <v>1685714</v>
      </c>
      <c r="O222">
        <v>53085</v>
      </c>
      <c r="P222">
        <v>39380159</v>
      </c>
      <c r="Q222">
        <v>415967</v>
      </c>
      <c r="R222">
        <v>712357</v>
      </c>
      <c r="S222">
        <v>990216</v>
      </c>
      <c r="T222">
        <v>114722</v>
      </c>
      <c r="U222">
        <v>11511047</v>
      </c>
      <c r="V222">
        <v>1298736</v>
      </c>
      <c r="W222">
        <v>24545</v>
      </c>
      <c r="X222">
        <v>2064165</v>
      </c>
      <c r="Y222">
        <v>2005816</v>
      </c>
      <c r="Z222">
        <v>338444</v>
      </c>
      <c r="AA222">
        <v>322139</v>
      </c>
      <c r="AB222">
        <v>20342</v>
      </c>
      <c r="AC222">
        <v>3367662</v>
      </c>
      <c r="AD222">
        <v>747241</v>
      </c>
      <c r="AE222">
        <v>177587</v>
      </c>
      <c r="AF222">
        <v>10745841</v>
      </c>
      <c r="AG222">
        <v>11047363</v>
      </c>
      <c r="AH222">
        <v>2401140</v>
      </c>
      <c r="AI222">
        <v>1400157</v>
      </c>
      <c r="AJ222">
        <v>143621</v>
      </c>
      <c r="AK222">
        <v>47935</v>
      </c>
      <c r="AL222">
        <v>4943894</v>
      </c>
      <c r="AM222">
        <v>345600</v>
      </c>
      <c r="AN222">
        <v>1193768</v>
      </c>
      <c r="AO222">
        <v>266914</v>
      </c>
      <c r="AP222">
        <v>293228</v>
      </c>
      <c r="AQ222">
        <v>229764</v>
      </c>
      <c r="AR222">
        <v>5646</v>
      </c>
      <c r="AT222">
        <v>748906</v>
      </c>
      <c r="AU222">
        <v>0</v>
      </c>
      <c r="AW222">
        <v>1847</v>
      </c>
      <c r="AX222">
        <v>326759</v>
      </c>
      <c r="AY222">
        <v>1051926</v>
      </c>
    </row>
    <row r="223" spans="1:51" x14ac:dyDescent="0.3">
      <c r="A223" s="754">
        <v>634</v>
      </c>
      <c r="B223" t="s">
        <v>351</v>
      </c>
      <c r="D223">
        <v>0</v>
      </c>
      <c r="E223">
        <v>0</v>
      </c>
      <c r="F223">
        <v>0</v>
      </c>
      <c r="G223">
        <v>0</v>
      </c>
      <c r="H223">
        <v>0</v>
      </c>
      <c r="I223">
        <v>0</v>
      </c>
      <c r="J223">
        <v>0</v>
      </c>
      <c r="K223">
        <v>0</v>
      </c>
      <c r="M223">
        <v>249000</v>
      </c>
      <c r="N223">
        <v>0</v>
      </c>
      <c r="O223">
        <v>17000</v>
      </c>
      <c r="P223">
        <v>0</v>
      </c>
      <c r="Q223">
        <v>0</v>
      </c>
      <c r="R223">
        <v>0</v>
      </c>
      <c r="S223">
        <v>0</v>
      </c>
      <c r="T223">
        <v>23000</v>
      </c>
      <c r="U223">
        <v>0</v>
      </c>
      <c r="V223">
        <v>0</v>
      </c>
      <c r="W223">
        <v>0</v>
      </c>
      <c r="X223">
        <v>0</v>
      </c>
      <c r="Y223">
        <v>0</v>
      </c>
      <c r="Z223">
        <v>0</v>
      </c>
      <c r="AA223">
        <v>0</v>
      </c>
      <c r="AB223">
        <v>0</v>
      </c>
      <c r="AC223">
        <v>0</v>
      </c>
      <c r="AD223">
        <v>0</v>
      </c>
      <c r="AE223">
        <v>0</v>
      </c>
      <c r="AF223">
        <v>0</v>
      </c>
      <c r="AG223">
        <v>0</v>
      </c>
      <c r="AH223">
        <v>0</v>
      </c>
      <c r="AI223">
        <v>0</v>
      </c>
      <c r="AJ223">
        <v>56000</v>
      </c>
      <c r="AK223">
        <v>0</v>
      </c>
      <c r="AL223">
        <v>0</v>
      </c>
      <c r="AM223">
        <v>143737</v>
      </c>
      <c r="AN223">
        <v>0</v>
      </c>
      <c r="AO223">
        <v>0</v>
      </c>
      <c r="AP223">
        <v>0</v>
      </c>
      <c r="AQ223">
        <v>0</v>
      </c>
      <c r="AR223">
        <v>0</v>
      </c>
      <c r="AT223">
        <v>0</v>
      </c>
      <c r="AU223">
        <v>0</v>
      </c>
      <c r="AW223">
        <v>0</v>
      </c>
      <c r="AX223">
        <v>0</v>
      </c>
      <c r="AY223">
        <v>0</v>
      </c>
    </row>
    <row r="224" spans="1:51" x14ac:dyDescent="0.3">
      <c r="A224" s="754">
        <v>635</v>
      </c>
      <c r="B224" t="s">
        <v>352</v>
      </c>
      <c r="D224">
        <v>0</v>
      </c>
      <c r="E224">
        <v>0</v>
      </c>
      <c r="F224">
        <v>95488</v>
      </c>
      <c r="G224">
        <v>0</v>
      </c>
      <c r="H224">
        <v>60000</v>
      </c>
      <c r="I224">
        <v>264249</v>
      </c>
      <c r="J224">
        <v>956033</v>
      </c>
      <c r="K224">
        <v>181042</v>
      </c>
      <c r="M224">
        <v>25000</v>
      </c>
      <c r="N224">
        <v>0</v>
      </c>
      <c r="O224">
        <v>0</v>
      </c>
      <c r="P224">
        <v>1485359</v>
      </c>
      <c r="Q224">
        <v>0</v>
      </c>
      <c r="R224">
        <v>0</v>
      </c>
      <c r="S224">
        <v>36385</v>
      </c>
      <c r="T224">
        <v>0</v>
      </c>
      <c r="U224">
        <v>612967</v>
      </c>
      <c r="V224">
        <v>38635</v>
      </c>
      <c r="W224">
        <v>0</v>
      </c>
      <c r="X224">
        <v>0</v>
      </c>
      <c r="Y224">
        <v>2500</v>
      </c>
      <c r="Z224">
        <v>0</v>
      </c>
      <c r="AA224">
        <v>0</v>
      </c>
      <c r="AB224">
        <v>0</v>
      </c>
      <c r="AC224">
        <v>112097</v>
      </c>
      <c r="AD224">
        <v>0</v>
      </c>
      <c r="AE224">
        <v>0</v>
      </c>
      <c r="AF224">
        <v>466074</v>
      </c>
      <c r="AG224">
        <v>543784</v>
      </c>
      <c r="AH224">
        <v>74132</v>
      </c>
      <c r="AI224">
        <v>5510</v>
      </c>
      <c r="AJ224">
        <v>0</v>
      </c>
      <c r="AK224">
        <v>0</v>
      </c>
      <c r="AL224">
        <v>249702</v>
      </c>
      <c r="AM224">
        <v>7917</v>
      </c>
      <c r="AN224">
        <v>0</v>
      </c>
      <c r="AO224">
        <v>5487</v>
      </c>
      <c r="AP224">
        <v>0</v>
      </c>
      <c r="AQ224">
        <v>0</v>
      </c>
      <c r="AR224">
        <v>0</v>
      </c>
      <c r="AT224">
        <v>0</v>
      </c>
      <c r="AU224">
        <v>0</v>
      </c>
      <c r="AW224">
        <v>0</v>
      </c>
      <c r="AX224">
        <v>11821</v>
      </c>
      <c r="AY224">
        <v>7891</v>
      </c>
    </row>
    <row r="225" spans="1:51" x14ac:dyDescent="0.3">
      <c r="A225" s="754">
        <v>636</v>
      </c>
      <c r="B225" t="s">
        <v>1423</v>
      </c>
      <c r="D225">
        <v>0</v>
      </c>
      <c r="E225">
        <v>0</v>
      </c>
      <c r="F225">
        <v>0</v>
      </c>
      <c r="G225">
        <v>0</v>
      </c>
      <c r="H225">
        <v>0</v>
      </c>
      <c r="I225">
        <v>0</v>
      </c>
      <c r="J225">
        <v>0</v>
      </c>
      <c r="K225">
        <v>0</v>
      </c>
      <c r="M225">
        <v>149369</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T225">
        <v>0</v>
      </c>
      <c r="AU225">
        <v>0</v>
      </c>
      <c r="AW225">
        <v>0</v>
      </c>
      <c r="AX225">
        <v>0</v>
      </c>
      <c r="AY225">
        <v>0</v>
      </c>
    </row>
    <row r="226" spans="1:51" x14ac:dyDescent="0.3">
      <c r="A226" s="754">
        <v>637</v>
      </c>
      <c r="B226" t="s">
        <v>1424</v>
      </c>
      <c r="D226">
        <v>0</v>
      </c>
      <c r="E226">
        <v>688705</v>
      </c>
      <c r="F226">
        <v>214246</v>
      </c>
      <c r="G226">
        <v>0</v>
      </c>
      <c r="H226">
        <v>7613027</v>
      </c>
      <c r="I226">
        <v>0</v>
      </c>
      <c r="J226">
        <v>3861143</v>
      </c>
      <c r="K226">
        <v>0</v>
      </c>
      <c r="M226">
        <v>0</v>
      </c>
      <c r="N226">
        <v>932049</v>
      </c>
      <c r="O226">
        <v>0</v>
      </c>
      <c r="P226">
        <v>7361882</v>
      </c>
      <c r="Q226">
        <v>86208</v>
      </c>
      <c r="R226">
        <v>0</v>
      </c>
      <c r="S226">
        <v>368616</v>
      </c>
      <c r="T226">
        <v>0</v>
      </c>
      <c r="U226">
        <v>2391419</v>
      </c>
      <c r="V226">
        <v>232092</v>
      </c>
      <c r="W226">
        <v>0</v>
      </c>
      <c r="X226">
        <v>194029</v>
      </c>
      <c r="Y226">
        <v>0</v>
      </c>
      <c r="Z226">
        <v>54700</v>
      </c>
      <c r="AA226">
        <v>0</v>
      </c>
      <c r="AB226">
        <v>0</v>
      </c>
      <c r="AC226">
        <v>0</v>
      </c>
      <c r="AD226">
        <v>479874</v>
      </c>
      <c r="AE226">
        <v>0</v>
      </c>
      <c r="AF226">
        <v>0</v>
      </c>
      <c r="AG226">
        <v>2360706</v>
      </c>
      <c r="AH226">
        <v>0</v>
      </c>
      <c r="AI226">
        <v>452318</v>
      </c>
      <c r="AJ226">
        <v>0</v>
      </c>
      <c r="AK226">
        <v>0</v>
      </c>
      <c r="AL226">
        <v>0</v>
      </c>
      <c r="AM226">
        <v>0</v>
      </c>
      <c r="AN226">
        <v>683814</v>
      </c>
      <c r="AO226">
        <v>210665</v>
      </c>
      <c r="AP226">
        <v>158043</v>
      </c>
      <c r="AQ226">
        <v>50355</v>
      </c>
      <c r="AR226">
        <v>0</v>
      </c>
      <c r="AT226">
        <v>381873</v>
      </c>
      <c r="AU226">
        <v>0</v>
      </c>
      <c r="AW226">
        <v>630</v>
      </c>
      <c r="AX226">
        <v>79750</v>
      </c>
      <c r="AY226">
        <v>0</v>
      </c>
    </row>
    <row r="227" spans="1:51" x14ac:dyDescent="0.3">
      <c r="A227" s="754">
        <v>638</v>
      </c>
      <c r="B227" t="s">
        <v>1425</v>
      </c>
      <c r="D227">
        <v>0</v>
      </c>
      <c r="E227">
        <v>0</v>
      </c>
      <c r="F227">
        <v>0</v>
      </c>
      <c r="G227">
        <v>0</v>
      </c>
      <c r="H227">
        <v>0</v>
      </c>
      <c r="I227">
        <v>0</v>
      </c>
      <c r="J227">
        <v>0</v>
      </c>
      <c r="K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T227">
        <v>0</v>
      </c>
      <c r="AU227">
        <v>0</v>
      </c>
      <c r="AW227">
        <v>0</v>
      </c>
      <c r="AX227">
        <v>0</v>
      </c>
      <c r="AY227">
        <v>0</v>
      </c>
    </row>
    <row r="228" spans="1:51" x14ac:dyDescent="0.3">
      <c r="A228" s="754">
        <v>639</v>
      </c>
      <c r="B228" t="s">
        <v>1426</v>
      </c>
      <c r="D228">
        <v>0</v>
      </c>
      <c r="E228">
        <v>0</v>
      </c>
      <c r="F228">
        <v>0</v>
      </c>
      <c r="G228">
        <v>0</v>
      </c>
      <c r="H228">
        <v>0</v>
      </c>
      <c r="I228">
        <v>0</v>
      </c>
      <c r="J228">
        <v>0</v>
      </c>
      <c r="K228">
        <v>0</v>
      </c>
      <c r="M228">
        <v>0</v>
      </c>
      <c r="N228">
        <v>0</v>
      </c>
      <c r="O228">
        <v>0</v>
      </c>
      <c r="P228">
        <v>82165057</v>
      </c>
      <c r="Q228">
        <v>0</v>
      </c>
      <c r="R228">
        <v>0</v>
      </c>
      <c r="S228">
        <v>0</v>
      </c>
      <c r="T228">
        <v>0</v>
      </c>
      <c r="U228">
        <v>22154045</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T228">
        <v>0</v>
      </c>
      <c r="AU228">
        <v>0</v>
      </c>
      <c r="AW228">
        <v>0</v>
      </c>
      <c r="AX228">
        <v>0</v>
      </c>
      <c r="AY228">
        <v>0</v>
      </c>
    </row>
    <row r="229" spans="1:51" x14ac:dyDescent="0.3">
      <c r="A229" s="754">
        <v>640</v>
      </c>
      <c r="B229" t="s">
        <v>1427</v>
      </c>
      <c r="D229">
        <v>0</v>
      </c>
      <c r="E229">
        <v>0</v>
      </c>
      <c r="F229">
        <v>0</v>
      </c>
      <c r="G229">
        <v>0</v>
      </c>
      <c r="H229">
        <v>0</v>
      </c>
      <c r="I229">
        <v>0</v>
      </c>
      <c r="J229">
        <v>0</v>
      </c>
      <c r="K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T229">
        <v>0</v>
      </c>
      <c r="AU229">
        <v>0</v>
      </c>
      <c r="AW229">
        <v>0</v>
      </c>
      <c r="AX229">
        <v>0</v>
      </c>
      <c r="AY229">
        <v>0</v>
      </c>
    </row>
    <row r="230" spans="1:51" x14ac:dyDescent="0.3">
      <c r="A230" s="754">
        <v>641</v>
      </c>
      <c r="B230" t="s">
        <v>1428</v>
      </c>
      <c r="D230">
        <v>0</v>
      </c>
      <c r="E230">
        <v>0</v>
      </c>
      <c r="F230">
        <v>0</v>
      </c>
      <c r="G230">
        <v>0</v>
      </c>
      <c r="H230">
        <v>0</v>
      </c>
      <c r="I230">
        <v>0</v>
      </c>
      <c r="J230">
        <v>0</v>
      </c>
      <c r="K230">
        <v>0</v>
      </c>
      <c r="M230">
        <v>0</v>
      </c>
      <c r="N230">
        <v>0</v>
      </c>
      <c r="O230">
        <v>0</v>
      </c>
      <c r="P230">
        <v>1599974</v>
      </c>
      <c r="Q230">
        <v>0</v>
      </c>
      <c r="R230">
        <v>0</v>
      </c>
      <c r="S230">
        <v>0</v>
      </c>
      <c r="T230">
        <v>0</v>
      </c>
      <c r="U230">
        <v>661979</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T230">
        <v>0</v>
      </c>
      <c r="AU230">
        <v>0</v>
      </c>
      <c r="AW230">
        <v>0</v>
      </c>
      <c r="AX230">
        <v>0</v>
      </c>
      <c r="AY230">
        <v>0</v>
      </c>
    </row>
    <row r="231" spans="1:51" x14ac:dyDescent="0.3">
      <c r="A231" s="754">
        <v>642</v>
      </c>
      <c r="B231" t="s">
        <v>1429</v>
      </c>
      <c r="D231">
        <v>0</v>
      </c>
      <c r="E231">
        <v>0</v>
      </c>
      <c r="F231">
        <v>0</v>
      </c>
      <c r="G231">
        <v>0</v>
      </c>
      <c r="H231">
        <v>0</v>
      </c>
      <c r="I231">
        <v>0</v>
      </c>
      <c r="J231">
        <v>0</v>
      </c>
      <c r="K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T231">
        <v>0</v>
      </c>
      <c r="AU231">
        <v>0</v>
      </c>
      <c r="AW231">
        <v>0</v>
      </c>
      <c r="AX231">
        <v>0</v>
      </c>
      <c r="AY231">
        <v>0</v>
      </c>
    </row>
    <row r="232" spans="1:51" x14ac:dyDescent="0.3">
      <c r="A232" s="754">
        <v>643</v>
      </c>
      <c r="B232" t="s">
        <v>1430</v>
      </c>
      <c r="D232">
        <v>0</v>
      </c>
      <c r="E232">
        <v>0</v>
      </c>
      <c r="F232">
        <v>0</v>
      </c>
      <c r="G232">
        <v>0</v>
      </c>
      <c r="H232">
        <v>0</v>
      </c>
      <c r="I232">
        <v>0</v>
      </c>
      <c r="J232">
        <v>0</v>
      </c>
      <c r="K232">
        <v>0</v>
      </c>
      <c r="M232">
        <v>0</v>
      </c>
      <c r="N232">
        <v>0</v>
      </c>
      <c r="O232">
        <v>0</v>
      </c>
      <c r="P232">
        <v>12000325</v>
      </c>
      <c r="Q232">
        <v>0</v>
      </c>
      <c r="R232">
        <v>0</v>
      </c>
      <c r="S232">
        <v>0</v>
      </c>
      <c r="T232">
        <v>0</v>
      </c>
      <c r="U232">
        <v>3576347</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T232">
        <v>0</v>
      </c>
      <c r="AU232">
        <v>0</v>
      </c>
      <c r="AW232">
        <v>0</v>
      </c>
      <c r="AX232">
        <v>0</v>
      </c>
      <c r="AY232">
        <v>0</v>
      </c>
    </row>
    <row r="233" spans="1:51" x14ac:dyDescent="0.3">
      <c r="A233" s="754">
        <v>644</v>
      </c>
      <c r="B233" t="s">
        <v>1431</v>
      </c>
      <c r="D233">
        <v>0</v>
      </c>
      <c r="E233">
        <v>0</v>
      </c>
      <c r="F233">
        <v>0</v>
      </c>
      <c r="G233">
        <v>0</v>
      </c>
      <c r="H233">
        <v>0</v>
      </c>
      <c r="I233">
        <v>0</v>
      </c>
      <c r="J233">
        <v>0</v>
      </c>
      <c r="K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T233">
        <v>0</v>
      </c>
      <c r="AU233">
        <v>0</v>
      </c>
      <c r="AW233">
        <v>0</v>
      </c>
      <c r="AX233">
        <v>0</v>
      </c>
      <c r="AY233">
        <v>0</v>
      </c>
    </row>
    <row r="234" spans="1:51" x14ac:dyDescent="0.3">
      <c r="A234" s="754">
        <v>645</v>
      </c>
      <c r="B234" t="s">
        <v>363</v>
      </c>
      <c r="D234">
        <v>0</v>
      </c>
      <c r="E234">
        <v>0</v>
      </c>
      <c r="F234">
        <v>0</v>
      </c>
      <c r="G234">
        <v>0</v>
      </c>
      <c r="H234">
        <v>0</v>
      </c>
      <c r="I234">
        <v>0</v>
      </c>
      <c r="J234">
        <v>0</v>
      </c>
      <c r="K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T234">
        <v>0</v>
      </c>
      <c r="AU234">
        <v>0</v>
      </c>
      <c r="AW234">
        <v>0</v>
      </c>
      <c r="AX234">
        <v>0</v>
      </c>
      <c r="AY234">
        <v>0</v>
      </c>
    </row>
    <row r="235" spans="1:51" x14ac:dyDescent="0.3">
      <c r="A235" s="754">
        <v>646</v>
      </c>
      <c r="B235" t="s">
        <v>336</v>
      </c>
      <c r="D235">
        <v>0</v>
      </c>
      <c r="E235">
        <v>0</v>
      </c>
      <c r="F235">
        <v>0</v>
      </c>
      <c r="G235">
        <v>0</v>
      </c>
      <c r="H235">
        <v>0</v>
      </c>
      <c r="I235">
        <v>0</v>
      </c>
      <c r="J235">
        <v>0</v>
      </c>
      <c r="K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T235">
        <v>0</v>
      </c>
      <c r="AU235">
        <v>0</v>
      </c>
      <c r="AW235">
        <v>0</v>
      </c>
      <c r="AX235">
        <v>0</v>
      </c>
      <c r="AY235">
        <v>0</v>
      </c>
    </row>
    <row r="236" spans="1:51" x14ac:dyDescent="0.3">
      <c r="A236" s="754">
        <v>647</v>
      </c>
      <c r="B236" t="s">
        <v>894</v>
      </c>
      <c r="D236">
        <v>0</v>
      </c>
      <c r="E236">
        <v>0</v>
      </c>
      <c r="F236">
        <v>0</v>
      </c>
      <c r="G236">
        <v>0</v>
      </c>
      <c r="H236">
        <v>0</v>
      </c>
      <c r="I236">
        <v>0</v>
      </c>
      <c r="J236">
        <v>0</v>
      </c>
      <c r="K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T236">
        <v>0</v>
      </c>
      <c r="AU236">
        <v>0</v>
      </c>
      <c r="AW236">
        <v>0</v>
      </c>
      <c r="AX236">
        <v>0</v>
      </c>
      <c r="AY236">
        <v>0</v>
      </c>
    </row>
    <row r="237" spans="1:51" x14ac:dyDescent="0.3">
      <c r="A237" s="754">
        <v>648</v>
      </c>
      <c r="B237" t="s">
        <v>552</v>
      </c>
      <c r="D237">
        <v>0</v>
      </c>
      <c r="E237">
        <v>0</v>
      </c>
      <c r="F237">
        <v>0</v>
      </c>
      <c r="G237">
        <v>0</v>
      </c>
      <c r="H237">
        <v>0</v>
      </c>
      <c r="I237">
        <v>0</v>
      </c>
      <c r="J237">
        <v>0</v>
      </c>
      <c r="K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T237">
        <v>0</v>
      </c>
      <c r="AU237">
        <v>0</v>
      </c>
      <c r="AW237">
        <v>0</v>
      </c>
      <c r="AX237">
        <v>0</v>
      </c>
      <c r="AY237">
        <v>0</v>
      </c>
    </row>
    <row r="238" spans="1:51" x14ac:dyDescent="0.3">
      <c r="A238" s="754">
        <v>654</v>
      </c>
      <c r="B238" t="s">
        <v>384</v>
      </c>
      <c r="D238">
        <v>2453861</v>
      </c>
      <c r="E238">
        <v>8325628</v>
      </c>
      <c r="F238">
        <v>9334148</v>
      </c>
      <c r="G238">
        <v>62002892</v>
      </c>
      <c r="H238">
        <v>84296210</v>
      </c>
      <c r="I238">
        <v>37394212</v>
      </c>
      <c r="J238">
        <v>134458225</v>
      </c>
      <c r="K238">
        <v>10588814</v>
      </c>
      <c r="M238">
        <v>4594999</v>
      </c>
      <c r="N238">
        <v>8102644</v>
      </c>
      <c r="O238">
        <v>61821</v>
      </c>
      <c r="P238">
        <v>116781199</v>
      </c>
      <c r="Q238">
        <v>1863019</v>
      </c>
      <c r="R238">
        <v>721689</v>
      </c>
      <c r="S238">
        <v>7597663</v>
      </c>
      <c r="T238">
        <v>955520</v>
      </c>
      <c r="U238">
        <v>32854368</v>
      </c>
      <c r="V238">
        <v>4355185</v>
      </c>
      <c r="W238">
        <v>876493</v>
      </c>
      <c r="X238">
        <v>4334155</v>
      </c>
      <c r="Y238">
        <v>3279953</v>
      </c>
      <c r="Z238">
        <v>1511210</v>
      </c>
      <c r="AA238">
        <v>2228303</v>
      </c>
      <c r="AB238">
        <v>1200747</v>
      </c>
      <c r="AC238">
        <v>11689736</v>
      </c>
      <c r="AD238">
        <v>4030969</v>
      </c>
      <c r="AE238">
        <v>633009</v>
      </c>
      <c r="AF238">
        <v>49448210</v>
      </c>
      <c r="AG238">
        <v>38127298</v>
      </c>
      <c r="AH238">
        <v>19161138</v>
      </c>
      <c r="AI238">
        <v>14767679</v>
      </c>
      <c r="AJ238">
        <v>666061</v>
      </c>
      <c r="AK238">
        <v>1178483</v>
      </c>
      <c r="AL238">
        <v>31028491</v>
      </c>
      <c r="AM238">
        <v>4119240</v>
      </c>
      <c r="AN238">
        <v>9492937</v>
      </c>
      <c r="AO238">
        <v>2621483</v>
      </c>
      <c r="AP238">
        <v>2535641</v>
      </c>
      <c r="AQ238">
        <v>1760833</v>
      </c>
      <c r="AR238">
        <v>334222</v>
      </c>
      <c r="AT238">
        <v>16128146</v>
      </c>
      <c r="AU238">
        <v>0</v>
      </c>
      <c r="AW238">
        <v>40545</v>
      </c>
      <c r="AX238">
        <v>3864465</v>
      </c>
      <c r="AY238">
        <v>2971286</v>
      </c>
    </row>
    <row r="239" spans="1:51" x14ac:dyDescent="0.3">
      <c r="A239" s="754">
        <v>655</v>
      </c>
      <c r="B239" t="s">
        <v>895</v>
      </c>
      <c r="D239">
        <v>494973</v>
      </c>
      <c r="E239">
        <v>717705</v>
      </c>
      <c r="F239">
        <v>214246</v>
      </c>
      <c r="G239">
        <v>788447</v>
      </c>
      <c r="H239">
        <v>7428433</v>
      </c>
      <c r="I239">
        <v>282540</v>
      </c>
      <c r="J239">
        <v>46401158</v>
      </c>
      <c r="K239">
        <v>0</v>
      </c>
      <c r="M239">
        <v>1244261</v>
      </c>
      <c r="N239">
        <v>968049</v>
      </c>
      <c r="O239">
        <v>688</v>
      </c>
      <c r="P239">
        <v>62209708</v>
      </c>
      <c r="Q239">
        <v>86208</v>
      </c>
      <c r="R239">
        <v>0</v>
      </c>
      <c r="S239">
        <v>368616</v>
      </c>
      <c r="T239">
        <v>4600</v>
      </c>
      <c r="U239">
        <v>2391419</v>
      </c>
      <c r="V239">
        <v>292092</v>
      </c>
      <c r="W239">
        <v>199854</v>
      </c>
      <c r="X239">
        <v>194131</v>
      </c>
      <c r="Y239">
        <v>0</v>
      </c>
      <c r="Z239">
        <v>54700</v>
      </c>
      <c r="AA239">
        <v>799064</v>
      </c>
      <c r="AB239">
        <v>0</v>
      </c>
      <c r="AC239">
        <v>3832700</v>
      </c>
      <c r="AD239">
        <v>479874</v>
      </c>
      <c r="AE239">
        <v>13830</v>
      </c>
      <c r="AF239">
        <v>0</v>
      </c>
      <c r="AG239">
        <v>24199259</v>
      </c>
      <c r="AH239">
        <v>0</v>
      </c>
      <c r="AI239">
        <v>549550</v>
      </c>
      <c r="AJ239">
        <v>0</v>
      </c>
      <c r="AK239">
        <v>0</v>
      </c>
      <c r="AL239">
        <v>0</v>
      </c>
      <c r="AM239">
        <v>252052</v>
      </c>
      <c r="AN239">
        <v>742814</v>
      </c>
      <c r="AO239">
        <v>210665</v>
      </c>
      <c r="AP239">
        <v>158043</v>
      </c>
      <c r="AQ239">
        <v>407325</v>
      </c>
      <c r="AR239">
        <v>0</v>
      </c>
      <c r="AT239">
        <v>947836</v>
      </c>
      <c r="AU239">
        <v>0</v>
      </c>
      <c r="AW239">
        <v>630</v>
      </c>
      <c r="AX239">
        <v>74355</v>
      </c>
      <c r="AY239">
        <v>0</v>
      </c>
    </row>
    <row r="240" spans="1:51" x14ac:dyDescent="0.3">
      <c r="A240" s="754">
        <v>656</v>
      </c>
      <c r="B240" t="s">
        <v>389</v>
      </c>
      <c r="D240">
        <v>0</v>
      </c>
      <c r="E240">
        <v>0</v>
      </c>
      <c r="F240">
        <v>0</v>
      </c>
      <c r="G240">
        <v>0</v>
      </c>
      <c r="H240">
        <v>0</v>
      </c>
      <c r="I240">
        <v>0</v>
      </c>
      <c r="J240">
        <v>0</v>
      </c>
      <c r="K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T240">
        <v>0</v>
      </c>
      <c r="AU240">
        <v>0</v>
      </c>
      <c r="AW240">
        <v>0</v>
      </c>
      <c r="AX240">
        <v>0</v>
      </c>
      <c r="AY240">
        <v>0</v>
      </c>
    </row>
    <row r="241" spans="1:51" x14ac:dyDescent="0.3">
      <c r="A241" s="754">
        <v>657</v>
      </c>
      <c r="B241" t="s">
        <v>896</v>
      </c>
      <c r="D241">
        <v>0</v>
      </c>
      <c r="E241">
        <v>0</v>
      </c>
      <c r="F241">
        <v>0</v>
      </c>
      <c r="G241">
        <v>0</v>
      </c>
      <c r="H241">
        <v>0</v>
      </c>
      <c r="I241">
        <v>0</v>
      </c>
      <c r="J241">
        <v>0</v>
      </c>
      <c r="K241">
        <v>0</v>
      </c>
      <c r="M241">
        <v>0</v>
      </c>
      <c r="N241">
        <v>0</v>
      </c>
      <c r="O241">
        <v>0</v>
      </c>
      <c r="P241">
        <v>255853222</v>
      </c>
      <c r="Q241">
        <v>0</v>
      </c>
      <c r="R241">
        <v>0</v>
      </c>
      <c r="S241">
        <v>0</v>
      </c>
      <c r="T241">
        <v>0</v>
      </c>
      <c r="U241">
        <v>80770486</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T241">
        <v>0</v>
      </c>
      <c r="AU241">
        <v>0</v>
      </c>
      <c r="AW241">
        <v>0</v>
      </c>
      <c r="AX241">
        <v>0</v>
      </c>
      <c r="AY241">
        <v>0</v>
      </c>
    </row>
    <row r="242" spans="1:51" x14ac:dyDescent="0.3">
      <c r="A242" s="754">
        <v>658</v>
      </c>
      <c r="B242" t="s">
        <v>897</v>
      </c>
      <c r="D242">
        <v>0</v>
      </c>
      <c r="E242">
        <v>0</v>
      </c>
      <c r="F242">
        <v>0</v>
      </c>
      <c r="G242">
        <v>0</v>
      </c>
      <c r="H242">
        <v>0</v>
      </c>
      <c r="I242">
        <v>0</v>
      </c>
      <c r="J242">
        <v>0</v>
      </c>
      <c r="K242">
        <v>0</v>
      </c>
      <c r="M242">
        <v>0</v>
      </c>
      <c r="N242">
        <v>0</v>
      </c>
      <c r="O242">
        <v>0</v>
      </c>
      <c r="P242">
        <v>90714237</v>
      </c>
      <c r="Q242">
        <v>0</v>
      </c>
      <c r="R242">
        <v>0</v>
      </c>
      <c r="S242">
        <v>0</v>
      </c>
      <c r="T242">
        <v>0</v>
      </c>
      <c r="U242">
        <v>3576347</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T242">
        <v>0</v>
      </c>
      <c r="AU242">
        <v>0</v>
      </c>
      <c r="AW242">
        <v>0</v>
      </c>
      <c r="AX242">
        <v>0</v>
      </c>
      <c r="AY242">
        <v>0</v>
      </c>
    </row>
    <row r="243" spans="1:51" x14ac:dyDescent="0.3">
      <c r="A243" s="754">
        <v>659</v>
      </c>
      <c r="B243" t="s">
        <v>898</v>
      </c>
      <c r="D243">
        <v>0</v>
      </c>
      <c r="E243">
        <v>0</v>
      </c>
      <c r="F243">
        <v>0</v>
      </c>
      <c r="G243">
        <v>0</v>
      </c>
      <c r="H243">
        <v>3674000</v>
      </c>
      <c r="I243">
        <v>0</v>
      </c>
      <c r="J243">
        <v>7220979</v>
      </c>
      <c r="K243">
        <v>2589051</v>
      </c>
      <c r="M243">
        <v>1186683</v>
      </c>
      <c r="N243">
        <v>2373545</v>
      </c>
      <c r="O243">
        <v>0</v>
      </c>
      <c r="P243">
        <v>34859961</v>
      </c>
      <c r="Q243">
        <v>0</v>
      </c>
      <c r="R243">
        <v>0</v>
      </c>
      <c r="S243">
        <v>0</v>
      </c>
      <c r="T243">
        <v>0</v>
      </c>
      <c r="U243">
        <v>39152706</v>
      </c>
      <c r="V243">
        <v>0</v>
      </c>
      <c r="W243">
        <v>0</v>
      </c>
      <c r="X243">
        <v>0</v>
      </c>
      <c r="Y243">
        <v>0</v>
      </c>
      <c r="Z243">
        <v>0</v>
      </c>
      <c r="AA243">
        <v>0</v>
      </c>
      <c r="AB243">
        <v>0</v>
      </c>
      <c r="AC243">
        <v>0</v>
      </c>
      <c r="AD243">
        <v>0</v>
      </c>
      <c r="AE243">
        <v>0</v>
      </c>
      <c r="AF243">
        <v>5713069</v>
      </c>
      <c r="AG243">
        <v>16637731</v>
      </c>
      <c r="AH243">
        <v>0</v>
      </c>
      <c r="AI243">
        <v>3813984</v>
      </c>
      <c r="AJ243">
        <v>0</v>
      </c>
      <c r="AK243">
        <v>0</v>
      </c>
      <c r="AL243">
        <v>0</v>
      </c>
      <c r="AM243">
        <v>0</v>
      </c>
      <c r="AN243">
        <v>0</v>
      </c>
      <c r="AO243">
        <v>0</v>
      </c>
      <c r="AP243">
        <v>0</v>
      </c>
      <c r="AQ243">
        <v>0</v>
      </c>
      <c r="AR243">
        <v>0</v>
      </c>
      <c r="AT243">
        <v>2521785</v>
      </c>
      <c r="AU243">
        <v>0</v>
      </c>
      <c r="AW243">
        <v>0</v>
      </c>
      <c r="AX243">
        <v>0</v>
      </c>
      <c r="AY243">
        <v>0</v>
      </c>
    </row>
    <row r="244" spans="1:51" x14ac:dyDescent="0.3">
      <c r="A244" s="754">
        <v>660</v>
      </c>
      <c r="B244" t="s">
        <v>899</v>
      </c>
      <c r="D244">
        <v>0</v>
      </c>
      <c r="E244">
        <v>0</v>
      </c>
      <c r="F244">
        <v>0</v>
      </c>
      <c r="G244">
        <v>0</v>
      </c>
      <c r="H244">
        <v>0</v>
      </c>
      <c r="I244">
        <v>0</v>
      </c>
      <c r="J244">
        <v>0</v>
      </c>
      <c r="K244">
        <v>0</v>
      </c>
      <c r="M244">
        <v>0</v>
      </c>
      <c r="N244">
        <v>0</v>
      </c>
      <c r="O244">
        <v>0</v>
      </c>
      <c r="P244">
        <v>0</v>
      </c>
      <c r="Q244">
        <v>0</v>
      </c>
      <c r="R244">
        <v>0</v>
      </c>
      <c r="S244">
        <v>0</v>
      </c>
      <c r="T244">
        <v>0</v>
      </c>
      <c r="U244">
        <v>7005050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T244">
        <v>0</v>
      </c>
      <c r="AU244">
        <v>0</v>
      </c>
      <c r="AW244">
        <v>0</v>
      </c>
      <c r="AX244">
        <v>0</v>
      </c>
      <c r="AY244">
        <v>0</v>
      </c>
    </row>
    <row r="245" spans="1:51" x14ac:dyDescent="0.3">
      <c r="A245" s="754">
        <v>661</v>
      </c>
      <c r="B245" t="s">
        <v>388</v>
      </c>
      <c r="D245">
        <v>0</v>
      </c>
      <c r="E245">
        <v>0</v>
      </c>
      <c r="F245">
        <v>0</v>
      </c>
      <c r="G245">
        <v>0</v>
      </c>
      <c r="H245">
        <v>0</v>
      </c>
      <c r="I245">
        <v>0</v>
      </c>
      <c r="J245">
        <v>0</v>
      </c>
      <c r="K245">
        <v>0</v>
      </c>
      <c r="M245">
        <v>0</v>
      </c>
      <c r="N245">
        <v>0</v>
      </c>
      <c r="O245">
        <v>0</v>
      </c>
      <c r="P245">
        <v>0</v>
      </c>
      <c r="Q245">
        <v>0</v>
      </c>
      <c r="R245">
        <v>0</v>
      </c>
      <c r="S245">
        <v>0</v>
      </c>
      <c r="T245">
        <v>0</v>
      </c>
      <c r="U245">
        <v>17.899999999999999</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T245">
        <v>0</v>
      </c>
      <c r="AU245">
        <v>0</v>
      </c>
      <c r="AW245">
        <v>0</v>
      </c>
      <c r="AX245">
        <v>0</v>
      </c>
      <c r="AY245">
        <v>0</v>
      </c>
    </row>
    <row r="246" spans="1:51" x14ac:dyDescent="0.3">
      <c r="A246" s="754">
        <v>662</v>
      </c>
      <c r="B246" t="s">
        <v>418</v>
      </c>
      <c r="J246">
        <v>0</v>
      </c>
      <c r="X246">
        <v>0</v>
      </c>
      <c r="AG246">
        <v>0</v>
      </c>
      <c r="AY246">
        <v>0</v>
      </c>
    </row>
    <row r="247" spans="1:51" x14ac:dyDescent="0.3">
      <c r="A247" s="754">
        <v>663</v>
      </c>
      <c r="B247" t="s">
        <v>900</v>
      </c>
      <c r="J247">
        <v>0</v>
      </c>
      <c r="X247">
        <v>0</v>
      </c>
      <c r="AG247">
        <v>0</v>
      </c>
      <c r="AY247">
        <v>0</v>
      </c>
    </row>
    <row r="248" spans="1:51" x14ac:dyDescent="0.3">
      <c r="A248" s="754">
        <v>906</v>
      </c>
      <c r="B248" t="s">
        <v>901</v>
      </c>
      <c r="D248">
        <v>1</v>
      </c>
      <c r="E248">
        <v>1</v>
      </c>
      <c r="F248">
        <v>1</v>
      </c>
      <c r="G248">
        <v>1</v>
      </c>
      <c r="H248">
        <v>1</v>
      </c>
      <c r="I248">
        <v>1</v>
      </c>
      <c r="J248">
        <v>1</v>
      </c>
      <c r="K248">
        <v>1</v>
      </c>
      <c r="M248">
        <v>1</v>
      </c>
      <c r="N248">
        <v>1</v>
      </c>
      <c r="O248">
        <v>1</v>
      </c>
      <c r="P248">
        <v>1</v>
      </c>
      <c r="Q248">
        <v>1</v>
      </c>
      <c r="R248">
        <v>1</v>
      </c>
      <c r="S248">
        <v>1</v>
      </c>
      <c r="T248">
        <v>1</v>
      </c>
      <c r="U248">
        <v>1</v>
      </c>
      <c r="V248">
        <v>1</v>
      </c>
      <c r="W248">
        <v>1</v>
      </c>
      <c r="X248">
        <v>1</v>
      </c>
      <c r="Y248">
        <v>1</v>
      </c>
      <c r="Z248">
        <v>1</v>
      </c>
      <c r="AA248">
        <v>1</v>
      </c>
      <c r="AB248">
        <v>1</v>
      </c>
      <c r="AC248">
        <v>1</v>
      </c>
      <c r="AD248">
        <v>1</v>
      </c>
      <c r="AE248">
        <v>1</v>
      </c>
      <c r="AF248">
        <v>1</v>
      </c>
      <c r="AG248">
        <v>1</v>
      </c>
      <c r="AH248">
        <v>1</v>
      </c>
      <c r="AI248">
        <v>1</v>
      </c>
      <c r="AJ248">
        <v>1</v>
      </c>
      <c r="AK248">
        <v>1</v>
      </c>
      <c r="AL248">
        <v>1</v>
      </c>
      <c r="AM248">
        <v>1</v>
      </c>
      <c r="AN248">
        <v>1</v>
      </c>
      <c r="AO248">
        <v>1</v>
      </c>
      <c r="AP248">
        <v>1</v>
      </c>
      <c r="AQ248">
        <v>1</v>
      </c>
      <c r="AR248">
        <v>1</v>
      </c>
      <c r="AT248">
        <v>1</v>
      </c>
      <c r="AU248">
        <v>1</v>
      </c>
      <c r="AW248">
        <v>1</v>
      </c>
      <c r="AX248">
        <v>1</v>
      </c>
      <c r="AY248">
        <v>1</v>
      </c>
    </row>
    <row r="249" spans="1:51" x14ac:dyDescent="0.3">
      <c r="A249" s="754">
        <v>907</v>
      </c>
      <c r="B249" t="s">
        <v>902</v>
      </c>
      <c r="D249">
        <v>1</v>
      </c>
      <c r="E249">
        <v>2</v>
      </c>
      <c r="F249">
        <v>2</v>
      </c>
      <c r="G249">
        <v>2</v>
      </c>
      <c r="H249">
        <v>2</v>
      </c>
      <c r="I249">
        <v>2</v>
      </c>
      <c r="J249">
        <v>2</v>
      </c>
      <c r="K249">
        <v>2</v>
      </c>
      <c r="M249">
        <v>1</v>
      </c>
      <c r="N249">
        <v>2</v>
      </c>
      <c r="O249">
        <v>1</v>
      </c>
      <c r="P249">
        <v>2</v>
      </c>
      <c r="Q249">
        <v>2</v>
      </c>
      <c r="R249">
        <v>2</v>
      </c>
      <c r="S249">
        <v>2</v>
      </c>
      <c r="T249">
        <v>2</v>
      </c>
      <c r="U249">
        <v>2</v>
      </c>
      <c r="V249">
        <v>1</v>
      </c>
      <c r="W249">
        <v>2</v>
      </c>
      <c r="X249">
        <v>2</v>
      </c>
      <c r="Y249">
        <v>2</v>
      </c>
      <c r="Z249">
        <v>2</v>
      </c>
      <c r="AA249">
        <v>2</v>
      </c>
      <c r="AB249">
        <v>1</v>
      </c>
      <c r="AC249">
        <v>2</v>
      </c>
      <c r="AD249">
        <v>2</v>
      </c>
      <c r="AE249">
        <v>2</v>
      </c>
      <c r="AF249">
        <v>2</v>
      </c>
      <c r="AG249">
        <v>2</v>
      </c>
      <c r="AH249">
        <v>2</v>
      </c>
      <c r="AI249">
        <v>2</v>
      </c>
      <c r="AJ249">
        <v>2</v>
      </c>
      <c r="AK249">
        <v>2</v>
      </c>
      <c r="AL249">
        <v>2</v>
      </c>
      <c r="AM249">
        <v>1</v>
      </c>
      <c r="AN249">
        <v>2</v>
      </c>
      <c r="AO249">
        <v>2</v>
      </c>
      <c r="AP249">
        <v>2</v>
      </c>
      <c r="AQ249">
        <v>2</v>
      </c>
      <c r="AR249">
        <v>2</v>
      </c>
      <c r="AT249">
        <v>2</v>
      </c>
      <c r="AU249">
        <v>2</v>
      </c>
      <c r="AW249">
        <v>1</v>
      </c>
      <c r="AX249">
        <v>2</v>
      </c>
      <c r="AY249">
        <v>2</v>
      </c>
    </row>
    <row r="250" spans="1:51" x14ac:dyDescent="0.3">
      <c r="A250" s="754">
        <v>947</v>
      </c>
      <c r="B250" t="s">
        <v>903</v>
      </c>
      <c r="D250" t="s">
        <v>1093</v>
      </c>
      <c r="E250" t="s">
        <v>1094</v>
      </c>
      <c r="F250" t="s">
        <v>1095</v>
      </c>
      <c r="G250" t="s">
        <v>1096</v>
      </c>
      <c r="H250" t="s">
        <v>1096</v>
      </c>
      <c r="I250" t="s">
        <v>1097</v>
      </c>
      <c r="J250" t="s">
        <v>1098</v>
      </c>
      <c r="K250" t="s">
        <v>1099</v>
      </c>
      <c r="M250" t="s">
        <v>1100</v>
      </c>
      <c r="N250" t="s">
        <v>1101</v>
      </c>
      <c r="O250" t="s">
        <v>1433</v>
      </c>
      <c r="P250" t="s">
        <v>1102</v>
      </c>
      <c r="Q250" t="s">
        <v>1103</v>
      </c>
      <c r="R250" t="s">
        <v>1102</v>
      </c>
      <c r="S250" t="s">
        <v>972</v>
      </c>
      <c r="T250" t="s">
        <v>1104</v>
      </c>
      <c r="U250" t="s">
        <v>1105</v>
      </c>
      <c r="V250" t="s">
        <v>973</v>
      </c>
      <c r="W250" t="s">
        <v>969</v>
      </c>
      <c r="X250" t="s">
        <v>1106</v>
      </c>
      <c r="Y250" t="s">
        <v>1107</v>
      </c>
      <c r="Z250" t="s">
        <v>972</v>
      </c>
      <c r="AA250" t="s">
        <v>904</v>
      </c>
      <c r="AB250" t="s">
        <v>1108</v>
      </c>
      <c r="AC250" t="s">
        <v>1109</v>
      </c>
      <c r="AD250" t="s">
        <v>1110</v>
      </c>
      <c r="AE250" t="s">
        <v>1111</v>
      </c>
      <c r="AF250" t="s">
        <v>971</v>
      </c>
      <c r="AG250" t="s">
        <v>1112</v>
      </c>
      <c r="AH250" t="s">
        <v>1113</v>
      </c>
      <c r="AI250" t="s">
        <v>970</v>
      </c>
      <c r="AJ250" t="s">
        <v>1114</v>
      </c>
      <c r="AK250" t="s">
        <v>1115</v>
      </c>
      <c r="AL250" t="s">
        <v>1116</v>
      </c>
      <c r="AM250" t="s">
        <v>1117</v>
      </c>
      <c r="AN250" t="s">
        <v>974</v>
      </c>
      <c r="AO250" t="s">
        <v>1096</v>
      </c>
      <c r="AP250" t="s">
        <v>1118</v>
      </c>
      <c r="AQ250" t="s">
        <v>1119</v>
      </c>
      <c r="AR250" t="s">
        <v>1120</v>
      </c>
      <c r="AT250" t="s">
        <v>968</v>
      </c>
      <c r="AU250" t="s">
        <v>399</v>
      </c>
      <c r="AW250" t="s">
        <v>1121</v>
      </c>
      <c r="AX250" t="s">
        <v>1003</v>
      </c>
      <c r="AY250" t="s">
        <v>1122</v>
      </c>
    </row>
    <row r="251" spans="1:51" x14ac:dyDescent="0.3">
      <c r="A251" s="754">
        <v>948</v>
      </c>
      <c r="B251" t="s">
        <v>905</v>
      </c>
      <c r="D251" t="s">
        <v>1123</v>
      </c>
      <c r="E251" t="s">
        <v>1124</v>
      </c>
      <c r="F251" t="s">
        <v>1125</v>
      </c>
      <c r="G251" t="s">
        <v>1126</v>
      </c>
      <c r="H251" t="s">
        <v>1127</v>
      </c>
      <c r="I251" t="s">
        <v>1004</v>
      </c>
      <c r="J251" t="s">
        <v>1128</v>
      </c>
      <c r="K251" t="s">
        <v>1129</v>
      </c>
      <c r="M251" t="s">
        <v>1130</v>
      </c>
      <c r="N251" t="s">
        <v>1131</v>
      </c>
      <c r="O251" t="s">
        <v>1439</v>
      </c>
      <c r="P251" t="s">
        <v>1132</v>
      </c>
      <c r="Q251" t="s">
        <v>1133</v>
      </c>
      <c r="R251" t="s">
        <v>1134</v>
      </c>
      <c r="S251" t="s">
        <v>1135</v>
      </c>
      <c r="T251" t="s">
        <v>1136</v>
      </c>
      <c r="U251" t="s">
        <v>1137</v>
      </c>
      <c r="V251" t="s">
        <v>1138</v>
      </c>
      <c r="W251" t="s">
        <v>1139</v>
      </c>
      <c r="X251" t="s">
        <v>1140</v>
      </c>
      <c r="Y251" t="s">
        <v>1141</v>
      </c>
      <c r="Z251" t="s">
        <v>977</v>
      </c>
      <c r="AA251" t="s">
        <v>1142</v>
      </c>
      <c r="AB251" t="s">
        <v>1143</v>
      </c>
      <c r="AC251" t="s">
        <v>1144</v>
      </c>
      <c r="AD251" t="s">
        <v>1145</v>
      </c>
      <c r="AE251" t="s">
        <v>1146</v>
      </c>
      <c r="AF251" t="s">
        <v>1147</v>
      </c>
      <c r="AG251" t="s">
        <v>1148</v>
      </c>
      <c r="AH251" t="s">
        <v>1149</v>
      </c>
      <c r="AI251" t="s">
        <v>1150</v>
      </c>
      <c r="AJ251" t="s">
        <v>1151</v>
      </c>
      <c r="AK251" t="s">
        <v>975</v>
      </c>
      <c r="AL251" t="s">
        <v>1152</v>
      </c>
      <c r="AM251" t="s">
        <v>1153</v>
      </c>
      <c r="AN251" t="s">
        <v>1154</v>
      </c>
      <c r="AO251" t="s">
        <v>1155</v>
      </c>
      <c r="AP251" t="s">
        <v>1156</v>
      </c>
      <c r="AQ251" t="s">
        <v>1157</v>
      </c>
      <c r="AR251" t="s">
        <v>976</v>
      </c>
      <c r="AT251" t="s">
        <v>1158</v>
      </c>
      <c r="AU251" t="s">
        <v>399</v>
      </c>
      <c r="AW251" t="s">
        <v>1159</v>
      </c>
      <c r="AX251" t="s">
        <v>1005</v>
      </c>
      <c r="AY251" t="s">
        <v>1160</v>
      </c>
    </row>
    <row r="252" spans="1:51" x14ac:dyDescent="0.3">
      <c r="A252" s="754">
        <v>949</v>
      </c>
      <c r="B252" t="s">
        <v>906</v>
      </c>
      <c r="D252" t="s">
        <v>381</v>
      </c>
      <c r="E252" t="s">
        <v>381</v>
      </c>
      <c r="F252" t="s">
        <v>381</v>
      </c>
      <c r="G252" t="s">
        <v>381</v>
      </c>
      <c r="H252" t="s">
        <v>381</v>
      </c>
      <c r="I252" t="s">
        <v>381</v>
      </c>
      <c r="J252" t="s">
        <v>381</v>
      </c>
      <c r="K252" t="s">
        <v>381</v>
      </c>
      <c r="M252" t="s">
        <v>381</v>
      </c>
      <c r="N252" t="s">
        <v>381</v>
      </c>
      <c r="O252" t="s">
        <v>381</v>
      </c>
      <c r="P252" t="s">
        <v>381</v>
      </c>
      <c r="Q252" t="s">
        <v>381</v>
      </c>
      <c r="R252" t="s">
        <v>381</v>
      </c>
      <c r="S252" t="s">
        <v>381</v>
      </c>
      <c r="T252" t="s">
        <v>381</v>
      </c>
      <c r="U252" t="s">
        <v>381</v>
      </c>
      <c r="V252" t="s">
        <v>381</v>
      </c>
      <c r="W252" t="s">
        <v>1006</v>
      </c>
      <c r="X252" t="s">
        <v>381</v>
      </c>
      <c r="Y252" t="s">
        <v>381</v>
      </c>
      <c r="Z252" t="s">
        <v>381</v>
      </c>
      <c r="AA252" t="s">
        <v>381</v>
      </c>
      <c r="AB252" t="s">
        <v>381</v>
      </c>
      <c r="AC252" t="s">
        <v>381</v>
      </c>
      <c r="AD252" t="s">
        <v>381</v>
      </c>
      <c r="AE252" t="s">
        <v>381</v>
      </c>
      <c r="AF252" t="s">
        <v>381</v>
      </c>
      <c r="AG252" t="s">
        <v>381</v>
      </c>
      <c r="AH252" t="s">
        <v>381</v>
      </c>
      <c r="AI252" t="s">
        <v>381</v>
      </c>
      <c r="AJ252" t="s">
        <v>381</v>
      </c>
      <c r="AK252" t="s">
        <v>381</v>
      </c>
      <c r="AL252" t="s">
        <v>381</v>
      </c>
      <c r="AM252" t="s">
        <v>381</v>
      </c>
      <c r="AN252" t="s">
        <v>381</v>
      </c>
      <c r="AO252" t="s">
        <v>381</v>
      </c>
      <c r="AP252" t="s">
        <v>381</v>
      </c>
      <c r="AQ252" t="s">
        <v>381</v>
      </c>
      <c r="AR252" t="s">
        <v>381</v>
      </c>
      <c r="AT252" t="s">
        <v>398</v>
      </c>
      <c r="AU252" t="s">
        <v>399</v>
      </c>
      <c r="AW252" t="s">
        <v>381</v>
      </c>
      <c r="AX252" t="s">
        <v>398</v>
      </c>
      <c r="AY252" t="s">
        <v>398</v>
      </c>
    </row>
    <row r="253" spans="1:51" x14ac:dyDescent="0.3">
      <c r="A253" s="754">
        <v>950</v>
      </c>
      <c r="B253" t="s">
        <v>907</v>
      </c>
      <c r="D253" t="s">
        <v>50</v>
      </c>
      <c r="E253" t="s">
        <v>50</v>
      </c>
      <c r="F253" t="s">
        <v>1007</v>
      </c>
      <c r="G253" t="s">
        <v>50</v>
      </c>
      <c r="H253" t="s">
        <v>50</v>
      </c>
      <c r="I253" t="s">
        <v>50</v>
      </c>
      <c r="J253" t="s">
        <v>50</v>
      </c>
      <c r="K253" t="s">
        <v>50</v>
      </c>
      <c r="M253" t="s">
        <v>50</v>
      </c>
      <c r="N253" t="s">
        <v>50</v>
      </c>
      <c r="O253" t="s">
        <v>50</v>
      </c>
      <c r="P253" t="s">
        <v>50</v>
      </c>
      <c r="Q253" t="s">
        <v>50</v>
      </c>
      <c r="R253" t="s">
        <v>50</v>
      </c>
      <c r="S253" t="s">
        <v>50</v>
      </c>
      <c r="T253" t="s">
        <v>50</v>
      </c>
      <c r="U253" t="s">
        <v>50</v>
      </c>
      <c r="V253" t="s">
        <v>50</v>
      </c>
      <c r="W253" t="s">
        <v>50</v>
      </c>
      <c r="X253" t="s">
        <v>50</v>
      </c>
      <c r="Y253" t="s">
        <v>50</v>
      </c>
      <c r="Z253" t="s">
        <v>50</v>
      </c>
      <c r="AA253" t="s">
        <v>50</v>
      </c>
      <c r="AB253" t="s">
        <v>50</v>
      </c>
      <c r="AC253" t="s">
        <v>50</v>
      </c>
      <c r="AD253" t="s">
        <v>50</v>
      </c>
      <c r="AE253" t="s">
        <v>50</v>
      </c>
      <c r="AF253" t="s">
        <v>50</v>
      </c>
      <c r="AG253" t="s">
        <v>50</v>
      </c>
      <c r="AH253" t="s">
        <v>50</v>
      </c>
      <c r="AI253" t="s">
        <v>50</v>
      </c>
      <c r="AJ253" t="s">
        <v>50</v>
      </c>
      <c r="AK253" t="s">
        <v>51</v>
      </c>
      <c r="AL253" t="s">
        <v>50</v>
      </c>
      <c r="AM253" t="s">
        <v>50</v>
      </c>
      <c r="AN253" t="s">
        <v>50</v>
      </c>
      <c r="AO253" t="s">
        <v>50</v>
      </c>
      <c r="AP253" t="s">
        <v>50</v>
      </c>
      <c r="AQ253" t="s">
        <v>50</v>
      </c>
      <c r="AR253" t="s">
        <v>50</v>
      </c>
      <c r="AT253" t="s">
        <v>50</v>
      </c>
      <c r="AU253" t="s">
        <v>51</v>
      </c>
      <c r="AW253" t="s">
        <v>50</v>
      </c>
      <c r="AX253" t="s">
        <v>50</v>
      </c>
      <c r="AY253" t="s">
        <v>50</v>
      </c>
    </row>
    <row r="254" spans="1:51" x14ac:dyDescent="0.3">
      <c r="A254" s="754">
        <v>951</v>
      </c>
      <c r="B254" t="s">
        <v>908</v>
      </c>
      <c r="D254">
        <v>2</v>
      </c>
      <c r="E254">
        <v>2</v>
      </c>
      <c r="F254">
        <v>2</v>
      </c>
      <c r="G254">
        <v>2</v>
      </c>
      <c r="H254">
        <v>2</v>
      </c>
      <c r="I254">
        <v>2</v>
      </c>
      <c r="J254">
        <v>2</v>
      </c>
      <c r="K254">
        <v>2</v>
      </c>
      <c r="M254">
        <v>2</v>
      </c>
      <c r="N254">
        <v>2</v>
      </c>
      <c r="O254">
        <v>1</v>
      </c>
      <c r="P254">
        <v>2</v>
      </c>
      <c r="Q254">
        <v>2</v>
      </c>
      <c r="R254">
        <v>2</v>
      </c>
      <c r="S254">
        <v>2</v>
      </c>
      <c r="T254">
        <v>2</v>
      </c>
      <c r="U254">
        <v>2</v>
      </c>
      <c r="V254">
        <v>2</v>
      </c>
      <c r="W254">
        <v>2</v>
      </c>
      <c r="X254">
        <v>2</v>
      </c>
      <c r="Y254">
        <v>2</v>
      </c>
      <c r="Z254">
        <v>2</v>
      </c>
      <c r="AA254">
        <v>2</v>
      </c>
      <c r="AB254">
        <v>2</v>
      </c>
      <c r="AC254">
        <v>2</v>
      </c>
      <c r="AD254">
        <v>2</v>
      </c>
      <c r="AE254">
        <v>2</v>
      </c>
      <c r="AF254">
        <v>2</v>
      </c>
      <c r="AG254">
        <v>2</v>
      </c>
      <c r="AH254">
        <v>2</v>
      </c>
      <c r="AI254">
        <v>2</v>
      </c>
      <c r="AJ254">
        <v>2</v>
      </c>
      <c r="AK254">
        <v>2</v>
      </c>
      <c r="AL254">
        <v>2</v>
      </c>
      <c r="AM254">
        <v>2</v>
      </c>
      <c r="AN254">
        <v>2</v>
      </c>
      <c r="AO254">
        <v>2</v>
      </c>
      <c r="AP254">
        <v>2</v>
      </c>
      <c r="AQ254">
        <v>2</v>
      </c>
      <c r="AR254">
        <v>2</v>
      </c>
      <c r="AT254">
        <v>2</v>
      </c>
      <c r="AU254">
        <v>2</v>
      </c>
      <c r="AW254">
        <v>2</v>
      </c>
      <c r="AX254">
        <v>2</v>
      </c>
      <c r="AY254">
        <v>2</v>
      </c>
    </row>
    <row r="255" spans="1:51" x14ac:dyDescent="0.3">
      <c r="A255" s="754">
        <v>952</v>
      </c>
      <c r="B255" t="s">
        <v>909</v>
      </c>
      <c r="D255" t="s">
        <v>1000</v>
      </c>
      <c r="F255" t="s">
        <v>1008</v>
      </c>
      <c r="H255" t="s">
        <v>1161</v>
      </c>
      <c r="I255" t="s">
        <v>1162</v>
      </c>
      <c r="J255" t="s">
        <v>1163</v>
      </c>
      <c r="K255" t="s">
        <v>1164</v>
      </c>
      <c r="M255" t="s">
        <v>1165</v>
      </c>
      <c r="O255" t="s">
        <v>1583</v>
      </c>
      <c r="P255" t="s">
        <v>1166</v>
      </c>
      <c r="Q255" t="s">
        <v>979</v>
      </c>
      <c r="S255" t="s">
        <v>910</v>
      </c>
      <c r="T255" t="s">
        <v>910</v>
      </c>
      <c r="U255" t="s">
        <v>1167</v>
      </c>
      <c r="V255" t="s">
        <v>1168</v>
      </c>
      <c r="W255" t="s">
        <v>980</v>
      </c>
      <c r="X255" t="s">
        <v>1169</v>
      </c>
      <c r="Y255" t="s">
        <v>1170</v>
      </c>
      <c r="Z255" t="s">
        <v>1171</v>
      </c>
      <c r="AA255" t="s">
        <v>1172</v>
      </c>
      <c r="AB255" t="s">
        <v>1173</v>
      </c>
      <c r="AC255" t="s">
        <v>981</v>
      </c>
      <c r="AE255" t="s">
        <v>1174</v>
      </c>
      <c r="AF255" t="s">
        <v>1175</v>
      </c>
      <c r="AG255" t="s">
        <v>1176</v>
      </c>
      <c r="AH255" t="s">
        <v>1177</v>
      </c>
      <c r="AI255" t="s">
        <v>1178</v>
      </c>
      <c r="AJ255" t="s">
        <v>1179</v>
      </c>
      <c r="AL255" t="s">
        <v>999</v>
      </c>
      <c r="AM255" t="s">
        <v>1180</v>
      </c>
      <c r="AO255" t="s">
        <v>1001</v>
      </c>
      <c r="AQ255" t="s">
        <v>1181</v>
      </c>
      <c r="AR255" t="s">
        <v>1182</v>
      </c>
      <c r="AT255" t="s">
        <v>1183</v>
      </c>
      <c r="AW255" t="s">
        <v>1184</v>
      </c>
      <c r="AX255" t="s">
        <v>910</v>
      </c>
      <c r="AY255" t="s">
        <v>913</v>
      </c>
    </row>
    <row r="256" spans="1:51" x14ac:dyDescent="0.3">
      <c r="A256" s="754">
        <v>953</v>
      </c>
      <c r="B256" t="s">
        <v>914</v>
      </c>
      <c r="D256">
        <v>2</v>
      </c>
      <c r="E256">
        <v>2</v>
      </c>
      <c r="F256">
        <v>2</v>
      </c>
      <c r="G256">
        <v>2</v>
      </c>
      <c r="H256">
        <v>2</v>
      </c>
      <c r="I256">
        <v>2</v>
      </c>
      <c r="J256">
        <v>2</v>
      </c>
      <c r="K256">
        <v>2</v>
      </c>
      <c r="M256">
        <v>2</v>
      </c>
      <c r="N256">
        <v>2</v>
      </c>
      <c r="O256">
        <v>2</v>
      </c>
      <c r="P256">
        <v>2</v>
      </c>
      <c r="Q256">
        <v>2</v>
      </c>
      <c r="R256">
        <v>2</v>
      </c>
      <c r="S256">
        <v>2</v>
      </c>
      <c r="T256">
        <v>2</v>
      </c>
      <c r="U256">
        <v>2</v>
      </c>
      <c r="V256">
        <v>2</v>
      </c>
      <c r="W256">
        <v>2</v>
      </c>
      <c r="X256">
        <v>2</v>
      </c>
      <c r="Y256">
        <v>2</v>
      </c>
      <c r="Z256">
        <v>2</v>
      </c>
      <c r="AA256">
        <v>2</v>
      </c>
      <c r="AB256">
        <v>2</v>
      </c>
      <c r="AC256">
        <v>2</v>
      </c>
      <c r="AD256">
        <v>2</v>
      </c>
      <c r="AE256">
        <v>2</v>
      </c>
      <c r="AF256">
        <v>2</v>
      </c>
      <c r="AG256">
        <v>2</v>
      </c>
      <c r="AH256">
        <v>2</v>
      </c>
      <c r="AI256">
        <v>2</v>
      </c>
      <c r="AJ256">
        <v>2</v>
      </c>
      <c r="AK256">
        <v>2</v>
      </c>
      <c r="AL256">
        <v>2</v>
      </c>
      <c r="AM256">
        <v>2</v>
      </c>
      <c r="AN256">
        <v>2</v>
      </c>
      <c r="AO256">
        <v>2</v>
      </c>
      <c r="AP256">
        <v>2</v>
      </c>
      <c r="AQ256">
        <v>2</v>
      </c>
      <c r="AR256">
        <v>2</v>
      </c>
      <c r="AT256">
        <v>2</v>
      </c>
      <c r="AU256">
        <v>2</v>
      </c>
      <c r="AW256">
        <v>2</v>
      </c>
      <c r="AX256">
        <v>2</v>
      </c>
      <c r="AY256">
        <v>2</v>
      </c>
    </row>
    <row r="257" spans="1:51" x14ac:dyDescent="0.3">
      <c r="A257" s="754">
        <v>954</v>
      </c>
      <c r="B257" t="s">
        <v>379</v>
      </c>
      <c r="D257" t="s">
        <v>50</v>
      </c>
      <c r="E257" t="s">
        <v>50</v>
      </c>
      <c r="F257" t="s">
        <v>1007</v>
      </c>
      <c r="G257" t="s">
        <v>50</v>
      </c>
      <c r="H257" t="s">
        <v>50</v>
      </c>
      <c r="I257" t="s">
        <v>50</v>
      </c>
      <c r="J257" t="s">
        <v>50</v>
      </c>
      <c r="K257" t="s">
        <v>50</v>
      </c>
      <c r="M257" t="s">
        <v>50</v>
      </c>
      <c r="N257" t="s">
        <v>50</v>
      </c>
      <c r="O257" t="s">
        <v>51</v>
      </c>
      <c r="P257" t="s">
        <v>50</v>
      </c>
      <c r="Q257" t="s">
        <v>50</v>
      </c>
      <c r="R257" t="s">
        <v>50</v>
      </c>
      <c r="S257" t="s">
        <v>50</v>
      </c>
      <c r="T257" t="s">
        <v>50</v>
      </c>
      <c r="U257" t="s">
        <v>50</v>
      </c>
      <c r="V257" t="s">
        <v>50</v>
      </c>
      <c r="W257" t="s">
        <v>50</v>
      </c>
      <c r="X257" t="s">
        <v>50</v>
      </c>
      <c r="Y257" t="s">
        <v>50</v>
      </c>
      <c r="Z257" t="s">
        <v>50</v>
      </c>
      <c r="AA257" t="s">
        <v>50</v>
      </c>
      <c r="AB257" t="s">
        <v>50</v>
      </c>
      <c r="AC257" t="s">
        <v>50</v>
      </c>
      <c r="AD257" t="s">
        <v>50</v>
      </c>
      <c r="AE257" t="s">
        <v>50</v>
      </c>
      <c r="AF257" t="s">
        <v>50</v>
      </c>
      <c r="AG257" t="s">
        <v>50</v>
      </c>
      <c r="AH257" t="s">
        <v>50</v>
      </c>
      <c r="AI257" t="s">
        <v>50</v>
      </c>
      <c r="AJ257" t="s">
        <v>50</v>
      </c>
      <c r="AK257" t="s">
        <v>50</v>
      </c>
      <c r="AL257" t="s">
        <v>50</v>
      </c>
      <c r="AM257" t="s">
        <v>50</v>
      </c>
      <c r="AN257" t="s">
        <v>50</v>
      </c>
      <c r="AO257" t="s">
        <v>50</v>
      </c>
      <c r="AP257" t="s">
        <v>50</v>
      </c>
      <c r="AQ257" t="s">
        <v>50</v>
      </c>
      <c r="AR257" t="s">
        <v>50</v>
      </c>
      <c r="AT257" t="s">
        <v>50</v>
      </c>
      <c r="AU257" t="s">
        <v>51</v>
      </c>
      <c r="AW257" t="s">
        <v>50</v>
      </c>
      <c r="AX257" t="s">
        <v>50</v>
      </c>
      <c r="AY257" t="s">
        <v>50</v>
      </c>
    </row>
    <row r="258" spans="1:51" x14ac:dyDescent="0.3">
      <c r="A258" s="754">
        <v>955</v>
      </c>
      <c r="B258" t="s">
        <v>915</v>
      </c>
      <c r="D258">
        <v>2</v>
      </c>
      <c r="E258">
        <v>0</v>
      </c>
      <c r="F258">
        <v>0</v>
      </c>
      <c r="G258">
        <v>0</v>
      </c>
      <c r="H258">
        <v>0</v>
      </c>
      <c r="I258">
        <v>0</v>
      </c>
      <c r="J258">
        <v>0</v>
      </c>
      <c r="K258">
        <v>0</v>
      </c>
      <c r="M258">
        <v>1</v>
      </c>
      <c r="N258">
        <v>0</v>
      </c>
      <c r="O258">
        <v>0</v>
      </c>
      <c r="P258">
        <v>0</v>
      </c>
      <c r="Q258">
        <v>0</v>
      </c>
      <c r="R258">
        <v>0</v>
      </c>
      <c r="S258">
        <v>0</v>
      </c>
      <c r="T258">
        <v>0</v>
      </c>
      <c r="U258">
        <v>0</v>
      </c>
      <c r="V258">
        <v>1</v>
      </c>
      <c r="W258">
        <v>0</v>
      </c>
      <c r="X258">
        <v>0</v>
      </c>
      <c r="Y258">
        <v>0</v>
      </c>
      <c r="Z258">
        <v>0</v>
      </c>
      <c r="AA258">
        <v>0</v>
      </c>
      <c r="AB258">
        <v>0</v>
      </c>
      <c r="AC258">
        <v>0</v>
      </c>
      <c r="AD258">
        <v>0</v>
      </c>
      <c r="AE258">
        <v>0</v>
      </c>
      <c r="AF258">
        <v>0</v>
      </c>
      <c r="AG258">
        <v>0</v>
      </c>
      <c r="AH258">
        <v>0</v>
      </c>
      <c r="AI258">
        <v>0</v>
      </c>
      <c r="AJ258">
        <v>0</v>
      </c>
      <c r="AK258">
        <v>0</v>
      </c>
      <c r="AL258">
        <v>0</v>
      </c>
      <c r="AM258">
        <v>1</v>
      </c>
      <c r="AN258">
        <v>0</v>
      </c>
      <c r="AO258">
        <v>0</v>
      </c>
      <c r="AP258">
        <v>0</v>
      </c>
      <c r="AQ258">
        <v>0</v>
      </c>
      <c r="AR258">
        <v>0</v>
      </c>
      <c r="AT258">
        <v>0</v>
      </c>
      <c r="AU258">
        <v>0</v>
      </c>
      <c r="AW258">
        <v>0</v>
      </c>
      <c r="AX258">
        <v>0</v>
      </c>
      <c r="AY258">
        <v>0</v>
      </c>
    </row>
    <row r="259" spans="1:51" x14ac:dyDescent="0.3">
      <c r="A259" s="754">
        <v>956</v>
      </c>
      <c r="B259" t="s">
        <v>380</v>
      </c>
      <c r="D259" t="s">
        <v>50</v>
      </c>
      <c r="E259" t="s">
        <v>50</v>
      </c>
      <c r="F259" t="s">
        <v>1007</v>
      </c>
      <c r="G259" t="s">
        <v>50</v>
      </c>
      <c r="H259" t="s">
        <v>50</v>
      </c>
      <c r="I259" t="s">
        <v>50</v>
      </c>
      <c r="J259" t="s">
        <v>50</v>
      </c>
      <c r="K259" t="s">
        <v>50</v>
      </c>
      <c r="M259" t="s">
        <v>50</v>
      </c>
      <c r="N259" t="s">
        <v>50</v>
      </c>
      <c r="O259" t="s">
        <v>51</v>
      </c>
      <c r="P259" t="s">
        <v>50</v>
      </c>
      <c r="Q259" t="s">
        <v>50</v>
      </c>
      <c r="R259" t="s">
        <v>50</v>
      </c>
      <c r="S259" t="s">
        <v>50</v>
      </c>
      <c r="T259" t="s">
        <v>50</v>
      </c>
      <c r="U259" t="s">
        <v>50</v>
      </c>
      <c r="V259" t="s">
        <v>50</v>
      </c>
      <c r="W259" t="s">
        <v>50</v>
      </c>
      <c r="X259" t="s">
        <v>50</v>
      </c>
      <c r="Y259" t="s">
        <v>50</v>
      </c>
      <c r="Z259" t="s">
        <v>50</v>
      </c>
      <c r="AA259" t="s">
        <v>50</v>
      </c>
      <c r="AB259" t="s">
        <v>50</v>
      </c>
      <c r="AC259" t="s">
        <v>50</v>
      </c>
      <c r="AD259" t="s">
        <v>50</v>
      </c>
      <c r="AE259" t="s">
        <v>50</v>
      </c>
      <c r="AF259" t="s">
        <v>50</v>
      </c>
      <c r="AG259" t="s">
        <v>50</v>
      </c>
      <c r="AH259" t="s">
        <v>50</v>
      </c>
      <c r="AI259" t="s">
        <v>50</v>
      </c>
      <c r="AJ259" t="s">
        <v>50</v>
      </c>
      <c r="AK259" t="s">
        <v>50</v>
      </c>
      <c r="AL259" t="s">
        <v>50</v>
      </c>
      <c r="AM259" t="s">
        <v>50</v>
      </c>
      <c r="AN259" t="s">
        <v>50</v>
      </c>
      <c r="AO259" t="s">
        <v>50</v>
      </c>
      <c r="AP259" t="s">
        <v>50</v>
      </c>
      <c r="AQ259" t="s">
        <v>50</v>
      </c>
      <c r="AR259" t="s">
        <v>50</v>
      </c>
      <c r="AT259" t="s">
        <v>50</v>
      </c>
      <c r="AU259" t="s">
        <v>51</v>
      </c>
      <c r="AW259" t="s">
        <v>50</v>
      </c>
      <c r="AX259" t="s">
        <v>50</v>
      </c>
      <c r="AY259" t="s">
        <v>50</v>
      </c>
    </row>
    <row r="260" spans="1:51" x14ac:dyDescent="0.3">
      <c r="A260" s="754">
        <v>957</v>
      </c>
      <c r="B260" t="s">
        <v>916</v>
      </c>
      <c r="D260">
        <v>0</v>
      </c>
      <c r="E260">
        <v>0</v>
      </c>
      <c r="F260">
        <v>0</v>
      </c>
      <c r="G260">
        <v>0</v>
      </c>
      <c r="H260">
        <v>0</v>
      </c>
      <c r="I260">
        <v>0</v>
      </c>
      <c r="J260">
        <v>0</v>
      </c>
      <c r="K260">
        <v>0</v>
      </c>
      <c r="M260">
        <v>0</v>
      </c>
      <c r="N260">
        <v>0</v>
      </c>
      <c r="O260">
        <v>5</v>
      </c>
      <c r="P260">
        <v>0</v>
      </c>
      <c r="Q260">
        <v>0</v>
      </c>
      <c r="R260">
        <v>0</v>
      </c>
      <c r="S260">
        <v>0</v>
      </c>
      <c r="T260">
        <v>0</v>
      </c>
      <c r="U260">
        <v>0</v>
      </c>
      <c r="V260">
        <v>0</v>
      </c>
      <c r="W260">
        <v>0</v>
      </c>
      <c r="X260">
        <v>0</v>
      </c>
      <c r="Y260">
        <v>0</v>
      </c>
      <c r="Z260">
        <v>1</v>
      </c>
      <c r="AA260">
        <v>0</v>
      </c>
      <c r="AB260">
        <v>0</v>
      </c>
      <c r="AC260">
        <v>0</v>
      </c>
      <c r="AD260">
        <v>0</v>
      </c>
      <c r="AE260">
        <v>0</v>
      </c>
      <c r="AF260">
        <v>0</v>
      </c>
      <c r="AG260">
        <v>0</v>
      </c>
      <c r="AH260">
        <v>0</v>
      </c>
      <c r="AI260">
        <v>0</v>
      </c>
      <c r="AJ260">
        <v>0</v>
      </c>
      <c r="AK260">
        <v>0</v>
      </c>
      <c r="AL260">
        <v>0</v>
      </c>
      <c r="AM260">
        <v>0</v>
      </c>
      <c r="AN260">
        <v>0</v>
      </c>
      <c r="AO260">
        <v>0</v>
      </c>
      <c r="AP260">
        <v>0</v>
      </c>
      <c r="AQ260">
        <v>0</v>
      </c>
      <c r="AR260">
        <v>0</v>
      </c>
      <c r="AT260">
        <v>0</v>
      </c>
      <c r="AU260">
        <v>0</v>
      </c>
      <c r="AW260">
        <v>0</v>
      </c>
      <c r="AX260">
        <v>0</v>
      </c>
      <c r="AY260">
        <v>0</v>
      </c>
    </row>
    <row r="261" spans="1:51" x14ac:dyDescent="0.3">
      <c r="A261" s="754">
        <v>958</v>
      </c>
      <c r="B261" t="s">
        <v>917</v>
      </c>
      <c r="D261" t="s">
        <v>50</v>
      </c>
      <c r="E261" t="s">
        <v>50</v>
      </c>
      <c r="F261" t="s">
        <v>1007</v>
      </c>
      <c r="G261" t="s">
        <v>50</v>
      </c>
      <c r="H261" t="s">
        <v>50</v>
      </c>
      <c r="I261" t="s">
        <v>50</v>
      </c>
      <c r="J261" t="s">
        <v>50</v>
      </c>
      <c r="K261" t="s">
        <v>50</v>
      </c>
      <c r="M261" t="s">
        <v>50</v>
      </c>
      <c r="N261" t="s">
        <v>50</v>
      </c>
      <c r="O261" t="s">
        <v>51</v>
      </c>
      <c r="P261" t="s">
        <v>50</v>
      </c>
      <c r="Q261" t="s">
        <v>50</v>
      </c>
      <c r="R261" t="s">
        <v>50</v>
      </c>
      <c r="S261" t="s">
        <v>50</v>
      </c>
      <c r="T261" t="s">
        <v>50</v>
      </c>
      <c r="U261" t="s">
        <v>50</v>
      </c>
      <c r="V261" t="s">
        <v>50</v>
      </c>
      <c r="W261" t="s">
        <v>50</v>
      </c>
      <c r="X261" t="s">
        <v>50</v>
      </c>
      <c r="Y261" t="s">
        <v>50</v>
      </c>
      <c r="Z261" t="s">
        <v>50</v>
      </c>
      <c r="AA261" t="s">
        <v>50</v>
      </c>
      <c r="AB261" t="s">
        <v>50</v>
      </c>
      <c r="AC261" t="s">
        <v>50</v>
      </c>
      <c r="AD261" t="s">
        <v>50</v>
      </c>
      <c r="AE261" t="s">
        <v>50</v>
      </c>
      <c r="AF261" t="s">
        <v>50</v>
      </c>
      <c r="AG261" t="s">
        <v>50</v>
      </c>
      <c r="AH261" t="s">
        <v>50</v>
      </c>
      <c r="AI261" t="s">
        <v>50</v>
      </c>
      <c r="AJ261" t="s">
        <v>50</v>
      </c>
      <c r="AK261" t="s">
        <v>50</v>
      </c>
      <c r="AL261" t="s">
        <v>50</v>
      </c>
      <c r="AM261" t="s">
        <v>50</v>
      </c>
      <c r="AN261" t="s">
        <v>50</v>
      </c>
      <c r="AO261" t="s">
        <v>50</v>
      </c>
      <c r="AP261" t="s">
        <v>50</v>
      </c>
      <c r="AQ261" t="s">
        <v>50</v>
      </c>
      <c r="AR261" t="s">
        <v>50</v>
      </c>
      <c r="AT261" t="s">
        <v>50</v>
      </c>
      <c r="AU261" t="s">
        <v>51</v>
      </c>
      <c r="AW261" t="s">
        <v>50</v>
      </c>
      <c r="AX261" t="s">
        <v>50</v>
      </c>
      <c r="AY261" t="s">
        <v>50</v>
      </c>
    </row>
    <row r="262" spans="1:51" x14ac:dyDescent="0.3">
      <c r="A262" s="754">
        <v>959</v>
      </c>
      <c r="B262" t="s">
        <v>918</v>
      </c>
      <c r="D262">
        <v>2</v>
      </c>
      <c r="E262">
        <v>2</v>
      </c>
      <c r="F262">
        <v>2</v>
      </c>
      <c r="G262">
        <v>2</v>
      </c>
      <c r="H262">
        <v>2</v>
      </c>
      <c r="I262">
        <v>2</v>
      </c>
      <c r="J262">
        <v>2</v>
      </c>
      <c r="K262">
        <v>2</v>
      </c>
      <c r="M262">
        <v>2</v>
      </c>
      <c r="N262">
        <v>2</v>
      </c>
      <c r="O262">
        <v>2</v>
      </c>
      <c r="P262">
        <v>2</v>
      </c>
      <c r="Q262">
        <v>2</v>
      </c>
      <c r="R262">
        <v>2</v>
      </c>
      <c r="S262">
        <v>2</v>
      </c>
      <c r="T262">
        <v>2</v>
      </c>
      <c r="U262">
        <v>2</v>
      </c>
      <c r="V262">
        <v>2</v>
      </c>
      <c r="W262">
        <v>2</v>
      </c>
      <c r="X262">
        <v>2</v>
      </c>
      <c r="Y262">
        <v>2</v>
      </c>
      <c r="Z262">
        <v>2</v>
      </c>
      <c r="AA262">
        <v>2</v>
      </c>
      <c r="AB262">
        <v>2</v>
      </c>
      <c r="AC262">
        <v>3</v>
      </c>
      <c r="AD262">
        <v>2</v>
      </c>
      <c r="AE262">
        <v>2</v>
      </c>
      <c r="AF262">
        <v>3</v>
      </c>
      <c r="AG262">
        <v>2</v>
      </c>
      <c r="AH262">
        <v>2</v>
      </c>
      <c r="AI262">
        <v>2</v>
      </c>
      <c r="AJ262">
        <v>2</v>
      </c>
      <c r="AK262">
        <v>3</v>
      </c>
      <c r="AL262">
        <v>2</v>
      </c>
      <c r="AM262">
        <v>2</v>
      </c>
      <c r="AN262">
        <v>2</v>
      </c>
      <c r="AO262">
        <v>2</v>
      </c>
      <c r="AP262">
        <v>2</v>
      </c>
      <c r="AQ262">
        <v>2</v>
      </c>
      <c r="AR262">
        <v>3</v>
      </c>
      <c r="AT262">
        <v>2</v>
      </c>
      <c r="AU262">
        <v>2</v>
      </c>
      <c r="AW262">
        <v>2</v>
      </c>
      <c r="AX262">
        <v>3</v>
      </c>
      <c r="AY262">
        <v>2</v>
      </c>
    </row>
    <row r="263" spans="1:51" x14ac:dyDescent="0.3">
      <c r="A263" s="754">
        <v>960</v>
      </c>
      <c r="B263" t="s">
        <v>919</v>
      </c>
      <c r="D263" t="s">
        <v>1185</v>
      </c>
      <c r="E263" t="s">
        <v>1186</v>
      </c>
      <c r="F263" t="s">
        <v>1187</v>
      </c>
      <c r="G263" t="s">
        <v>1188</v>
      </c>
      <c r="H263" t="s">
        <v>1189</v>
      </c>
      <c r="I263" t="s">
        <v>1010</v>
      </c>
      <c r="J263" t="s">
        <v>1190</v>
      </c>
      <c r="K263" t="s">
        <v>1191</v>
      </c>
      <c r="M263" t="s">
        <v>1192</v>
      </c>
      <c r="N263" t="s">
        <v>1193</v>
      </c>
      <c r="O263" t="s">
        <v>1584</v>
      </c>
      <c r="P263" t="s">
        <v>1194</v>
      </c>
      <c r="Q263" t="s">
        <v>1195</v>
      </c>
      <c r="R263" t="s">
        <v>1196</v>
      </c>
      <c r="S263" t="s">
        <v>1197</v>
      </c>
      <c r="T263" t="s">
        <v>1198</v>
      </c>
      <c r="U263" t="s">
        <v>1199</v>
      </c>
      <c r="V263" t="s">
        <v>1200</v>
      </c>
      <c r="W263" t="s">
        <v>1201</v>
      </c>
      <c r="X263" t="s">
        <v>1202</v>
      </c>
      <c r="Y263" t="s">
        <v>1203</v>
      </c>
      <c r="Z263" t="s">
        <v>1204</v>
      </c>
      <c r="AA263" t="s">
        <v>1205</v>
      </c>
      <c r="AB263" t="s">
        <v>1206</v>
      </c>
      <c r="AC263" t="s">
        <v>1207</v>
      </c>
      <c r="AD263" t="s">
        <v>1208</v>
      </c>
      <c r="AE263" t="s">
        <v>1209</v>
      </c>
      <c r="AF263" t="s">
        <v>1210</v>
      </c>
      <c r="AG263" t="s">
        <v>1211</v>
      </c>
      <c r="AH263" t="s">
        <v>1212</v>
      </c>
      <c r="AI263" t="s">
        <v>1213</v>
      </c>
      <c r="AJ263" t="s">
        <v>1214</v>
      </c>
      <c r="AK263" t="s">
        <v>1215</v>
      </c>
      <c r="AL263" t="s">
        <v>1216</v>
      </c>
      <c r="AM263" t="s">
        <v>1217</v>
      </c>
      <c r="AN263" t="s">
        <v>1218</v>
      </c>
      <c r="AO263" t="s">
        <v>1219</v>
      </c>
      <c r="AP263" t="s">
        <v>1220</v>
      </c>
      <c r="AQ263" t="s">
        <v>1221</v>
      </c>
      <c r="AR263" t="s">
        <v>1222</v>
      </c>
      <c r="AT263" t="s">
        <v>1223</v>
      </c>
      <c r="AU263" t="s">
        <v>399</v>
      </c>
      <c r="AW263" t="s">
        <v>1224</v>
      </c>
      <c r="AX263" t="s">
        <v>1009</v>
      </c>
      <c r="AY263" t="s">
        <v>1225</v>
      </c>
    </row>
    <row r="264" spans="1:51" x14ac:dyDescent="0.3">
      <c r="A264" s="754">
        <v>962</v>
      </c>
      <c r="B264" t="s">
        <v>920</v>
      </c>
      <c r="D264" t="s">
        <v>924</v>
      </c>
      <c r="E264" t="s">
        <v>922</v>
      </c>
      <c r="F264" t="s">
        <v>1226</v>
      </c>
      <c r="G264" t="s">
        <v>924</v>
      </c>
      <c r="H264" t="s">
        <v>1227</v>
      </c>
      <c r="I264" t="s">
        <v>921</v>
      </c>
      <c r="J264" t="s">
        <v>983</v>
      </c>
      <c r="K264" t="s">
        <v>921</v>
      </c>
      <c r="M264" t="s">
        <v>1228</v>
      </c>
      <c r="N264" t="s">
        <v>922</v>
      </c>
      <c r="O264" t="s">
        <v>1585</v>
      </c>
      <c r="P264" t="s">
        <v>983</v>
      </c>
      <c r="Q264" t="s">
        <v>922</v>
      </c>
      <c r="R264" t="s">
        <v>922</v>
      </c>
      <c r="S264" t="s">
        <v>922</v>
      </c>
      <c r="T264" t="s">
        <v>922</v>
      </c>
      <c r="U264" t="s">
        <v>923</v>
      </c>
      <c r="V264" t="s">
        <v>1229</v>
      </c>
      <c r="W264" t="s">
        <v>922</v>
      </c>
      <c r="X264" t="s">
        <v>983</v>
      </c>
      <c r="Y264" t="s">
        <v>1226</v>
      </c>
      <c r="Z264" t="s">
        <v>922</v>
      </c>
      <c r="AA264" t="s">
        <v>922</v>
      </c>
      <c r="AB264" t="s">
        <v>922</v>
      </c>
      <c r="AC264" t="s">
        <v>1230</v>
      </c>
      <c r="AD264" t="s">
        <v>922</v>
      </c>
      <c r="AE264" t="s">
        <v>1231</v>
      </c>
      <c r="AF264" t="s">
        <v>1232</v>
      </c>
      <c r="AG264" t="s">
        <v>1233</v>
      </c>
      <c r="AH264" t="s">
        <v>921</v>
      </c>
      <c r="AI264" t="s">
        <v>921</v>
      </c>
      <c r="AJ264" t="s">
        <v>922</v>
      </c>
      <c r="AK264" t="s">
        <v>921</v>
      </c>
      <c r="AL264" t="s">
        <v>921</v>
      </c>
      <c r="AM264" t="s">
        <v>982</v>
      </c>
      <c r="AN264" t="s">
        <v>922</v>
      </c>
      <c r="AO264" t="s">
        <v>922</v>
      </c>
      <c r="AP264" t="s">
        <v>922</v>
      </c>
      <c r="AQ264" t="s">
        <v>921</v>
      </c>
      <c r="AR264" t="s">
        <v>921</v>
      </c>
      <c r="AT264" t="s">
        <v>1234</v>
      </c>
      <c r="AU264" t="s">
        <v>922</v>
      </c>
      <c r="AW264" t="s">
        <v>1235</v>
      </c>
      <c r="AX264" t="s">
        <v>1236</v>
      </c>
      <c r="AY264" t="s">
        <v>1237</v>
      </c>
    </row>
    <row r="265" spans="1:51" x14ac:dyDescent="0.3">
      <c r="A265" s="754">
        <v>964</v>
      </c>
      <c r="B265" t="s">
        <v>925</v>
      </c>
      <c r="D265" t="s">
        <v>1238</v>
      </c>
      <c r="E265" t="s">
        <v>992</v>
      </c>
      <c r="F265" t="s">
        <v>928</v>
      </c>
      <c r="G265" t="s">
        <v>1239</v>
      </c>
      <c r="H265" t="s">
        <v>927</v>
      </c>
      <c r="I265" t="s">
        <v>988</v>
      </c>
      <c r="J265" t="s">
        <v>927</v>
      </c>
      <c r="K265" t="s">
        <v>1240</v>
      </c>
      <c r="M265" t="s">
        <v>912</v>
      </c>
      <c r="N265" t="s">
        <v>992</v>
      </c>
      <c r="O265" t="s">
        <v>1586</v>
      </c>
      <c r="P265" t="s">
        <v>994</v>
      </c>
      <c r="Q265" t="s">
        <v>984</v>
      </c>
      <c r="R265" t="s">
        <v>929</v>
      </c>
      <c r="S265" t="s">
        <v>990</v>
      </c>
      <c r="T265" t="s">
        <v>1241</v>
      </c>
      <c r="U265" t="s">
        <v>927</v>
      </c>
      <c r="V265" t="s">
        <v>930</v>
      </c>
      <c r="W265" t="s">
        <v>1242</v>
      </c>
      <c r="X265" t="s">
        <v>985</v>
      </c>
      <c r="Y265" t="s">
        <v>1243</v>
      </c>
      <c r="Z265" t="s">
        <v>911</v>
      </c>
      <c r="AA265" t="s">
        <v>928</v>
      </c>
      <c r="AB265" t="s">
        <v>926</v>
      </c>
      <c r="AC265" t="s">
        <v>1240</v>
      </c>
      <c r="AD265" t="s">
        <v>992</v>
      </c>
      <c r="AE265" t="s">
        <v>931</v>
      </c>
      <c r="AF265" t="s">
        <v>986</v>
      </c>
      <c r="AG265" t="s">
        <v>1244</v>
      </c>
      <c r="AH265" t="s">
        <v>1245</v>
      </c>
      <c r="AI265" t="s">
        <v>1246</v>
      </c>
      <c r="AJ265" t="s">
        <v>929</v>
      </c>
      <c r="AK265" t="s">
        <v>931</v>
      </c>
      <c r="AL265" t="s">
        <v>1162</v>
      </c>
      <c r="AM265" t="s">
        <v>927</v>
      </c>
      <c r="AN265" t="s">
        <v>992</v>
      </c>
      <c r="AO265" t="s">
        <v>1247</v>
      </c>
      <c r="AP265" t="s">
        <v>992</v>
      </c>
      <c r="AQ265" t="s">
        <v>993</v>
      </c>
      <c r="AR265" t="s">
        <v>1240</v>
      </c>
      <c r="AT265" t="s">
        <v>991</v>
      </c>
      <c r="AU265" t="s">
        <v>926</v>
      </c>
      <c r="AW265" t="s">
        <v>987</v>
      </c>
      <c r="AX265" t="s">
        <v>1248</v>
      </c>
      <c r="AY265" t="s">
        <v>989</v>
      </c>
    </row>
    <row r="266" spans="1:51" x14ac:dyDescent="0.3">
      <c r="A266" s="754">
        <v>965</v>
      </c>
      <c r="B266" t="s">
        <v>932</v>
      </c>
      <c r="D266">
        <v>0</v>
      </c>
      <c r="G266">
        <v>0</v>
      </c>
      <c r="M266">
        <v>0</v>
      </c>
      <c r="P266">
        <v>0</v>
      </c>
      <c r="Q266">
        <v>0</v>
      </c>
      <c r="R266">
        <v>0</v>
      </c>
      <c r="S266">
        <v>0</v>
      </c>
      <c r="U266">
        <v>0</v>
      </c>
      <c r="Z266">
        <v>0</v>
      </c>
      <c r="AG266">
        <v>0</v>
      </c>
      <c r="AH266">
        <v>0</v>
      </c>
      <c r="AI266">
        <v>0</v>
      </c>
      <c r="AL266">
        <v>0</v>
      </c>
      <c r="AO266">
        <v>0</v>
      </c>
      <c r="AR266">
        <v>0</v>
      </c>
      <c r="AW266">
        <v>0</v>
      </c>
    </row>
    <row r="267" spans="1:51" x14ac:dyDescent="0.3">
      <c r="A267" s="754">
        <v>966</v>
      </c>
      <c r="B267" t="s">
        <v>933</v>
      </c>
      <c r="D267" t="s">
        <v>1249</v>
      </c>
      <c r="E267" t="s">
        <v>1250</v>
      </c>
      <c r="F267" t="s">
        <v>1251</v>
      </c>
      <c r="G267" t="s">
        <v>1252</v>
      </c>
      <c r="I267" t="s">
        <v>1253</v>
      </c>
      <c r="J267" t="s">
        <v>1254</v>
      </c>
      <c r="K267" t="s">
        <v>1255</v>
      </c>
      <c r="M267" t="s">
        <v>1256</v>
      </c>
      <c r="N267" t="s">
        <v>1250</v>
      </c>
      <c r="O267" t="s">
        <v>1505</v>
      </c>
      <c r="P267" t="s">
        <v>1257</v>
      </c>
      <c r="Q267" t="s">
        <v>1258</v>
      </c>
      <c r="R267" t="s">
        <v>1259</v>
      </c>
      <c r="S267" t="s">
        <v>1260</v>
      </c>
      <c r="T267" t="s">
        <v>1261</v>
      </c>
      <c r="U267" t="s">
        <v>1262</v>
      </c>
      <c r="V267" t="s">
        <v>1263</v>
      </c>
      <c r="W267" t="s">
        <v>1264</v>
      </c>
      <c r="X267" t="s">
        <v>1265</v>
      </c>
      <c r="Y267" t="s">
        <v>1266</v>
      </c>
      <c r="Z267" t="s">
        <v>1267</v>
      </c>
      <c r="AA267" t="s">
        <v>1268</v>
      </c>
      <c r="AB267" t="s">
        <v>1269</v>
      </c>
      <c r="AC267" t="s">
        <v>1270</v>
      </c>
      <c r="AD267" t="s">
        <v>1250</v>
      </c>
      <c r="AE267" t="s">
        <v>1271</v>
      </c>
      <c r="AF267" t="s">
        <v>1272</v>
      </c>
      <c r="AG267" t="s">
        <v>1273</v>
      </c>
      <c r="AH267" t="s">
        <v>1274</v>
      </c>
      <c r="AI267" t="s">
        <v>1275</v>
      </c>
      <c r="AJ267" t="s">
        <v>1276</v>
      </c>
      <c r="AK267" t="s">
        <v>1277</v>
      </c>
      <c r="AL267" t="s">
        <v>1278</v>
      </c>
      <c r="AM267" t="s">
        <v>1279</v>
      </c>
      <c r="AN267" t="s">
        <v>1250</v>
      </c>
      <c r="AO267" t="s">
        <v>1280</v>
      </c>
      <c r="AP267" t="s">
        <v>1250</v>
      </c>
      <c r="AQ267" t="s">
        <v>1281</v>
      </c>
      <c r="AR267" t="s">
        <v>1282</v>
      </c>
      <c r="AT267" t="s">
        <v>1283</v>
      </c>
      <c r="AU267" t="s">
        <v>1249</v>
      </c>
      <c r="AW267" t="s">
        <v>1284</v>
      </c>
      <c r="AX267" t="s">
        <v>1285</v>
      </c>
      <c r="AY267" t="s">
        <v>1286</v>
      </c>
    </row>
    <row r="268" spans="1:51" x14ac:dyDescent="0.3">
      <c r="A268" s="754">
        <v>968</v>
      </c>
      <c r="B268" t="s">
        <v>934</v>
      </c>
      <c r="D268" t="s">
        <v>1287</v>
      </c>
      <c r="E268" t="s">
        <v>1288</v>
      </c>
      <c r="F268" t="s">
        <v>1289</v>
      </c>
      <c r="G268" t="s">
        <v>1290</v>
      </c>
      <c r="H268" t="s">
        <v>1291</v>
      </c>
      <c r="I268" t="s">
        <v>1292</v>
      </c>
      <c r="J268" t="s">
        <v>1293</v>
      </c>
      <c r="K268" t="s">
        <v>1294</v>
      </c>
      <c r="M268" t="s">
        <v>1295</v>
      </c>
      <c r="N268" t="s">
        <v>1288</v>
      </c>
      <c r="O268" t="s">
        <v>1587</v>
      </c>
      <c r="P268" t="s">
        <v>1296</v>
      </c>
      <c r="Q268" t="s">
        <v>1297</v>
      </c>
      <c r="R268" t="s">
        <v>1298</v>
      </c>
      <c r="S268" t="s">
        <v>1299</v>
      </c>
      <c r="T268" t="s">
        <v>1300</v>
      </c>
      <c r="U268" t="s">
        <v>1301</v>
      </c>
      <c r="V268" t="s">
        <v>1302</v>
      </c>
      <c r="W268" t="s">
        <v>1303</v>
      </c>
      <c r="X268" t="s">
        <v>1304</v>
      </c>
      <c r="Y268" t="s">
        <v>1305</v>
      </c>
      <c r="Z268" t="s">
        <v>1306</v>
      </c>
      <c r="AA268" t="s">
        <v>1307</v>
      </c>
      <c r="AB268" t="s">
        <v>1308</v>
      </c>
      <c r="AC268" t="s">
        <v>1309</v>
      </c>
      <c r="AD268" t="s">
        <v>1288</v>
      </c>
      <c r="AE268" t="s">
        <v>1310</v>
      </c>
      <c r="AF268" t="s">
        <v>1311</v>
      </c>
      <c r="AG268" t="s">
        <v>1312</v>
      </c>
      <c r="AH268" t="s">
        <v>1313</v>
      </c>
      <c r="AI268" t="s">
        <v>1314</v>
      </c>
      <c r="AJ268" t="s">
        <v>1315</v>
      </c>
      <c r="AK268" t="s">
        <v>1316</v>
      </c>
      <c r="AL268" t="s">
        <v>1317</v>
      </c>
      <c r="AM268" t="s">
        <v>1318</v>
      </c>
      <c r="AN268" t="s">
        <v>1288</v>
      </c>
      <c r="AO268" t="s">
        <v>1319</v>
      </c>
      <c r="AP268" t="s">
        <v>1288</v>
      </c>
      <c r="AQ268" t="s">
        <v>1320</v>
      </c>
      <c r="AR268" t="s">
        <v>1321</v>
      </c>
      <c r="AT268" t="s">
        <v>1322</v>
      </c>
      <c r="AU268" t="s">
        <v>1323</v>
      </c>
      <c r="AW268" t="s">
        <v>1324</v>
      </c>
      <c r="AX268" t="s">
        <v>1325</v>
      </c>
      <c r="AY268" t="s">
        <v>1326</v>
      </c>
    </row>
    <row r="269" spans="1:51" x14ac:dyDescent="0.3">
      <c r="A269" s="754">
        <v>973</v>
      </c>
      <c r="B269" t="s">
        <v>1588</v>
      </c>
      <c r="D269">
        <v>0</v>
      </c>
      <c r="E269">
        <v>0</v>
      </c>
      <c r="F269">
        <v>0</v>
      </c>
      <c r="G269">
        <v>0</v>
      </c>
      <c r="H269">
        <v>0</v>
      </c>
      <c r="I269">
        <v>0</v>
      </c>
      <c r="J269">
        <v>0</v>
      </c>
      <c r="K269">
        <v>0</v>
      </c>
      <c r="M269">
        <v>0</v>
      </c>
      <c r="N269">
        <v>0</v>
      </c>
      <c r="O269">
        <v>9</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T269">
        <v>0</v>
      </c>
      <c r="AU269">
        <v>0</v>
      </c>
      <c r="AW269">
        <v>0</v>
      </c>
      <c r="AX269">
        <v>0</v>
      </c>
      <c r="AY269">
        <v>0</v>
      </c>
    </row>
    <row r="270" spans="1:51" x14ac:dyDescent="0.3">
      <c r="A270" s="754">
        <v>974</v>
      </c>
      <c r="B270" t="s">
        <v>1518</v>
      </c>
      <c r="D270">
        <v>2</v>
      </c>
      <c r="E270">
        <v>2</v>
      </c>
      <c r="F270">
        <v>2</v>
      </c>
      <c r="G270">
        <v>2</v>
      </c>
      <c r="H270">
        <v>2</v>
      </c>
      <c r="I270">
        <v>2</v>
      </c>
      <c r="J270">
        <v>2</v>
      </c>
      <c r="K270">
        <v>2</v>
      </c>
      <c r="M270">
        <v>2</v>
      </c>
      <c r="N270">
        <v>2</v>
      </c>
      <c r="O270">
        <v>2</v>
      </c>
      <c r="P270">
        <v>2</v>
      </c>
      <c r="Q270">
        <v>2</v>
      </c>
      <c r="R270">
        <v>2</v>
      </c>
      <c r="S270">
        <v>2</v>
      </c>
      <c r="T270">
        <v>2</v>
      </c>
      <c r="U270">
        <v>2</v>
      </c>
      <c r="V270">
        <v>2</v>
      </c>
      <c r="W270">
        <v>2</v>
      </c>
      <c r="X270">
        <v>2</v>
      </c>
      <c r="Y270">
        <v>3</v>
      </c>
      <c r="Z270">
        <v>2</v>
      </c>
      <c r="AA270">
        <v>2</v>
      </c>
      <c r="AB270">
        <v>2</v>
      </c>
      <c r="AC270">
        <v>2</v>
      </c>
      <c r="AD270">
        <v>2</v>
      </c>
      <c r="AE270">
        <v>1</v>
      </c>
      <c r="AF270">
        <v>2</v>
      </c>
      <c r="AG270">
        <v>2</v>
      </c>
      <c r="AH270">
        <v>2</v>
      </c>
      <c r="AI270">
        <v>2</v>
      </c>
      <c r="AJ270">
        <v>2</v>
      </c>
      <c r="AK270">
        <v>3</v>
      </c>
      <c r="AL270">
        <v>2</v>
      </c>
      <c r="AM270">
        <v>2</v>
      </c>
      <c r="AN270">
        <v>2</v>
      </c>
      <c r="AO270">
        <v>2</v>
      </c>
      <c r="AP270">
        <v>2</v>
      </c>
      <c r="AQ270">
        <v>2</v>
      </c>
      <c r="AR270">
        <v>3</v>
      </c>
      <c r="AT270">
        <v>2</v>
      </c>
      <c r="AU270">
        <v>2</v>
      </c>
      <c r="AW270">
        <v>2</v>
      </c>
      <c r="AX270">
        <v>3</v>
      </c>
      <c r="AY270">
        <v>2</v>
      </c>
    </row>
    <row r="271" spans="1:51" x14ac:dyDescent="0.3">
      <c r="A271" s="754">
        <v>975</v>
      </c>
      <c r="B271" t="s">
        <v>550</v>
      </c>
      <c r="D271">
        <v>1</v>
      </c>
      <c r="E271">
        <v>1</v>
      </c>
      <c r="F271">
        <v>2</v>
      </c>
      <c r="G271">
        <v>1</v>
      </c>
      <c r="H271">
        <v>2</v>
      </c>
      <c r="I271">
        <v>2</v>
      </c>
      <c r="J271">
        <v>2</v>
      </c>
      <c r="K271">
        <v>2</v>
      </c>
      <c r="M271">
        <v>1</v>
      </c>
      <c r="N271">
        <v>1</v>
      </c>
      <c r="O271">
        <v>1</v>
      </c>
      <c r="P271">
        <v>2</v>
      </c>
      <c r="Q271">
        <v>2</v>
      </c>
      <c r="R271">
        <v>1</v>
      </c>
      <c r="S271">
        <v>1</v>
      </c>
      <c r="T271">
        <v>1</v>
      </c>
      <c r="U271">
        <v>2</v>
      </c>
      <c r="V271">
        <v>1</v>
      </c>
      <c r="W271">
        <v>2</v>
      </c>
      <c r="X271">
        <v>1</v>
      </c>
      <c r="Y271">
        <v>1</v>
      </c>
      <c r="Z271">
        <v>1</v>
      </c>
      <c r="AA271">
        <v>2</v>
      </c>
      <c r="AB271">
        <v>2</v>
      </c>
      <c r="AC271">
        <v>2</v>
      </c>
      <c r="AD271">
        <v>1</v>
      </c>
      <c r="AE271">
        <v>1</v>
      </c>
      <c r="AF271">
        <v>2</v>
      </c>
      <c r="AG271">
        <v>2</v>
      </c>
      <c r="AH271">
        <v>2</v>
      </c>
      <c r="AI271">
        <v>2</v>
      </c>
      <c r="AJ271">
        <v>2</v>
      </c>
      <c r="AK271">
        <v>1</v>
      </c>
      <c r="AL271">
        <v>2</v>
      </c>
      <c r="AM271">
        <v>1</v>
      </c>
      <c r="AN271">
        <v>1</v>
      </c>
      <c r="AO271">
        <v>2</v>
      </c>
      <c r="AP271">
        <v>1</v>
      </c>
      <c r="AQ271">
        <v>1</v>
      </c>
      <c r="AR271">
        <v>2</v>
      </c>
      <c r="AT271">
        <v>2</v>
      </c>
      <c r="AU271">
        <v>2</v>
      </c>
      <c r="AW271">
        <v>2</v>
      </c>
      <c r="AX271">
        <v>1</v>
      </c>
      <c r="AY271">
        <v>1</v>
      </c>
    </row>
    <row r="272" spans="1:51" x14ac:dyDescent="0.3">
      <c r="A272" s="754">
        <v>976</v>
      </c>
      <c r="B272" t="s">
        <v>1589</v>
      </c>
      <c r="D272">
        <v>1</v>
      </c>
      <c r="E272">
        <v>1</v>
      </c>
      <c r="F272">
        <v>3</v>
      </c>
      <c r="G272">
        <v>1</v>
      </c>
      <c r="H272">
        <v>3</v>
      </c>
      <c r="I272">
        <v>3</v>
      </c>
      <c r="J272">
        <v>3</v>
      </c>
      <c r="K272">
        <v>3</v>
      </c>
      <c r="M272">
        <v>3</v>
      </c>
      <c r="N272">
        <v>1</v>
      </c>
      <c r="O272">
        <v>1</v>
      </c>
      <c r="P272">
        <v>3</v>
      </c>
      <c r="Q272">
        <v>3</v>
      </c>
      <c r="R272">
        <v>1</v>
      </c>
      <c r="S272">
        <v>3</v>
      </c>
      <c r="T272">
        <v>1</v>
      </c>
      <c r="U272">
        <v>3</v>
      </c>
      <c r="V272">
        <v>1</v>
      </c>
      <c r="W272">
        <v>3</v>
      </c>
      <c r="X272">
        <v>1</v>
      </c>
      <c r="Y272">
        <v>1</v>
      </c>
      <c r="Z272">
        <v>3</v>
      </c>
      <c r="AA272">
        <v>3</v>
      </c>
      <c r="AB272">
        <v>3</v>
      </c>
      <c r="AC272">
        <v>3</v>
      </c>
      <c r="AD272">
        <v>1</v>
      </c>
      <c r="AE272">
        <v>1</v>
      </c>
      <c r="AF272">
        <v>2</v>
      </c>
      <c r="AG272">
        <v>3</v>
      </c>
      <c r="AH272">
        <v>3</v>
      </c>
      <c r="AI272">
        <v>3</v>
      </c>
      <c r="AJ272">
        <v>3</v>
      </c>
      <c r="AK272">
        <v>1</v>
      </c>
      <c r="AL272">
        <v>3</v>
      </c>
      <c r="AM272">
        <v>1</v>
      </c>
      <c r="AN272">
        <v>1</v>
      </c>
      <c r="AO272">
        <v>3</v>
      </c>
      <c r="AP272">
        <v>1</v>
      </c>
      <c r="AQ272">
        <v>1</v>
      </c>
      <c r="AR272">
        <v>3</v>
      </c>
      <c r="AT272">
        <v>3</v>
      </c>
      <c r="AU272">
        <v>2</v>
      </c>
      <c r="AW272">
        <v>2</v>
      </c>
      <c r="AX272">
        <v>1</v>
      </c>
      <c r="AY272">
        <v>1</v>
      </c>
    </row>
    <row r="273" spans="1:51" x14ac:dyDescent="0.3">
      <c r="A273" s="754">
        <v>977</v>
      </c>
      <c r="B273" t="s">
        <v>1590</v>
      </c>
      <c r="D273">
        <v>1</v>
      </c>
      <c r="E273">
        <v>1</v>
      </c>
      <c r="F273">
        <v>1</v>
      </c>
      <c r="G273">
        <v>2</v>
      </c>
      <c r="H273">
        <v>1</v>
      </c>
      <c r="I273">
        <v>1</v>
      </c>
      <c r="J273">
        <v>1</v>
      </c>
      <c r="K273">
        <v>1</v>
      </c>
      <c r="M273">
        <v>1</v>
      </c>
      <c r="N273">
        <v>1</v>
      </c>
      <c r="O273">
        <v>2</v>
      </c>
      <c r="P273">
        <v>1</v>
      </c>
      <c r="Q273">
        <v>1</v>
      </c>
      <c r="R273">
        <v>1</v>
      </c>
      <c r="S273">
        <v>1</v>
      </c>
      <c r="T273">
        <v>1</v>
      </c>
      <c r="U273">
        <v>1</v>
      </c>
      <c r="V273">
        <v>1</v>
      </c>
      <c r="W273">
        <v>1</v>
      </c>
      <c r="X273">
        <v>1</v>
      </c>
      <c r="Y273">
        <v>1</v>
      </c>
      <c r="Z273">
        <v>1</v>
      </c>
      <c r="AA273">
        <v>1</v>
      </c>
      <c r="AB273">
        <v>1</v>
      </c>
      <c r="AC273">
        <v>1</v>
      </c>
      <c r="AD273">
        <v>1</v>
      </c>
      <c r="AE273">
        <v>1</v>
      </c>
      <c r="AF273">
        <v>1</v>
      </c>
      <c r="AG273">
        <v>1</v>
      </c>
      <c r="AH273">
        <v>1</v>
      </c>
      <c r="AI273">
        <v>1</v>
      </c>
      <c r="AJ273">
        <v>1</v>
      </c>
      <c r="AK273">
        <v>1</v>
      </c>
      <c r="AL273">
        <v>1</v>
      </c>
      <c r="AM273">
        <v>1</v>
      </c>
      <c r="AN273">
        <v>1</v>
      </c>
      <c r="AO273">
        <v>1</v>
      </c>
      <c r="AP273">
        <v>1</v>
      </c>
      <c r="AQ273">
        <v>1</v>
      </c>
      <c r="AR273">
        <v>1</v>
      </c>
      <c r="AT273">
        <v>1</v>
      </c>
      <c r="AU273">
        <v>1</v>
      </c>
      <c r="AW273">
        <v>1</v>
      </c>
      <c r="AX273">
        <v>1</v>
      </c>
      <c r="AY273">
        <v>1</v>
      </c>
    </row>
    <row r="274" spans="1:51" x14ac:dyDescent="0.3">
      <c r="A274" s="754">
        <v>978</v>
      </c>
      <c r="B274" t="s">
        <v>1591</v>
      </c>
      <c r="D274">
        <v>2</v>
      </c>
      <c r="E274">
        <v>2</v>
      </c>
      <c r="F274">
        <v>2</v>
      </c>
      <c r="G274">
        <v>1</v>
      </c>
      <c r="H274">
        <v>2</v>
      </c>
      <c r="I274">
        <v>2</v>
      </c>
      <c r="J274">
        <v>2</v>
      </c>
      <c r="K274">
        <v>2</v>
      </c>
      <c r="M274">
        <v>2</v>
      </c>
      <c r="N274">
        <v>2</v>
      </c>
      <c r="O274">
        <v>1</v>
      </c>
      <c r="P274">
        <v>2</v>
      </c>
      <c r="Q274">
        <v>2</v>
      </c>
      <c r="R274">
        <v>1</v>
      </c>
      <c r="S274">
        <v>2</v>
      </c>
      <c r="T274">
        <v>2</v>
      </c>
      <c r="U274">
        <v>2</v>
      </c>
      <c r="V274">
        <v>2</v>
      </c>
      <c r="W274">
        <v>2</v>
      </c>
      <c r="X274">
        <v>1</v>
      </c>
      <c r="Y274">
        <v>2</v>
      </c>
      <c r="Z274">
        <v>1</v>
      </c>
      <c r="AA274">
        <v>2</v>
      </c>
      <c r="AB274">
        <v>2</v>
      </c>
      <c r="AC274">
        <v>2</v>
      </c>
      <c r="AD274">
        <v>2</v>
      </c>
      <c r="AE274">
        <v>2</v>
      </c>
      <c r="AF274">
        <v>2</v>
      </c>
      <c r="AG274">
        <v>2</v>
      </c>
      <c r="AH274">
        <v>2</v>
      </c>
      <c r="AI274">
        <v>2</v>
      </c>
      <c r="AJ274">
        <v>2</v>
      </c>
      <c r="AK274">
        <v>2</v>
      </c>
      <c r="AL274">
        <v>2</v>
      </c>
      <c r="AM274">
        <v>2</v>
      </c>
      <c r="AN274">
        <v>2</v>
      </c>
      <c r="AO274">
        <v>2</v>
      </c>
      <c r="AP274">
        <v>2</v>
      </c>
      <c r="AQ274">
        <v>2</v>
      </c>
      <c r="AR274">
        <v>2</v>
      </c>
      <c r="AT274">
        <v>2</v>
      </c>
      <c r="AU274">
        <v>2</v>
      </c>
      <c r="AW274">
        <v>2</v>
      </c>
      <c r="AX274">
        <v>2</v>
      </c>
      <c r="AY274">
        <v>2</v>
      </c>
    </row>
    <row r="275" spans="1:51" x14ac:dyDescent="0.3">
      <c r="A275" s="754">
        <v>979</v>
      </c>
      <c r="B275" t="s">
        <v>1519</v>
      </c>
      <c r="D275">
        <v>2</v>
      </c>
      <c r="E275">
        <v>2</v>
      </c>
      <c r="F275">
        <v>1</v>
      </c>
      <c r="G275">
        <v>2</v>
      </c>
      <c r="H275">
        <v>1</v>
      </c>
      <c r="I275">
        <v>1</v>
      </c>
      <c r="J275">
        <v>1</v>
      </c>
      <c r="K275">
        <v>1</v>
      </c>
      <c r="M275">
        <v>1</v>
      </c>
      <c r="N275">
        <v>2</v>
      </c>
      <c r="O275">
        <v>2</v>
      </c>
      <c r="P275">
        <v>1</v>
      </c>
      <c r="Q275">
        <v>1</v>
      </c>
      <c r="R275">
        <v>1</v>
      </c>
      <c r="S275">
        <v>1</v>
      </c>
      <c r="T275">
        <v>2</v>
      </c>
      <c r="U275">
        <v>1</v>
      </c>
      <c r="V275">
        <v>1</v>
      </c>
      <c r="W275">
        <v>1</v>
      </c>
      <c r="X275">
        <v>1</v>
      </c>
      <c r="Y275">
        <v>1</v>
      </c>
      <c r="Z275">
        <v>1</v>
      </c>
      <c r="AA275">
        <v>1</v>
      </c>
      <c r="AB275">
        <v>1</v>
      </c>
      <c r="AC275">
        <v>1</v>
      </c>
      <c r="AD275">
        <v>2</v>
      </c>
      <c r="AE275">
        <v>1</v>
      </c>
      <c r="AF275">
        <v>1</v>
      </c>
      <c r="AG275">
        <v>1</v>
      </c>
      <c r="AH275">
        <v>1</v>
      </c>
      <c r="AI275">
        <v>1</v>
      </c>
      <c r="AJ275">
        <v>1</v>
      </c>
      <c r="AK275">
        <v>1</v>
      </c>
      <c r="AL275">
        <v>1</v>
      </c>
      <c r="AM275">
        <v>1</v>
      </c>
      <c r="AN275">
        <v>2</v>
      </c>
      <c r="AO275">
        <v>1</v>
      </c>
      <c r="AP275">
        <v>2</v>
      </c>
      <c r="AQ275">
        <v>1</v>
      </c>
      <c r="AR275">
        <v>1</v>
      </c>
      <c r="AT275">
        <v>1</v>
      </c>
      <c r="AU275">
        <v>1</v>
      </c>
      <c r="AW275">
        <v>1</v>
      </c>
      <c r="AX275">
        <v>2</v>
      </c>
      <c r="AY275">
        <v>2</v>
      </c>
    </row>
    <row r="276" spans="1:51" x14ac:dyDescent="0.3">
      <c r="A276" s="754">
        <v>980</v>
      </c>
      <c r="B276" t="s">
        <v>544</v>
      </c>
      <c r="D276" t="s">
        <v>1592</v>
      </c>
      <c r="E276" t="s">
        <v>1593</v>
      </c>
      <c r="F276" t="s">
        <v>928</v>
      </c>
      <c r="G276" t="s">
        <v>1594</v>
      </c>
      <c r="H276" t="s">
        <v>1595</v>
      </c>
      <c r="I276" t="s">
        <v>1596</v>
      </c>
      <c r="J276" t="s">
        <v>1597</v>
      </c>
      <c r="K276" t="s">
        <v>1242</v>
      </c>
      <c r="M276" t="s">
        <v>988</v>
      </c>
      <c r="N276" t="s">
        <v>1593</v>
      </c>
      <c r="O276" t="s">
        <v>1598</v>
      </c>
      <c r="P276" t="s">
        <v>985</v>
      </c>
      <c r="Q276" t="s">
        <v>1599</v>
      </c>
      <c r="R276" t="s">
        <v>1600</v>
      </c>
      <c r="S276" t="s">
        <v>1601</v>
      </c>
      <c r="T276" t="s">
        <v>1602</v>
      </c>
      <c r="U276" t="s">
        <v>1603</v>
      </c>
      <c r="V276" t="s">
        <v>1604</v>
      </c>
      <c r="W276" t="s">
        <v>1605</v>
      </c>
      <c r="X276" t="s">
        <v>1606</v>
      </c>
      <c r="Y276" t="s">
        <v>1607</v>
      </c>
      <c r="Z276" t="s">
        <v>1608</v>
      </c>
      <c r="AA276" t="s">
        <v>1609</v>
      </c>
      <c r="AB276" t="s">
        <v>1610</v>
      </c>
      <c r="AC276" t="s">
        <v>985</v>
      </c>
      <c r="AD276" t="s">
        <v>1593</v>
      </c>
      <c r="AE276" t="s">
        <v>1452</v>
      </c>
      <c r="AF276" t="s">
        <v>1611</v>
      </c>
      <c r="AG276" t="s">
        <v>1612</v>
      </c>
      <c r="AH276" t="s">
        <v>1246</v>
      </c>
      <c r="AI276" t="s">
        <v>928</v>
      </c>
      <c r="AJ276" t="s">
        <v>1613</v>
      </c>
      <c r="AK276" t="s">
        <v>1451</v>
      </c>
      <c r="AL276" t="s">
        <v>1246</v>
      </c>
      <c r="AM276" t="s">
        <v>1614</v>
      </c>
      <c r="AN276" t="s">
        <v>1593</v>
      </c>
      <c r="AO276" t="s">
        <v>1599</v>
      </c>
      <c r="AP276" t="s">
        <v>1593</v>
      </c>
      <c r="AQ276" t="s">
        <v>1615</v>
      </c>
      <c r="AR276" t="s">
        <v>1603</v>
      </c>
      <c r="AT276" t="s">
        <v>1615</v>
      </c>
      <c r="AU276" t="s">
        <v>1613</v>
      </c>
      <c r="AW276" t="s">
        <v>1616</v>
      </c>
      <c r="AX276" t="s">
        <v>1617</v>
      </c>
      <c r="AY276" t="s">
        <v>1593</v>
      </c>
    </row>
    <row r="277" spans="1:51" x14ac:dyDescent="0.3">
      <c r="A277" s="754">
        <v>984</v>
      </c>
      <c r="B277" t="s">
        <v>1618</v>
      </c>
      <c r="D277">
        <v>0</v>
      </c>
      <c r="E277">
        <v>0</v>
      </c>
      <c r="F277">
        <v>0</v>
      </c>
      <c r="G277">
        <v>0</v>
      </c>
      <c r="H277">
        <v>0</v>
      </c>
      <c r="I277">
        <v>0</v>
      </c>
      <c r="J277">
        <v>0</v>
      </c>
      <c r="K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T277">
        <v>0</v>
      </c>
      <c r="AU277">
        <v>0</v>
      </c>
      <c r="AW277">
        <v>0</v>
      </c>
      <c r="AX277">
        <v>0</v>
      </c>
      <c r="AY277">
        <v>0</v>
      </c>
    </row>
    <row r="278" spans="1:51" x14ac:dyDescent="0.3">
      <c r="A278" s="754">
        <v>985</v>
      </c>
      <c r="B278" t="s">
        <v>1619</v>
      </c>
      <c r="D278">
        <v>0</v>
      </c>
      <c r="E278">
        <v>0</v>
      </c>
      <c r="F278">
        <v>0</v>
      </c>
      <c r="G278">
        <v>0</v>
      </c>
      <c r="H278">
        <v>0</v>
      </c>
      <c r="I278">
        <v>0</v>
      </c>
      <c r="J278">
        <v>0</v>
      </c>
      <c r="K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T278">
        <v>0</v>
      </c>
      <c r="AU278">
        <v>0</v>
      </c>
      <c r="AW278">
        <v>0</v>
      </c>
      <c r="AX278">
        <v>0</v>
      </c>
      <c r="AY278">
        <v>0</v>
      </c>
    </row>
    <row r="279" spans="1:51" x14ac:dyDescent="0.3">
      <c r="A279" s="754">
        <v>986</v>
      </c>
      <c r="B279" t="s">
        <v>545</v>
      </c>
      <c r="D279">
        <v>0</v>
      </c>
      <c r="E279">
        <v>0</v>
      </c>
      <c r="F279">
        <v>0</v>
      </c>
      <c r="G279">
        <v>0</v>
      </c>
      <c r="H279">
        <v>0</v>
      </c>
      <c r="I279">
        <v>0</v>
      </c>
      <c r="J279">
        <v>0</v>
      </c>
      <c r="K279">
        <v>0</v>
      </c>
      <c r="M279">
        <v>0</v>
      </c>
      <c r="N279">
        <v>0</v>
      </c>
      <c r="O279">
        <v>0</v>
      </c>
      <c r="P279">
        <v>4107291</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T279">
        <v>0</v>
      </c>
      <c r="AU279">
        <v>0</v>
      </c>
      <c r="AW279">
        <v>0</v>
      </c>
      <c r="AX279">
        <v>0</v>
      </c>
      <c r="AY279">
        <v>1150118</v>
      </c>
    </row>
    <row r="280" spans="1:51" x14ac:dyDescent="0.3">
      <c r="A280" s="754">
        <v>987</v>
      </c>
      <c r="B280" t="s">
        <v>1537</v>
      </c>
      <c r="D280">
        <v>0</v>
      </c>
      <c r="E280">
        <v>0</v>
      </c>
      <c r="F280">
        <v>0</v>
      </c>
      <c r="G280">
        <v>0</v>
      </c>
      <c r="H280">
        <v>0</v>
      </c>
      <c r="I280">
        <v>0</v>
      </c>
      <c r="J280">
        <v>0</v>
      </c>
      <c r="K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T280">
        <v>0</v>
      </c>
      <c r="AU280">
        <v>0</v>
      </c>
      <c r="AW280">
        <v>0</v>
      </c>
      <c r="AX280">
        <v>0</v>
      </c>
      <c r="AY280">
        <v>0</v>
      </c>
    </row>
    <row r="281" spans="1:51" x14ac:dyDescent="0.3">
      <c r="A281" s="754">
        <v>988</v>
      </c>
      <c r="B281" t="s">
        <v>1620</v>
      </c>
      <c r="D281">
        <v>0</v>
      </c>
      <c r="E281">
        <v>0</v>
      </c>
      <c r="F281">
        <v>0</v>
      </c>
      <c r="G281">
        <v>0</v>
      </c>
      <c r="H281">
        <v>0</v>
      </c>
      <c r="I281">
        <v>0</v>
      </c>
      <c r="J281">
        <v>0</v>
      </c>
      <c r="K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T281">
        <v>0</v>
      </c>
      <c r="AU281">
        <v>0</v>
      </c>
      <c r="AW281">
        <v>0</v>
      </c>
      <c r="AX281">
        <v>0</v>
      </c>
      <c r="AY281">
        <v>0</v>
      </c>
    </row>
    <row r="282" spans="1:51" x14ac:dyDescent="0.3">
      <c r="A282" s="754">
        <v>989</v>
      </c>
      <c r="B282" t="s">
        <v>1621</v>
      </c>
      <c r="D282">
        <v>0</v>
      </c>
      <c r="E282">
        <v>0</v>
      </c>
      <c r="F282">
        <v>0</v>
      </c>
      <c r="G282">
        <v>0</v>
      </c>
      <c r="H282">
        <v>0</v>
      </c>
      <c r="I282">
        <v>0</v>
      </c>
      <c r="J282">
        <v>0</v>
      </c>
      <c r="K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0</v>
      </c>
      <c r="AT282">
        <v>0</v>
      </c>
      <c r="AU282">
        <v>0</v>
      </c>
      <c r="AW282">
        <v>0</v>
      </c>
      <c r="AX282">
        <v>0</v>
      </c>
      <c r="AY282">
        <v>0</v>
      </c>
    </row>
    <row r="283" spans="1:51" x14ac:dyDescent="0.3">
      <c r="A283" s="754">
        <v>990</v>
      </c>
      <c r="B283" t="s">
        <v>537</v>
      </c>
      <c r="D283">
        <v>0</v>
      </c>
      <c r="E283">
        <v>0</v>
      </c>
      <c r="F283">
        <v>0</v>
      </c>
      <c r="G283">
        <v>0</v>
      </c>
      <c r="H283">
        <v>0</v>
      </c>
      <c r="I283">
        <v>0</v>
      </c>
      <c r="J283">
        <v>0</v>
      </c>
      <c r="K283">
        <v>0</v>
      </c>
      <c r="M283">
        <v>0</v>
      </c>
      <c r="N283">
        <v>0</v>
      </c>
      <c r="O283">
        <v>0</v>
      </c>
      <c r="P283">
        <v>11450867</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T283">
        <v>0</v>
      </c>
      <c r="AU283">
        <v>0</v>
      </c>
      <c r="AW283">
        <v>0</v>
      </c>
      <c r="AX283">
        <v>0</v>
      </c>
      <c r="AY283">
        <v>0</v>
      </c>
    </row>
    <row r="284" spans="1:51" x14ac:dyDescent="0.3">
      <c r="A284" s="754">
        <v>991</v>
      </c>
      <c r="B284" t="s">
        <v>1622</v>
      </c>
      <c r="D284">
        <v>0</v>
      </c>
      <c r="E284">
        <v>0</v>
      </c>
      <c r="F284">
        <v>0</v>
      </c>
      <c r="G284">
        <v>0</v>
      </c>
      <c r="H284">
        <v>0</v>
      </c>
      <c r="I284">
        <v>0</v>
      </c>
      <c r="J284">
        <v>0</v>
      </c>
      <c r="K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T284">
        <v>0</v>
      </c>
      <c r="AU284">
        <v>0</v>
      </c>
      <c r="AW284">
        <v>0</v>
      </c>
      <c r="AX284">
        <v>0</v>
      </c>
      <c r="AY284">
        <v>0</v>
      </c>
    </row>
    <row r="285" spans="1:51" x14ac:dyDescent="0.3">
      <c r="A285" s="754">
        <v>995</v>
      </c>
      <c r="B285" t="s">
        <v>1623</v>
      </c>
      <c r="D285">
        <v>0</v>
      </c>
      <c r="E285">
        <v>0</v>
      </c>
      <c r="F285">
        <v>0</v>
      </c>
      <c r="G285">
        <v>0</v>
      </c>
      <c r="H285">
        <v>0</v>
      </c>
      <c r="I285">
        <v>0</v>
      </c>
      <c r="J285">
        <v>0</v>
      </c>
      <c r="K285">
        <v>0</v>
      </c>
      <c r="L285">
        <v>0</v>
      </c>
      <c r="M285">
        <v>0</v>
      </c>
      <c r="N285">
        <v>0</v>
      </c>
      <c r="O285">
        <v>0</v>
      </c>
      <c r="P285">
        <v>0.09</v>
      </c>
      <c r="Q285">
        <v>0</v>
      </c>
      <c r="R285">
        <v>0</v>
      </c>
      <c r="S285">
        <v>0</v>
      </c>
      <c r="T285">
        <v>0</v>
      </c>
      <c r="U285">
        <v>0.08</v>
      </c>
      <c r="V285">
        <v>0</v>
      </c>
      <c r="W285">
        <v>0</v>
      </c>
      <c r="X285">
        <v>0</v>
      </c>
      <c r="Y285">
        <v>0</v>
      </c>
      <c r="Z285">
        <v>0</v>
      </c>
      <c r="AA285">
        <v>0</v>
      </c>
      <c r="AB285">
        <v>0</v>
      </c>
      <c r="AC285">
        <v>0</v>
      </c>
      <c r="AD285">
        <v>0</v>
      </c>
      <c r="AE285">
        <v>0</v>
      </c>
      <c r="AF285">
        <v>0</v>
      </c>
      <c r="AG285">
        <v>0</v>
      </c>
      <c r="AH285">
        <v>0</v>
      </c>
      <c r="AI285">
        <v>0</v>
      </c>
      <c r="AJ285">
        <v>0</v>
      </c>
      <c r="AK285">
        <v>0</v>
      </c>
      <c r="AL285">
        <v>0</v>
      </c>
      <c r="AM285">
        <v>0</v>
      </c>
      <c r="AN285">
        <v>0</v>
      </c>
      <c r="AO285">
        <v>0</v>
      </c>
      <c r="AP285">
        <v>0</v>
      </c>
      <c r="AQ285">
        <v>0</v>
      </c>
      <c r="AR285">
        <v>0</v>
      </c>
      <c r="AS285">
        <v>0</v>
      </c>
      <c r="AT285">
        <v>0</v>
      </c>
      <c r="AU285">
        <v>0</v>
      </c>
      <c r="AV285">
        <v>0</v>
      </c>
      <c r="AW285">
        <v>0</v>
      </c>
      <c r="AX285">
        <v>0</v>
      </c>
      <c r="AY285">
        <v>0</v>
      </c>
    </row>
    <row r="286" spans="1:51" x14ac:dyDescent="0.3">
      <c r="A286" s="754">
        <v>996</v>
      </c>
      <c r="B286" t="s">
        <v>252</v>
      </c>
      <c r="D286">
        <v>0.01</v>
      </c>
      <c r="E286">
        <v>0.01</v>
      </c>
      <c r="F286">
        <v>0.01</v>
      </c>
      <c r="G286">
        <v>0.01</v>
      </c>
      <c r="H286">
        <v>0.01</v>
      </c>
      <c r="I286">
        <v>0.01</v>
      </c>
      <c r="J286">
        <v>0.01</v>
      </c>
      <c r="K286">
        <v>0.01</v>
      </c>
      <c r="L286">
        <v>0.01</v>
      </c>
      <c r="M286">
        <v>0.01</v>
      </c>
      <c r="N286">
        <v>0.01</v>
      </c>
      <c r="O286">
        <v>0.01</v>
      </c>
      <c r="P286">
        <v>0.01</v>
      </c>
      <c r="Q286">
        <v>0.01</v>
      </c>
      <c r="R286">
        <v>0.01</v>
      </c>
      <c r="S286">
        <v>0.01</v>
      </c>
      <c r="T286">
        <v>0.01</v>
      </c>
      <c r="U286">
        <v>0</v>
      </c>
      <c r="V286">
        <v>0.01</v>
      </c>
      <c r="W286">
        <v>0.01</v>
      </c>
      <c r="X286">
        <v>0.01</v>
      </c>
      <c r="Y286">
        <v>0.01</v>
      </c>
      <c r="Z286">
        <v>0.01</v>
      </c>
      <c r="AA286">
        <v>0.01</v>
      </c>
      <c r="AB286">
        <v>0.01</v>
      </c>
      <c r="AC286">
        <v>0.01</v>
      </c>
      <c r="AD286">
        <v>0.01</v>
      </c>
      <c r="AE286">
        <v>0.01</v>
      </c>
      <c r="AF286">
        <v>0.01</v>
      </c>
      <c r="AG286">
        <v>0.01</v>
      </c>
      <c r="AH286">
        <v>0.01</v>
      </c>
      <c r="AI286">
        <v>0.01</v>
      </c>
      <c r="AJ286">
        <v>0.01</v>
      </c>
      <c r="AK286">
        <v>0.01</v>
      </c>
      <c r="AL286">
        <v>0.01</v>
      </c>
      <c r="AM286">
        <v>0.01</v>
      </c>
      <c r="AN286">
        <v>0.01</v>
      </c>
      <c r="AO286">
        <v>0.01</v>
      </c>
      <c r="AP286">
        <v>0.01</v>
      </c>
      <c r="AQ286">
        <v>0.01</v>
      </c>
      <c r="AR286">
        <v>0.01</v>
      </c>
      <c r="AS286">
        <v>0.01</v>
      </c>
      <c r="AT286">
        <v>0.01</v>
      </c>
      <c r="AU286">
        <v>0.01</v>
      </c>
      <c r="AV286">
        <v>0.01</v>
      </c>
      <c r="AW286">
        <v>0.01</v>
      </c>
      <c r="AX286">
        <v>0.01</v>
      </c>
      <c r="AY286">
        <v>0.01</v>
      </c>
    </row>
    <row r="287" spans="1:51" x14ac:dyDescent="0.3">
      <c r="A287" s="754">
        <v>998</v>
      </c>
      <c r="B287" t="s">
        <v>253</v>
      </c>
      <c r="D287">
        <v>59</v>
      </c>
      <c r="E287">
        <v>59</v>
      </c>
      <c r="F287">
        <v>59</v>
      </c>
      <c r="G287">
        <v>59</v>
      </c>
      <c r="H287">
        <v>59</v>
      </c>
      <c r="I287">
        <v>59</v>
      </c>
      <c r="J287">
        <v>59</v>
      </c>
      <c r="K287">
        <v>59</v>
      </c>
      <c r="L287">
        <v>59</v>
      </c>
      <c r="M287">
        <v>59</v>
      </c>
      <c r="N287">
        <v>59</v>
      </c>
      <c r="O287">
        <v>59</v>
      </c>
      <c r="P287">
        <v>59</v>
      </c>
      <c r="Q287">
        <v>59</v>
      </c>
      <c r="R287">
        <v>59</v>
      </c>
      <c r="S287">
        <v>59</v>
      </c>
      <c r="T287">
        <v>59</v>
      </c>
      <c r="U287">
        <v>59</v>
      </c>
      <c r="V287">
        <v>59</v>
      </c>
      <c r="W287">
        <v>59</v>
      </c>
      <c r="X287">
        <v>59</v>
      </c>
      <c r="Y287">
        <v>59</v>
      </c>
      <c r="Z287">
        <v>59</v>
      </c>
      <c r="AA287">
        <v>59</v>
      </c>
      <c r="AB287">
        <v>59</v>
      </c>
      <c r="AC287">
        <v>59</v>
      </c>
      <c r="AD287">
        <v>59</v>
      </c>
      <c r="AE287">
        <v>59</v>
      </c>
      <c r="AF287">
        <v>59</v>
      </c>
      <c r="AG287">
        <v>59</v>
      </c>
      <c r="AH287">
        <v>59</v>
      </c>
      <c r="AI287">
        <v>59</v>
      </c>
      <c r="AJ287">
        <v>59</v>
      </c>
      <c r="AK287">
        <v>59</v>
      </c>
      <c r="AL287">
        <v>59</v>
      </c>
      <c r="AM287">
        <v>59</v>
      </c>
      <c r="AN287">
        <v>59</v>
      </c>
      <c r="AO287">
        <v>59</v>
      </c>
      <c r="AP287">
        <v>59</v>
      </c>
      <c r="AQ287">
        <v>59</v>
      </c>
      <c r="AR287">
        <v>59</v>
      </c>
      <c r="AS287">
        <v>59</v>
      </c>
      <c r="AT287">
        <v>59</v>
      </c>
      <c r="AU287">
        <v>59</v>
      </c>
      <c r="AV287">
        <v>59</v>
      </c>
      <c r="AW287">
        <v>59</v>
      </c>
      <c r="AX287">
        <v>59</v>
      </c>
      <c r="AY287">
        <v>59</v>
      </c>
    </row>
    <row r="288" spans="1:51" x14ac:dyDescent="0.3">
      <c r="A288" s="754">
        <v>999</v>
      </c>
      <c r="B288" t="s">
        <v>254</v>
      </c>
      <c r="D288">
        <v>591706</v>
      </c>
      <c r="E288">
        <v>591600</v>
      </c>
      <c r="F288">
        <v>592152</v>
      </c>
      <c r="G288">
        <v>591612</v>
      </c>
      <c r="H288">
        <v>591752</v>
      </c>
      <c r="I288">
        <v>591715</v>
      </c>
      <c r="J288">
        <v>592388</v>
      </c>
      <c r="K288">
        <v>591603</v>
      </c>
      <c r="L288">
        <v>591604</v>
      </c>
      <c r="M288">
        <v>591721</v>
      </c>
      <c r="N288">
        <v>591605</v>
      </c>
      <c r="O288">
        <v>591632</v>
      </c>
      <c r="P288">
        <v>594150</v>
      </c>
      <c r="Q288">
        <v>591606</v>
      </c>
      <c r="R288">
        <v>592181</v>
      </c>
      <c r="S288">
        <v>591607</v>
      </c>
      <c r="T288">
        <v>591608</v>
      </c>
      <c r="U288">
        <v>591737</v>
      </c>
      <c r="V288">
        <v>591609</v>
      </c>
      <c r="W288">
        <v>591610</v>
      </c>
      <c r="X288">
        <v>591611</v>
      </c>
      <c r="Y288">
        <v>591749</v>
      </c>
      <c r="Z288">
        <v>591613</v>
      </c>
      <c r="AA288">
        <v>592396</v>
      </c>
      <c r="AB288">
        <v>591614</v>
      </c>
      <c r="AC288">
        <v>592180</v>
      </c>
      <c r="AD288">
        <v>591615</v>
      </c>
      <c r="AE288">
        <v>591616</v>
      </c>
      <c r="AF288">
        <v>592158</v>
      </c>
      <c r="AG288">
        <v>591759</v>
      </c>
      <c r="AH288">
        <v>591762</v>
      </c>
      <c r="AI288">
        <v>591619</v>
      </c>
      <c r="AJ288">
        <v>591770</v>
      </c>
      <c r="AK288">
        <v>591620</v>
      </c>
      <c r="AL288">
        <v>592357</v>
      </c>
      <c r="AM288">
        <v>59713</v>
      </c>
      <c r="AN288">
        <v>591622</v>
      </c>
      <c r="AO288">
        <v>591623</v>
      </c>
      <c r="AP288">
        <v>591624</v>
      </c>
      <c r="AQ288">
        <v>592368</v>
      </c>
      <c r="AR288">
        <v>592155</v>
      </c>
      <c r="AS288">
        <v>591633</v>
      </c>
      <c r="AT288">
        <v>591768</v>
      </c>
      <c r="AU288">
        <v>591634</v>
      </c>
      <c r="AV288">
        <v>591627</v>
      </c>
      <c r="AW288">
        <v>591628</v>
      </c>
      <c r="AX288">
        <v>591629</v>
      </c>
      <c r="AY288">
        <v>591636</v>
      </c>
    </row>
    <row r="289" spans="1:51" x14ac:dyDescent="0.3">
      <c r="A289" s="754">
        <v>9000</v>
      </c>
      <c r="B289" t="s">
        <v>935</v>
      </c>
      <c r="C289" t="s">
        <v>327</v>
      </c>
      <c r="D289">
        <v>94957734.010000005</v>
      </c>
      <c r="E289">
        <v>146903481.00999999</v>
      </c>
      <c r="F289">
        <v>269526298.00999999</v>
      </c>
      <c r="G289">
        <v>937071513.00999999</v>
      </c>
      <c r="H289">
        <v>2974917958.0100002</v>
      </c>
      <c r="I289">
        <v>947515058.00999999</v>
      </c>
      <c r="J289">
        <v>4822243367.0100002</v>
      </c>
      <c r="K289">
        <v>301399884.66000003</v>
      </c>
      <c r="L289">
        <v>591663.01</v>
      </c>
      <c r="M289">
        <v>172356668.00999999</v>
      </c>
      <c r="N289">
        <v>189288037.00999999</v>
      </c>
      <c r="O289">
        <v>20867318.010000002</v>
      </c>
      <c r="P289">
        <v>9786051513.1000004</v>
      </c>
      <c r="Q289">
        <v>37569177.009999998</v>
      </c>
      <c r="R289">
        <v>25617567.010000002</v>
      </c>
      <c r="S289">
        <v>154190513.00999999</v>
      </c>
      <c r="T289">
        <v>24748816.010000002</v>
      </c>
      <c r="U289">
        <v>4500422709.9799995</v>
      </c>
      <c r="V289">
        <v>136550373.00999999</v>
      </c>
      <c r="W289">
        <v>17331951.010000002</v>
      </c>
      <c r="X289">
        <v>131605445.48</v>
      </c>
      <c r="Y289">
        <v>261706643.00999999</v>
      </c>
      <c r="Z289">
        <v>60324888.009999998</v>
      </c>
      <c r="AA289">
        <v>123631845.01000001</v>
      </c>
      <c r="AB289">
        <v>20505484.010000002</v>
      </c>
      <c r="AC289">
        <v>620543858.00999999</v>
      </c>
      <c r="AD289">
        <v>79709876.010000005</v>
      </c>
      <c r="AE289">
        <v>26807418.010000002</v>
      </c>
      <c r="AF289">
        <v>1393444582.01</v>
      </c>
      <c r="AG289">
        <v>2072879547.01</v>
      </c>
      <c r="AH289">
        <v>611410834.00999999</v>
      </c>
      <c r="AI289">
        <v>352548018.00999999</v>
      </c>
      <c r="AJ289">
        <v>34410524.009999998</v>
      </c>
      <c r="AK289">
        <v>18671758.481699999</v>
      </c>
      <c r="AL289">
        <v>551909397.00999999</v>
      </c>
      <c r="AM289">
        <v>92111343.010000005</v>
      </c>
      <c r="AN289">
        <v>187383577.00999999</v>
      </c>
      <c r="AO289">
        <v>45458554.009999998</v>
      </c>
      <c r="AP289">
        <v>45151991.009999998</v>
      </c>
      <c r="AQ289">
        <v>62821022.009999998</v>
      </c>
      <c r="AR289">
        <v>8040478.0099999998</v>
      </c>
      <c r="AS289">
        <v>591692.01</v>
      </c>
      <c r="AT289">
        <v>311304024.00999999</v>
      </c>
      <c r="AU289">
        <v>35264329.009999998</v>
      </c>
      <c r="AV289">
        <v>591686.01</v>
      </c>
      <c r="AW289">
        <v>1915336.01</v>
      </c>
      <c r="AX289">
        <v>70279183.010000005</v>
      </c>
      <c r="AY289">
        <v>163025537.00999999</v>
      </c>
    </row>
    <row r="290" spans="1:51" x14ac:dyDescent="0.3">
      <c r="A290" s="754">
        <v>9001</v>
      </c>
      <c r="B290" t="s">
        <v>936</v>
      </c>
      <c r="C290" t="s">
        <v>937</v>
      </c>
      <c r="D290">
        <v>0</v>
      </c>
      <c r="E290">
        <v>0</v>
      </c>
      <c r="F290">
        <v>0</v>
      </c>
      <c r="G290">
        <v>0</v>
      </c>
      <c r="H290">
        <v>0</v>
      </c>
      <c r="I290">
        <v>0</v>
      </c>
      <c r="J290">
        <v>0</v>
      </c>
      <c r="K290">
        <v>0</v>
      </c>
      <c r="L290">
        <v>0</v>
      </c>
      <c r="M290">
        <v>0</v>
      </c>
      <c r="N290">
        <v>0</v>
      </c>
      <c r="O290">
        <v>0</v>
      </c>
      <c r="P290">
        <v>0</v>
      </c>
      <c r="Q290">
        <v>0</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1901148</v>
      </c>
      <c r="AL290">
        <v>0</v>
      </c>
      <c r="AM290">
        <v>0</v>
      </c>
      <c r="AN290">
        <v>0</v>
      </c>
      <c r="AO290">
        <v>0</v>
      </c>
      <c r="AP290">
        <v>0</v>
      </c>
      <c r="AQ290">
        <v>0</v>
      </c>
      <c r="AR290">
        <v>0</v>
      </c>
      <c r="AS290">
        <v>0</v>
      </c>
      <c r="AT290">
        <v>0</v>
      </c>
      <c r="AU290">
        <v>0</v>
      </c>
      <c r="AV290">
        <v>0</v>
      </c>
      <c r="AW290">
        <v>0</v>
      </c>
      <c r="AX290">
        <v>0</v>
      </c>
      <c r="AY290">
        <v>0</v>
      </c>
    </row>
    <row r="291" spans="1:51" x14ac:dyDescent="0.3">
      <c r="A291" s="754">
        <v>9002</v>
      </c>
      <c r="B291" t="s">
        <v>938</v>
      </c>
      <c r="C291" t="s">
        <v>939</v>
      </c>
      <c r="D291">
        <v>0</v>
      </c>
      <c r="E291">
        <v>0</v>
      </c>
      <c r="F291">
        <v>0</v>
      </c>
      <c r="G291">
        <v>0</v>
      </c>
      <c r="H291">
        <v>0</v>
      </c>
      <c r="I291">
        <v>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48905</v>
      </c>
      <c r="AL291">
        <v>0</v>
      </c>
      <c r="AM291">
        <v>0</v>
      </c>
      <c r="AN291">
        <v>0</v>
      </c>
      <c r="AO291">
        <v>0</v>
      </c>
      <c r="AP291">
        <v>0</v>
      </c>
      <c r="AQ291">
        <v>0</v>
      </c>
      <c r="AR291">
        <v>0</v>
      </c>
      <c r="AS291">
        <v>0</v>
      </c>
      <c r="AT291">
        <v>0</v>
      </c>
      <c r="AU291">
        <v>0</v>
      </c>
      <c r="AV291">
        <v>0</v>
      </c>
      <c r="AW291">
        <v>0</v>
      </c>
      <c r="AX291">
        <v>0</v>
      </c>
      <c r="AY291">
        <v>0</v>
      </c>
    </row>
    <row r="292" spans="1:51" x14ac:dyDescent="0.3">
      <c r="A292" s="754">
        <v>9003</v>
      </c>
      <c r="B292" t="s">
        <v>940</v>
      </c>
      <c r="C292" t="s">
        <v>941</v>
      </c>
      <c r="D292">
        <v>0</v>
      </c>
      <c r="E292">
        <v>0</v>
      </c>
      <c r="F292">
        <v>0</v>
      </c>
      <c r="G292">
        <v>0</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48905</v>
      </c>
      <c r="AL292">
        <v>0</v>
      </c>
      <c r="AM292">
        <v>0</v>
      </c>
      <c r="AN292">
        <v>0</v>
      </c>
      <c r="AO292">
        <v>0</v>
      </c>
      <c r="AP292">
        <v>0</v>
      </c>
      <c r="AQ292">
        <v>0</v>
      </c>
      <c r="AR292">
        <v>0</v>
      </c>
      <c r="AS292">
        <v>0</v>
      </c>
      <c r="AT292">
        <v>0</v>
      </c>
      <c r="AU292">
        <v>0</v>
      </c>
      <c r="AV292">
        <v>0</v>
      </c>
      <c r="AW292">
        <v>0</v>
      </c>
      <c r="AX292">
        <v>0</v>
      </c>
      <c r="AY292">
        <v>0</v>
      </c>
    </row>
    <row r="293" spans="1:51" x14ac:dyDescent="0.3">
      <c r="A293" s="754">
        <v>9004</v>
      </c>
      <c r="B293" t="s">
        <v>942</v>
      </c>
      <c r="C293" t="s">
        <v>943</v>
      </c>
      <c r="D293" t="s">
        <v>944</v>
      </c>
      <c r="E293" t="s">
        <v>944</v>
      </c>
      <c r="F293" t="s">
        <v>944</v>
      </c>
      <c r="G293" t="s">
        <v>944</v>
      </c>
      <c r="H293" t="s">
        <v>944</v>
      </c>
      <c r="I293" t="s">
        <v>944</v>
      </c>
      <c r="J293" t="s">
        <v>944</v>
      </c>
      <c r="K293" t="s">
        <v>944</v>
      </c>
      <c r="L293" t="s">
        <v>944</v>
      </c>
      <c r="M293" t="s">
        <v>944</v>
      </c>
      <c r="N293" t="s">
        <v>944</v>
      </c>
      <c r="O293" t="s">
        <v>944</v>
      </c>
      <c r="P293" t="s">
        <v>944</v>
      </c>
      <c r="Q293" t="s">
        <v>944</v>
      </c>
      <c r="R293" t="s">
        <v>944</v>
      </c>
      <c r="S293" t="s">
        <v>944</v>
      </c>
      <c r="T293" t="s">
        <v>944</v>
      </c>
      <c r="U293" t="s">
        <v>327</v>
      </c>
      <c r="V293" t="s">
        <v>944</v>
      </c>
      <c r="W293" t="s">
        <v>944</v>
      </c>
      <c r="X293" t="s">
        <v>944</v>
      </c>
      <c r="Y293" t="s">
        <v>944</v>
      </c>
      <c r="Z293" t="s">
        <v>944</v>
      </c>
      <c r="AA293" t="s">
        <v>944</v>
      </c>
      <c r="AB293" t="s">
        <v>944</v>
      </c>
      <c r="AC293" t="s">
        <v>944</v>
      </c>
      <c r="AD293" t="s">
        <v>944</v>
      </c>
      <c r="AE293" t="s">
        <v>944</v>
      </c>
      <c r="AF293" t="s">
        <v>944</v>
      </c>
      <c r="AG293" t="s">
        <v>944</v>
      </c>
      <c r="AH293" t="s">
        <v>944</v>
      </c>
      <c r="AI293" t="s">
        <v>944</v>
      </c>
      <c r="AJ293" t="s">
        <v>944</v>
      </c>
      <c r="AK293" t="s">
        <v>944</v>
      </c>
      <c r="AL293" t="s">
        <v>944</v>
      </c>
      <c r="AM293" t="s">
        <v>944</v>
      </c>
      <c r="AN293" t="s">
        <v>944</v>
      </c>
      <c r="AO293" t="s">
        <v>944</v>
      </c>
      <c r="AP293" t="s">
        <v>944</v>
      </c>
      <c r="AQ293" t="s">
        <v>944</v>
      </c>
      <c r="AR293" t="s">
        <v>944</v>
      </c>
      <c r="AS293" t="s">
        <v>944</v>
      </c>
      <c r="AT293" t="s">
        <v>944</v>
      </c>
      <c r="AU293" t="s">
        <v>944</v>
      </c>
      <c r="AV293" t="s">
        <v>944</v>
      </c>
      <c r="AW293" t="s">
        <v>944</v>
      </c>
      <c r="AX293" t="s">
        <v>944</v>
      </c>
      <c r="AY293" t="s">
        <v>944</v>
      </c>
    </row>
    <row r="294" spans="1:51" x14ac:dyDescent="0.3">
      <c r="A294" s="754">
        <v>9005</v>
      </c>
      <c r="B294" t="s">
        <v>945</v>
      </c>
      <c r="C294" t="s">
        <v>946</v>
      </c>
      <c r="D294">
        <v>0</v>
      </c>
      <c r="E294">
        <v>0</v>
      </c>
      <c r="F294">
        <v>0</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row>
    <row r="295" spans="1:51" x14ac:dyDescent="0.3">
      <c r="A295" s="754">
        <v>9006</v>
      </c>
      <c r="B295" t="s">
        <v>947</v>
      </c>
      <c r="C295" t="s">
        <v>948</v>
      </c>
      <c r="D295">
        <v>0</v>
      </c>
      <c r="E295">
        <v>0</v>
      </c>
      <c r="F295">
        <v>0</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row>
    <row r="296" spans="1:51" x14ac:dyDescent="0.3">
      <c r="A296" s="754">
        <v>9007</v>
      </c>
      <c r="B296" t="s">
        <v>1327</v>
      </c>
      <c r="C296" t="s">
        <v>949</v>
      </c>
      <c r="D296">
        <v>0</v>
      </c>
      <c r="E296">
        <v>0</v>
      </c>
      <c r="F296">
        <v>0</v>
      </c>
      <c r="G296">
        <v>0</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c r="AW296">
        <v>0</v>
      </c>
      <c r="AX296">
        <v>0</v>
      </c>
      <c r="AY296">
        <v>0</v>
      </c>
    </row>
    <row r="297" spans="1:51" x14ac:dyDescent="0.3">
      <c r="A297" s="754">
        <v>9008</v>
      </c>
      <c r="B297" t="s">
        <v>950</v>
      </c>
      <c r="C297" t="s">
        <v>327</v>
      </c>
      <c r="D297">
        <v>0</v>
      </c>
      <c r="E297">
        <v>0</v>
      </c>
      <c r="F297">
        <v>0</v>
      </c>
      <c r="G297">
        <v>0</v>
      </c>
      <c r="H297">
        <v>0</v>
      </c>
      <c r="I297">
        <v>0</v>
      </c>
      <c r="J297">
        <v>0</v>
      </c>
      <c r="K297">
        <v>0</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row>
    <row r="298" spans="1:51" x14ac:dyDescent="0.3">
      <c r="A298" s="754">
        <v>9010</v>
      </c>
      <c r="B298" t="s">
        <v>951</v>
      </c>
      <c r="C298" t="s">
        <v>952</v>
      </c>
      <c r="D298">
        <v>4.53</v>
      </c>
      <c r="E298">
        <v>19.77</v>
      </c>
      <c r="F298">
        <v>3.44</v>
      </c>
      <c r="G298">
        <v>10.89</v>
      </c>
      <c r="H298">
        <v>19.28</v>
      </c>
      <c r="I298">
        <v>9.7799999999999994</v>
      </c>
      <c r="J298">
        <v>2.41</v>
      </c>
      <c r="K298">
        <v>7.74</v>
      </c>
      <c r="L298">
        <v>0</v>
      </c>
      <c r="M298">
        <v>3.29</v>
      </c>
      <c r="N298">
        <v>9.4600000000000009</v>
      </c>
      <c r="O298">
        <v>1.69</v>
      </c>
      <c r="P298">
        <v>1.7</v>
      </c>
      <c r="Q298">
        <v>5.05</v>
      </c>
      <c r="R298">
        <v>1.01</v>
      </c>
      <c r="S298">
        <v>12.32</v>
      </c>
      <c r="T298">
        <v>10.35</v>
      </c>
      <c r="U298">
        <v>3.42</v>
      </c>
      <c r="V298">
        <v>3.95</v>
      </c>
      <c r="W298">
        <v>27.12</v>
      </c>
      <c r="X298">
        <v>2.16</v>
      </c>
      <c r="Y298">
        <v>1.64</v>
      </c>
      <c r="Z298">
        <v>4.7300000000000004</v>
      </c>
      <c r="AA298">
        <v>4.4400000000000004</v>
      </c>
      <c r="AB298">
        <v>59.03</v>
      </c>
      <c r="AC298">
        <v>2.41</v>
      </c>
      <c r="AD298">
        <v>13.28</v>
      </c>
      <c r="AE298">
        <v>3.28</v>
      </c>
      <c r="AF298">
        <v>4.75</v>
      </c>
      <c r="AG298">
        <v>1.53</v>
      </c>
      <c r="AH298">
        <v>8.18</v>
      </c>
      <c r="AI298">
        <v>14.93</v>
      </c>
      <c r="AJ298">
        <v>7.58</v>
      </c>
      <c r="AK298">
        <v>24.59</v>
      </c>
      <c r="AL298">
        <v>6.54</v>
      </c>
      <c r="AM298">
        <v>19.940000000000001</v>
      </c>
      <c r="AN298">
        <v>17.149999999999999</v>
      </c>
      <c r="AO298">
        <v>47.49</v>
      </c>
      <c r="AP298">
        <v>17.579999999999998</v>
      </c>
      <c r="AQ298">
        <v>7.54</v>
      </c>
      <c r="AR298">
        <v>59.2</v>
      </c>
      <c r="AS298">
        <v>0</v>
      </c>
      <c r="AT298">
        <v>41.34</v>
      </c>
      <c r="AU298">
        <v>0</v>
      </c>
      <c r="AV298">
        <v>0</v>
      </c>
      <c r="AW298">
        <v>32.799999999999997</v>
      </c>
      <c r="AX298">
        <v>15.78</v>
      </c>
      <c r="AY298">
        <v>2.8</v>
      </c>
    </row>
    <row r="299" spans="1:51" x14ac:dyDescent="0.3">
      <c r="A299" s="754">
        <v>9011</v>
      </c>
      <c r="B299" t="s">
        <v>1579</v>
      </c>
      <c r="C299" t="s">
        <v>953</v>
      </c>
      <c r="D299">
        <v>-213244</v>
      </c>
      <c r="E299">
        <v>583090</v>
      </c>
      <c r="F299">
        <v>1822022</v>
      </c>
      <c r="G299">
        <v>6413135</v>
      </c>
      <c r="H299">
        <v>19958254</v>
      </c>
      <c r="I299">
        <v>3004862</v>
      </c>
      <c r="J299">
        <v>17758758</v>
      </c>
      <c r="K299">
        <v>877148</v>
      </c>
      <c r="L299">
        <v>0</v>
      </c>
      <c r="M299">
        <v>-317122</v>
      </c>
      <c r="N299">
        <v>601801</v>
      </c>
      <c r="O299">
        <v>-24406</v>
      </c>
      <c r="P299">
        <v>26649164</v>
      </c>
      <c r="Q299">
        <v>277104</v>
      </c>
      <c r="R299">
        <v>-10370</v>
      </c>
      <c r="S299">
        <v>1031465</v>
      </c>
      <c r="T299">
        <v>380706</v>
      </c>
      <c r="U299">
        <v>4774304</v>
      </c>
      <c r="V299">
        <v>524401</v>
      </c>
      <c r="W299">
        <v>279315</v>
      </c>
      <c r="X299">
        <v>-140684</v>
      </c>
      <c r="Y299">
        <v>-552971</v>
      </c>
      <c r="Z299">
        <v>95767</v>
      </c>
      <c r="AA299">
        <v>56120</v>
      </c>
      <c r="AB299">
        <v>89989</v>
      </c>
      <c r="AC299">
        <v>1652125</v>
      </c>
      <c r="AD299">
        <v>268241</v>
      </c>
      <c r="AE299">
        <v>-40859</v>
      </c>
      <c r="AF299">
        <v>2344214</v>
      </c>
      <c r="AG299">
        <v>2631181</v>
      </c>
      <c r="AH299">
        <v>2498325</v>
      </c>
      <c r="AI299">
        <v>2388571</v>
      </c>
      <c r="AJ299">
        <v>-45812</v>
      </c>
      <c r="AK299">
        <v>-181977</v>
      </c>
      <c r="AL299">
        <v>3247563</v>
      </c>
      <c r="AM299">
        <v>452569</v>
      </c>
      <c r="AN299">
        <v>849348</v>
      </c>
      <c r="AO299">
        <v>495133</v>
      </c>
      <c r="AP299">
        <v>313895</v>
      </c>
      <c r="AQ299">
        <v>166067</v>
      </c>
      <c r="AR299">
        <v>56071</v>
      </c>
      <c r="AS299">
        <v>0</v>
      </c>
      <c r="AT299">
        <v>1010934</v>
      </c>
      <c r="AU299">
        <v>0</v>
      </c>
      <c r="AV299">
        <v>0</v>
      </c>
      <c r="AW299">
        <v>8751</v>
      </c>
      <c r="AX299">
        <v>445529</v>
      </c>
      <c r="AY299">
        <v>572102</v>
      </c>
    </row>
    <row r="300" spans="1:51" x14ac:dyDescent="0.3">
      <c r="A300" s="754">
        <v>9012</v>
      </c>
      <c r="B300" t="s">
        <v>1580</v>
      </c>
      <c r="C300" t="s">
        <v>953</v>
      </c>
      <c r="D300">
        <v>0.87509999999999999</v>
      </c>
      <c r="E300">
        <v>3.1095000000000002</v>
      </c>
      <c r="F300">
        <v>1.3985000000000001</v>
      </c>
      <c r="G300">
        <v>3.641</v>
      </c>
      <c r="H300">
        <v>2.7075999999999998</v>
      </c>
      <c r="I300">
        <v>1.7025999999999999</v>
      </c>
      <c r="J300">
        <v>0.69010000000000005</v>
      </c>
      <c r="K300">
        <v>1.0758000000000001</v>
      </c>
      <c r="L300">
        <v>0</v>
      </c>
      <c r="M300">
        <v>0.90920000000000001</v>
      </c>
      <c r="N300">
        <v>2.4380999999999999</v>
      </c>
      <c r="O300">
        <v>0.16600000000000001</v>
      </c>
      <c r="P300">
        <v>0.34760000000000002</v>
      </c>
      <c r="Q300">
        <v>2.0312999999999999</v>
      </c>
      <c r="R300">
        <v>2.4739</v>
      </c>
      <c r="S300">
        <v>4.3834</v>
      </c>
      <c r="T300">
        <v>1.6209</v>
      </c>
      <c r="U300">
        <v>0.5444</v>
      </c>
      <c r="V300">
        <v>1.0613999999999999</v>
      </c>
      <c r="W300">
        <v>2.1734</v>
      </c>
      <c r="X300">
        <v>1.35</v>
      </c>
      <c r="Y300">
        <v>0.56130000000000002</v>
      </c>
      <c r="Z300">
        <v>0.5655</v>
      </c>
      <c r="AA300">
        <v>0.77139999999999997</v>
      </c>
      <c r="AB300">
        <v>3.0522999999999998</v>
      </c>
      <c r="AC300">
        <v>1.2965</v>
      </c>
      <c r="AD300">
        <v>3.1215000000000002</v>
      </c>
      <c r="AE300">
        <v>0.62119999999999997</v>
      </c>
      <c r="AF300">
        <v>1.7989999999999999</v>
      </c>
      <c r="AG300">
        <v>0.21579999999999999</v>
      </c>
      <c r="AH300">
        <v>2.9847000000000001</v>
      </c>
      <c r="AI300">
        <v>2.0905</v>
      </c>
      <c r="AJ300">
        <v>0.80730000000000002</v>
      </c>
      <c r="AK300">
        <v>3.9243000000000001</v>
      </c>
      <c r="AL300">
        <v>2.6294</v>
      </c>
      <c r="AM300">
        <v>1.9762</v>
      </c>
      <c r="AN300">
        <v>4.1294000000000004</v>
      </c>
      <c r="AO300">
        <v>1.9717</v>
      </c>
      <c r="AP300">
        <v>5.4870000000000001</v>
      </c>
      <c r="AQ300">
        <v>2.5533000000000001</v>
      </c>
      <c r="AR300">
        <v>2.657</v>
      </c>
      <c r="AS300">
        <v>0</v>
      </c>
      <c r="AT300">
        <v>3.3553000000000002</v>
      </c>
      <c r="AU300">
        <v>0</v>
      </c>
      <c r="AV300">
        <v>0</v>
      </c>
      <c r="AW300">
        <v>1.1518999999999999</v>
      </c>
      <c r="AX300">
        <v>1.7491000000000001</v>
      </c>
      <c r="AY300">
        <v>0.79649999999999999</v>
      </c>
    </row>
    <row r="301" spans="1:51" x14ac:dyDescent="0.3">
      <c r="A301" s="754">
        <v>9013</v>
      </c>
      <c r="B301" t="s">
        <v>954</v>
      </c>
      <c r="C301" t="s">
        <v>955</v>
      </c>
      <c r="D301">
        <v>4.53</v>
      </c>
      <c r="E301">
        <v>19.77</v>
      </c>
      <c r="F301">
        <v>3.44</v>
      </c>
      <c r="G301">
        <v>10.89</v>
      </c>
      <c r="H301">
        <v>19.28</v>
      </c>
      <c r="I301">
        <v>9.7799999999999994</v>
      </c>
      <c r="J301">
        <v>2.41</v>
      </c>
      <c r="K301">
        <v>7.74</v>
      </c>
      <c r="L301">
        <v>0</v>
      </c>
      <c r="M301">
        <v>3.29</v>
      </c>
      <c r="N301">
        <v>9.4600000000000009</v>
      </c>
      <c r="O301">
        <v>1.69</v>
      </c>
      <c r="P301">
        <v>1.7</v>
      </c>
      <c r="Q301">
        <v>5.05</v>
      </c>
      <c r="R301">
        <v>1.01</v>
      </c>
      <c r="S301">
        <v>12.32</v>
      </c>
      <c r="T301">
        <v>10.35</v>
      </c>
      <c r="U301">
        <v>3.42</v>
      </c>
      <c r="V301">
        <v>3.95</v>
      </c>
      <c r="W301">
        <v>27.12</v>
      </c>
      <c r="X301">
        <v>2.16</v>
      </c>
      <c r="Y301">
        <v>1.64</v>
      </c>
      <c r="Z301">
        <v>4.7300000000000004</v>
      </c>
      <c r="AA301">
        <v>4.4400000000000004</v>
      </c>
      <c r="AB301">
        <v>59.03</v>
      </c>
      <c r="AC301">
        <v>2.41</v>
      </c>
      <c r="AD301">
        <v>13.28</v>
      </c>
      <c r="AE301">
        <v>3.28</v>
      </c>
      <c r="AF301">
        <v>4.75</v>
      </c>
      <c r="AG301">
        <v>1.53</v>
      </c>
      <c r="AH301">
        <v>8.18</v>
      </c>
      <c r="AI301">
        <v>14.93</v>
      </c>
      <c r="AJ301">
        <v>7.58</v>
      </c>
      <c r="AK301">
        <v>24.59</v>
      </c>
      <c r="AL301">
        <v>6.54</v>
      </c>
      <c r="AM301">
        <v>19.940000000000001</v>
      </c>
      <c r="AN301">
        <v>17.149999999999999</v>
      </c>
      <c r="AO301">
        <v>47.49</v>
      </c>
      <c r="AP301">
        <v>17.579999999999998</v>
      </c>
      <c r="AQ301">
        <v>7.54</v>
      </c>
      <c r="AR301">
        <v>59.2</v>
      </c>
      <c r="AS301">
        <v>0</v>
      </c>
      <c r="AT301">
        <v>41.34</v>
      </c>
      <c r="AU301">
        <v>0</v>
      </c>
      <c r="AV301">
        <v>0</v>
      </c>
      <c r="AW301">
        <v>32.799999999999997</v>
      </c>
      <c r="AX301">
        <v>15.78</v>
      </c>
      <c r="AY301">
        <v>2.8</v>
      </c>
    </row>
    <row r="302" spans="1:51" x14ac:dyDescent="0.3">
      <c r="A302" s="754">
        <v>9014</v>
      </c>
      <c r="B302" t="s">
        <v>956</v>
      </c>
      <c r="C302" t="s">
        <v>957</v>
      </c>
      <c r="D302">
        <v>0</v>
      </c>
      <c r="E302">
        <v>0</v>
      </c>
      <c r="F302">
        <v>0</v>
      </c>
      <c r="G302">
        <v>0</v>
      </c>
      <c r="H302">
        <v>0</v>
      </c>
      <c r="I302">
        <v>0</v>
      </c>
      <c r="J302">
        <v>0</v>
      </c>
      <c r="K302">
        <v>0</v>
      </c>
      <c r="L302">
        <v>0</v>
      </c>
      <c r="M302">
        <v>0</v>
      </c>
      <c r="N302">
        <v>0</v>
      </c>
      <c r="O302">
        <v>0</v>
      </c>
      <c r="P302">
        <v>2.19</v>
      </c>
      <c r="Q302">
        <v>0</v>
      </c>
      <c r="R302">
        <v>0</v>
      </c>
      <c r="S302">
        <v>0</v>
      </c>
      <c r="T302">
        <v>0</v>
      </c>
      <c r="U302">
        <v>3.87</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row>
    <row r="303" spans="1:51" x14ac:dyDescent="0.3">
      <c r="A303" s="754">
        <v>9015</v>
      </c>
      <c r="B303" t="s">
        <v>1581</v>
      </c>
      <c r="C303" t="s">
        <v>327</v>
      </c>
      <c r="D303">
        <v>0</v>
      </c>
      <c r="E303">
        <v>0</v>
      </c>
      <c r="F303">
        <v>0</v>
      </c>
      <c r="G303">
        <v>0</v>
      </c>
      <c r="H303">
        <v>0</v>
      </c>
      <c r="I303">
        <v>0</v>
      </c>
      <c r="J303">
        <v>0</v>
      </c>
      <c r="K303">
        <v>0</v>
      </c>
      <c r="L303">
        <v>0</v>
      </c>
      <c r="M303">
        <v>0</v>
      </c>
      <c r="N303">
        <v>0</v>
      </c>
      <c r="O303">
        <v>0</v>
      </c>
      <c r="P303">
        <v>29529676</v>
      </c>
      <c r="Q303">
        <v>0</v>
      </c>
      <c r="R303">
        <v>0</v>
      </c>
      <c r="S303">
        <v>0</v>
      </c>
      <c r="T303">
        <v>0</v>
      </c>
      <c r="U303">
        <v>16580574</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row>
    <row r="304" spans="1:51" x14ac:dyDescent="0.3">
      <c r="A304" s="754">
        <v>9016</v>
      </c>
      <c r="B304" t="s">
        <v>1582</v>
      </c>
      <c r="C304" t="s">
        <v>327</v>
      </c>
      <c r="D304">
        <v>0</v>
      </c>
      <c r="E304">
        <v>0</v>
      </c>
      <c r="F304">
        <v>0</v>
      </c>
      <c r="G304">
        <v>0</v>
      </c>
      <c r="H304">
        <v>0</v>
      </c>
      <c r="I304">
        <v>0</v>
      </c>
      <c r="J304">
        <v>0</v>
      </c>
      <c r="K304">
        <v>0</v>
      </c>
      <c r="L304">
        <v>0</v>
      </c>
      <c r="M304">
        <v>0</v>
      </c>
      <c r="N304">
        <v>0</v>
      </c>
      <c r="O304">
        <v>0</v>
      </c>
      <c r="P304">
        <v>0.4617</v>
      </c>
      <c r="Q304">
        <v>0</v>
      </c>
      <c r="R304">
        <v>0</v>
      </c>
      <c r="S304">
        <v>0</v>
      </c>
      <c r="T304">
        <v>0</v>
      </c>
      <c r="U304">
        <v>0.318</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row>
    <row r="305" spans="1:62" x14ac:dyDescent="0.3">
      <c r="A305" s="754">
        <v>9017</v>
      </c>
      <c r="B305" t="s">
        <v>958</v>
      </c>
      <c r="C305" t="s">
        <v>959</v>
      </c>
      <c r="D305">
        <v>0</v>
      </c>
      <c r="E305">
        <v>0</v>
      </c>
      <c r="F305">
        <v>0</v>
      </c>
      <c r="G305">
        <v>0</v>
      </c>
      <c r="H305">
        <v>0</v>
      </c>
      <c r="I305">
        <v>0</v>
      </c>
      <c r="J305">
        <v>0</v>
      </c>
      <c r="K305">
        <v>0</v>
      </c>
      <c r="L305">
        <v>0</v>
      </c>
      <c r="M305">
        <v>0</v>
      </c>
      <c r="N305">
        <v>0</v>
      </c>
      <c r="O305">
        <v>0</v>
      </c>
      <c r="P305">
        <v>2.19</v>
      </c>
      <c r="Q305">
        <v>0</v>
      </c>
      <c r="R305">
        <v>0</v>
      </c>
      <c r="S305">
        <v>0</v>
      </c>
      <c r="T305">
        <v>0</v>
      </c>
      <c r="U305">
        <v>3.87</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row>
    <row r="306" spans="1:62" x14ac:dyDescent="0.3">
      <c r="A306" s="754">
        <v>9018</v>
      </c>
      <c r="B306" t="s">
        <v>960</v>
      </c>
      <c r="C306" t="s">
        <v>961</v>
      </c>
      <c r="D306">
        <v>0</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48905</v>
      </c>
      <c r="AL306">
        <v>0</v>
      </c>
      <c r="AM306">
        <v>0</v>
      </c>
      <c r="AN306">
        <v>0</v>
      </c>
      <c r="AO306">
        <v>0</v>
      </c>
      <c r="AP306">
        <v>0</v>
      </c>
      <c r="AQ306">
        <v>0</v>
      </c>
      <c r="AR306">
        <v>0</v>
      </c>
      <c r="AS306">
        <v>0</v>
      </c>
      <c r="AT306">
        <v>0</v>
      </c>
      <c r="AU306">
        <v>0</v>
      </c>
      <c r="AV306">
        <v>0</v>
      </c>
      <c r="AW306">
        <v>0</v>
      </c>
      <c r="AX306">
        <v>0</v>
      </c>
      <c r="AY306">
        <v>0</v>
      </c>
    </row>
    <row r="307" spans="1:62" x14ac:dyDescent="0.3">
      <c r="A307" s="754">
        <v>9019</v>
      </c>
      <c r="B307" t="s">
        <v>962</v>
      </c>
      <c r="C307" t="s">
        <v>963</v>
      </c>
      <c r="D307">
        <v>0</v>
      </c>
      <c r="E307">
        <v>0</v>
      </c>
      <c r="F307">
        <v>0</v>
      </c>
      <c r="G307">
        <v>0</v>
      </c>
      <c r="H307">
        <v>0</v>
      </c>
      <c r="I307">
        <v>0</v>
      </c>
      <c r="J307">
        <v>0</v>
      </c>
      <c r="K307">
        <v>0</v>
      </c>
      <c r="L307">
        <v>0</v>
      </c>
      <c r="M307">
        <v>0</v>
      </c>
      <c r="N307">
        <v>0</v>
      </c>
      <c r="O307">
        <v>0</v>
      </c>
      <c r="P307">
        <v>0</v>
      </c>
      <c r="Q307">
        <v>0</v>
      </c>
      <c r="R307">
        <v>0</v>
      </c>
      <c r="S307">
        <v>0</v>
      </c>
      <c r="T307">
        <v>0</v>
      </c>
      <c r="U307">
        <v>0</v>
      </c>
      <c r="V307">
        <v>0</v>
      </c>
      <c r="W307">
        <v>0</v>
      </c>
      <c r="X307">
        <v>0</v>
      </c>
      <c r="Y307">
        <v>0</v>
      </c>
      <c r="Z307">
        <v>0</v>
      </c>
      <c r="AA307">
        <v>0</v>
      </c>
      <c r="AB307">
        <v>0</v>
      </c>
      <c r="AC307">
        <v>0</v>
      </c>
      <c r="AD307">
        <v>0</v>
      </c>
      <c r="AE307">
        <v>0</v>
      </c>
      <c r="AF307">
        <v>0</v>
      </c>
      <c r="AG307">
        <v>0</v>
      </c>
      <c r="AH307">
        <v>0</v>
      </c>
      <c r="AI307">
        <v>0</v>
      </c>
      <c r="AJ307">
        <v>0</v>
      </c>
      <c r="AK307">
        <v>48905</v>
      </c>
      <c r="AL307">
        <v>0</v>
      </c>
      <c r="AM307">
        <v>0</v>
      </c>
      <c r="AN307">
        <v>0</v>
      </c>
      <c r="AO307">
        <v>0</v>
      </c>
      <c r="AP307">
        <v>0</v>
      </c>
      <c r="AQ307">
        <v>0</v>
      </c>
      <c r="AR307">
        <v>0</v>
      </c>
      <c r="AS307">
        <v>0</v>
      </c>
      <c r="AT307">
        <v>0</v>
      </c>
      <c r="AU307">
        <v>0</v>
      </c>
      <c r="AV307">
        <v>0</v>
      </c>
      <c r="AW307">
        <v>0</v>
      </c>
      <c r="AX307">
        <v>0</v>
      </c>
      <c r="AY307">
        <v>0</v>
      </c>
    </row>
    <row r="308" spans="1:62" x14ac:dyDescent="0.3">
      <c r="A308" s="791" t="s">
        <v>1660</v>
      </c>
      <c r="B308" s="787" t="s">
        <v>1658</v>
      </c>
      <c r="C308" s="787" t="s">
        <v>1661</v>
      </c>
      <c r="D308" s="792">
        <f>1-((D146+D147+D148+D149)/(D138+D139+D140+D141))</f>
        <v>0.39058095816923133</v>
      </c>
      <c r="E308" s="792">
        <f t="shared" ref="E308:AY308" si="0">1-((E146+E147+E148+E149)/(E138+E139+E140+E141))</f>
        <v>0.62162203997901067</v>
      </c>
      <c r="F308" s="792">
        <f t="shared" si="0"/>
        <v>0.56504743014036984</v>
      </c>
      <c r="G308" s="792">
        <f t="shared" si="0"/>
        <v>0.75358023766956883</v>
      </c>
      <c r="H308" s="792">
        <f t="shared" si="0"/>
        <v>0.68649464086399759</v>
      </c>
      <c r="I308" s="792">
        <f t="shared" si="0"/>
        <v>0.5097293960686381</v>
      </c>
      <c r="J308" s="792">
        <f t="shared" si="0"/>
        <v>0.74759328087249566</v>
      </c>
      <c r="K308" s="792">
        <f t="shared" si="0"/>
        <v>0.54632792218832238</v>
      </c>
      <c r="L308" s="792" t="e">
        <f t="shared" si="0"/>
        <v>#DIV/0!</v>
      </c>
      <c r="M308" s="792">
        <f t="shared" si="0"/>
        <v>0.6271944227694275</v>
      </c>
      <c r="N308" s="792">
        <f t="shared" si="0"/>
        <v>0.60368555359072085</v>
      </c>
      <c r="O308" s="792">
        <f t="shared" si="0"/>
        <v>0.68845879863314396</v>
      </c>
      <c r="P308" s="792">
        <f t="shared" si="0"/>
        <v>0.60277894959754419</v>
      </c>
      <c r="Q308" s="792">
        <f t="shared" si="0"/>
        <v>0.40428970043053591</v>
      </c>
      <c r="R308" s="792">
        <f t="shared" si="0"/>
        <v>0.67500017877087493</v>
      </c>
      <c r="S308" s="792">
        <f t="shared" si="0"/>
        <v>0.62260110626177156</v>
      </c>
      <c r="T308" s="792">
        <f t="shared" si="0"/>
        <v>0.2694988793635873</v>
      </c>
      <c r="U308" s="792">
        <f t="shared" si="0"/>
        <v>0.54967690389500146</v>
      </c>
      <c r="V308" s="792">
        <f t="shared" si="0"/>
        <v>0.70646544365174369</v>
      </c>
      <c r="W308" s="792">
        <f t="shared" si="0"/>
        <v>0.37401877064755207</v>
      </c>
      <c r="X308" s="792">
        <f t="shared" si="0"/>
        <v>0.74122081748704005</v>
      </c>
      <c r="Y308" s="792">
        <f t="shared" si="0"/>
        <v>0.57547250327426935</v>
      </c>
      <c r="Z308" s="792">
        <f t="shared" si="0"/>
        <v>0.41799526218152461</v>
      </c>
      <c r="AA308" s="792">
        <f t="shared" si="0"/>
        <v>0.78541128606568078</v>
      </c>
      <c r="AB308" s="792">
        <f t="shared" si="0"/>
        <v>0.42522452156634494</v>
      </c>
      <c r="AC308" s="792">
        <f t="shared" si="0"/>
        <v>0.67863347112684247</v>
      </c>
      <c r="AD308" s="792">
        <f t="shared" si="0"/>
        <v>0.65247335484461266</v>
      </c>
      <c r="AE308" s="792">
        <f t="shared" si="0"/>
        <v>0.29903417073858196</v>
      </c>
      <c r="AF308" s="792">
        <f t="shared" si="0"/>
        <v>0.62059586078188911</v>
      </c>
      <c r="AG308" s="792">
        <f t="shared" si="0"/>
        <v>0.58112417044765152</v>
      </c>
      <c r="AH308" s="792">
        <f t="shared" si="0"/>
        <v>0.65018801971233664</v>
      </c>
      <c r="AI308" s="792">
        <f t="shared" si="0"/>
        <v>0.49419018880310284</v>
      </c>
      <c r="AJ308" s="792">
        <f t="shared" si="0"/>
        <v>0.69672326107532567</v>
      </c>
      <c r="AK308" s="792">
        <f t="shared" si="0"/>
        <v>0.37626205565033999</v>
      </c>
      <c r="AL308" s="792">
        <f t="shared" si="0"/>
        <v>0.73534568730813454</v>
      </c>
      <c r="AM308" s="792">
        <f t="shared" si="0"/>
        <v>0.52654955958150707</v>
      </c>
      <c r="AN308" s="792">
        <f t="shared" si="0"/>
        <v>0.65856414965517973</v>
      </c>
      <c r="AO308" s="792">
        <f t="shared" si="0"/>
        <v>0.46233088926700783</v>
      </c>
      <c r="AP308" s="792">
        <f t="shared" si="0"/>
        <v>0.52519560658936049</v>
      </c>
      <c r="AQ308" s="792">
        <f t="shared" si="0"/>
        <v>0.78735718908211105</v>
      </c>
      <c r="AR308" s="792">
        <f t="shared" si="0"/>
        <v>0.58672686640264415</v>
      </c>
      <c r="AS308" s="792" t="e">
        <f t="shared" si="0"/>
        <v>#DIV/0!</v>
      </c>
      <c r="AT308" s="792">
        <f t="shared" si="0"/>
        <v>0.55554931563510068</v>
      </c>
      <c r="AU308" s="792">
        <f t="shared" si="0"/>
        <v>0.92322182291649491</v>
      </c>
      <c r="AV308" s="792" t="e">
        <f t="shared" si="0"/>
        <v>#DIV/0!</v>
      </c>
      <c r="AW308" s="792">
        <f t="shared" si="0"/>
        <v>1</v>
      </c>
      <c r="AX308" s="792">
        <f t="shared" si="0"/>
        <v>0.59980245764356654</v>
      </c>
      <c r="AY308" s="792">
        <f t="shared" si="0"/>
        <v>0.60534037903814197</v>
      </c>
    </row>
    <row r="311" spans="1:62" x14ac:dyDescent="0.3">
      <c r="B311" t="s">
        <v>1684</v>
      </c>
      <c r="D311" s="568">
        <v>94957734.010000005</v>
      </c>
      <c r="E311" s="568">
        <v>146903481.00999999</v>
      </c>
      <c r="F311" s="568">
        <v>269526298.00999999</v>
      </c>
      <c r="G311" s="568">
        <v>937071513.00999999</v>
      </c>
      <c r="H311" s="568">
        <v>2974917958.0100002</v>
      </c>
      <c r="I311" s="568">
        <v>947515058.00999999</v>
      </c>
      <c r="J311" s="568">
        <v>4822243367.0100002</v>
      </c>
      <c r="K311" s="568">
        <v>301399884.66000003</v>
      </c>
      <c r="L311" t="s">
        <v>1681</v>
      </c>
      <c r="M311" s="568">
        <v>172356668.00999999</v>
      </c>
      <c r="N311" s="568">
        <v>189288037.00999999</v>
      </c>
      <c r="O311" s="568">
        <v>20867318.010000002</v>
      </c>
      <c r="P311" s="568">
        <v>9786051513.1000004</v>
      </c>
      <c r="Q311" s="568">
        <v>37569177.009999998</v>
      </c>
      <c r="R311" s="568">
        <v>25617567.010000002</v>
      </c>
      <c r="S311" s="568">
        <v>154190513.00999999</v>
      </c>
      <c r="T311" s="568">
        <v>24748816</v>
      </c>
      <c r="U311" s="568">
        <v>4500422709.9799995</v>
      </c>
      <c r="V311" s="568">
        <v>136550373.00999999</v>
      </c>
      <c r="W311" s="568">
        <v>17331951.010000002</v>
      </c>
      <c r="X311" s="568">
        <v>131605445.48</v>
      </c>
      <c r="Y311" s="568">
        <v>261706643.00999999</v>
      </c>
      <c r="Z311" s="568">
        <v>60324888.009999998</v>
      </c>
      <c r="AA311" s="568">
        <v>123631845.01000001</v>
      </c>
      <c r="AB311" s="568">
        <v>20505484.010000002</v>
      </c>
      <c r="AC311" s="568">
        <v>620543858.00999999</v>
      </c>
      <c r="AD311" s="568">
        <v>79709876.010000005</v>
      </c>
      <c r="AE311" s="568">
        <v>26807418.010000002</v>
      </c>
      <c r="AF311" s="568">
        <v>1393444582.01</v>
      </c>
      <c r="AG311" s="568">
        <v>2072879547.01</v>
      </c>
      <c r="AH311" s="568">
        <v>611410834.00999999</v>
      </c>
      <c r="AI311" s="568">
        <v>352548018.00999999</v>
      </c>
      <c r="AJ311" s="568">
        <v>34410524.009999998</v>
      </c>
      <c r="AK311" s="568">
        <v>18671758.48</v>
      </c>
      <c r="AL311" s="568">
        <v>551909397.00999999</v>
      </c>
      <c r="AM311" s="568">
        <v>92111343.010000005</v>
      </c>
      <c r="AN311" s="568">
        <v>187383577.00999999</v>
      </c>
      <c r="AO311" s="568">
        <v>45458554.009999998</v>
      </c>
      <c r="AP311" s="568">
        <v>45151991.009999998</v>
      </c>
      <c r="AQ311" s="568">
        <v>62821022.009999998</v>
      </c>
      <c r="AR311" s="568">
        <v>8040478.0099999998</v>
      </c>
      <c r="AS311" s="568" t="s">
        <v>1682</v>
      </c>
      <c r="AT311" s="568">
        <v>311304024.00999999</v>
      </c>
      <c r="AU311" s="568">
        <v>35264329.009999998</v>
      </c>
      <c r="AV311" s="568" t="s">
        <v>1683</v>
      </c>
      <c r="AW311" s="568">
        <v>1915336.01</v>
      </c>
      <c r="AX311" s="568">
        <v>70279183.010000005</v>
      </c>
      <c r="AY311" s="568">
        <v>163025537.00999999</v>
      </c>
      <c r="AZ311" s="568"/>
      <c r="BA311" s="568"/>
      <c r="BB311" s="568"/>
      <c r="BC311" s="568"/>
      <c r="BE311" s="568"/>
      <c r="BF311" s="568"/>
      <c r="BH311" s="568"/>
      <c r="BI311" s="568"/>
      <c r="BJ311" s="568"/>
    </row>
    <row r="312" spans="1:62" x14ac:dyDescent="0.3">
      <c r="D312" s="568">
        <f>D289-D311</f>
        <v>0</v>
      </c>
      <c r="E312" s="568">
        <f t="shared" ref="E312:AY312" si="1">E289-E311</f>
        <v>0</v>
      </c>
      <c r="F312" s="568">
        <f t="shared" si="1"/>
        <v>0</v>
      </c>
      <c r="G312" s="568">
        <f t="shared" si="1"/>
        <v>0</v>
      </c>
      <c r="H312" s="568">
        <f t="shared" si="1"/>
        <v>0</v>
      </c>
      <c r="I312" s="568">
        <f t="shared" si="1"/>
        <v>0</v>
      </c>
      <c r="J312" s="568">
        <f t="shared" si="1"/>
        <v>0</v>
      </c>
      <c r="K312" s="568">
        <f t="shared" si="1"/>
        <v>0</v>
      </c>
      <c r="M312" s="568">
        <f t="shared" si="1"/>
        <v>0</v>
      </c>
      <c r="N312" s="568">
        <f t="shared" si="1"/>
        <v>0</v>
      </c>
      <c r="O312" s="568">
        <f t="shared" si="1"/>
        <v>0</v>
      </c>
      <c r="P312" s="568">
        <f t="shared" si="1"/>
        <v>0</v>
      </c>
      <c r="Q312" s="568">
        <f t="shared" si="1"/>
        <v>0</v>
      </c>
      <c r="R312" s="568">
        <f t="shared" si="1"/>
        <v>0</v>
      </c>
      <c r="S312" s="568">
        <f t="shared" si="1"/>
        <v>0</v>
      </c>
      <c r="T312" s="568">
        <f t="shared" si="1"/>
        <v>1.0000001639127731E-2</v>
      </c>
      <c r="U312" s="568">
        <f t="shared" si="1"/>
        <v>0</v>
      </c>
      <c r="V312" s="568">
        <f t="shared" si="1"/>
        <v>0</v>
      </c>
      <c r="W312" s="568">
        <f t="shared" si="1"/>
        <v>0</v>
      </c>
      <c r="X312" s="568">
        <f t="shared" si="1"/>
        <v>0</v>
      </c>
      <c r="Y312" s="568">
        <f t="shared" si="1"/>
        <v>0</v>
      </c>
      <c r="Z312" s="568">
        <f t="shared" si="1"/>
        <v>0</v>
      </c>
      <c r="AA312" s="568">
        <f t="shared" si="1"/>
        <v>0</v>
      </c>
      <c r="AB312" s="568">
        <f t="shared" si="1"/>
        <v>0</v>
      </c>
      <c r="AC312" s="568">
        <f t="shared" si="1"/>
        <v>0</v>
      </c>
      <c r="AD312" s="568">
        <f t="shared" si="1"/>
        <v>0</v>
      </c>
      <c r="AE312" s="568">
        <f t="shared" si="1"/>
        <v>0</v>
      </c>
      <c r="AF312" s="568">
        <f t="shared" si="1"/>
        <v>0</v>
      </c>
      <c r="AG312" s="568">
        <f t="shared" si="1"/>
        <v>0</v>
      </c>
      <c r="AH312" s="568">
        <f t="shared" si="1"/>
        <v>0</v>
      </c>
      <c r="AI312" s="568">
        <f t="shared" si="1"/>
        <v>0</v>
      </c>
      <c r="AJ312" s="568">
        <f t="shared" si="1"/>
        <v>0</v>
      </c>
      <c r="AK312" s="568">
        <f t="shared" si="1"/>
        <v>1.6999989748001099E-3</v>
      </c>
      <c r="AL312" s="568">
        <f t="shared" si="1"/>
        <v>0</v>
      </c>
      <c r="AM312" s="568">
        <f t="shared" si="1"/>
        <v>0</v>
      </c>
      <c r="AN312" s="568">
        <f t="shared" si="1"/>
        <v>0</v>
      </c>
      <c r="AO312" s="568">
        <f t="shared" si="1"/>
        <v>0</v>
      </c>
      <c r="AP312" s="568">
        <f t="shared" si="1"/>
        <v>0</v>
      </c>
      <c r="AQ312" s="568">
        <f t="shared" si="1"/>
        <v>0</v>
      </c>
      <c r="AR312" s="568">
        <f t="shared" si="1"/>
        <v>0</v>
      </c>
      <c r="AT312" s="568">
        <f t="shared" si="1"/>
        <v>0</v>
      </c>
      <c r="AU312" s="568">
        <f t="shared" si="1"/>
        <v>0</v>
      </c>
      <c r="AW312" s="568">
        <f t="shared" si="1"/>
        <v>0</v>
      </c>
      <c r="AX312" s="568">
        <f t="shared" si="1"/>
        <v>0</v>
      </c>
      <c r="AY312" s="568">
        <f t="shared" si="1"/>
        <v>0</v>
      </c>
    </row>
    <row r="313" spans="1:62" x14ac:dyDescent="0.3">
      <c r="L313" s="568" t="e">
        <f>L289-L311</f>
        <v>#VALUE!</v>
      </c>
      <c r="AS313" s="568" t="e">
        <f>AS289-AS311</f>
        <v>#VALUE!</v>
      </c>
      <c r="AV313" s="568" t="e">
        <f>AV289-AV311</f>
        <v>#VALUE!</v>
      </c>
    </row>
  </sheetData>
  <sheetProtection algorithmName="SHA-512" hashValue="NImcMwNRmfmOu8Y4CZyYDNtN4l19Mfn9tlcSAzZHvSnLSj4OcSrxd63MA8y/IpVu5FinvkvR7RfHiFM3BIfTgA==" saltValue="PbvVxKOxXsEccSTBWZsC3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Instructions</vt:lpstr>
      <vt:lpstr>Unit Data from Audit Worksheet</vt:lpstr>
      <vt:lpstr>TD Info Completed by Auditor</vt:lpstr>
      <vt:lpstr>Performance  Indicators Print</vt:lpstr>
      <vt:lpstr>RSS</vt:lpstr>
      <vt:lpstr>UAL</vt:lpstr>
      <vt:lpstr>Import</vt:lpstr>
      <vt:lpstr>PY1 Data(H)</vt:lpstr>
      <vt:lpstr>PY2 Data(H)</vt:lpstr>
      <vt:lpstr>Unit Names(H)</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2023-09-15T19:59:10Z</cp:lastPrinted>
  <dcterms:created xsi:type="dcterms:W3CDTF">2011-03-11T21:05:05Z</dcterms:created>
  <dcterms:modified xsi:type="dcterms:W3CDTF">2023-10-16T19:35:09Z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